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885" windowWidth="15480" windowHeight="9885" tabRatio="745" firstSheet="1" activeTab="3"/>
  </bookViews>
  <sheets>
    <sheet name="ARRA 2009 RPO Summary" sheetId="1" r:id="rId1"/>
    <sheet name="Candidates-MPO" sheetId="2" r:id="rId2"/>
    <sheet name="Candidates-Rural RPO" sheetId="3" r:id="rId3"/>
    <sheet name="Candidates-Enhancements" sheetId="4" r:id="rId4"/>
  </sheets>
  <definedNames>
    <definedName name="_xlnm._FilterDatabase" localSheetId="3" hidden="1">'Candidates-Enhancements'!$A$1:$G$3</definedName>
    <definedName name="_xlnm._FilterDatabase" localSheetId="1" hidden="1">'Candidates-MPO'!$A$1:$G$3</definedName>
    <definedName name="_xlnm._FilterDatabase" localSheetId="2" hidden="1">'Candidates-Rural RPO'!$A$1:$G$1</definedName>
    <definedName name="_xlnm.Print_Area" localSheetId="3">'Candidates-Enhancements'!$A$2:$G$29</definedName>
    <definedName name="_xlnm.Print_Area" localSheetId="1">'Candidates-MPO'!$A$2:$G$97</definedName>
    <definedName name="_xlnm.Print_Area" localSheetId="2">'Candidates-Rural RPO'!$A$2:$G$39</definedName>
    <definedName name="_xlnm.Print_Titles" localSheetId="3">'Candidates-Enhancements'!$2:$3</definedName>
    <definedName name="_xlnm.Print_Titles" localSheetId="1">'Candidates-MPO'!$2:$3</definedName>
    <definedName name="_xlnm.Print_Titles" localSheetId="2">'Candidates-Rural RPO'!$2:$3</definedName>
  </definedNames>
  <calcPr fullCalcOnLoad="1"/>
</workbook>
</file>

<file path=xl/sharedStrings.xml><?xml version="1.0" encoding="utf-8"?>
<sst xmlns="http://schemas.openxmlformats.org/spreadsheetml/2006/main" count="501" uniqueCount="334">
  <si>
    <r>
      <t>* Total Project Cost -</t>
    </r>
    <r>
      <rPr>
        <sz val="11"/>
        <rFont val="Arial"/>
        <family val="2"/>
      </rPr>
      <t xml:space="preserve"> As provided for project by town and/or region.   Amount may exceed ARRA urban/rural distribution to region.  Specifically referencing regionally prioritized projects.  Projects not provided a priority by the region are NOT included in calculations.   Calculations account for any transfers of ARRA Distributions between regions.</t>
    </r>
  </si>
  <si>
    <r>
      <t>* Regional ARRA Breakout -</t>
    </r>
    <r>
      <rPr>
        <sz val="11"/>
        <rFont val="Arial"/>
        <family val="2"/>
      </rPr>
      <t xml:space="preserve"> As provided for project by town and/or region.   Amount is based off of the total for the "suballocations" calculated by each region and allocated to each project and/or member town.  Specifically referencing regionally prioritized projects.  Projects not provided a priority by the region are NOT included in calculations.   Calculations account for any transfers of ARRA Distributions between regions.</t>
    </r>
  </si>
  <si>
    <r>
      <t xml:space="preserve">Shading indicates categories by region where the breakout for all </t>
    </r>
    <r>
      <rPr>
        <b/>
        <i/>
        <u val="single"/>
        <sz val="11"/>
        <rFont val="Arial"/>
        <family val="2"/>
      </rPr>
      <t>prioritized proposals for the region</t>
    </r>
    <r>
      <rPr>
        <sz val="11"/>
        <rFont val="Arial"/>
        <family val="2"/>
      </rPr>
      <t xml:space="preserve"> is </t>
    </r>
    <r>
      <rPr>
        <b/>
        <i/>
        <u val="single"/>
        <sz val="11"/>
        <rFont val="Arial"/>
        <family val="2"/>
      </rPr>
      <t>less than 90% the indicated distribution</t>
    </r>
    <r>
      <rPr>
        <sz val="11"/>
        <rFont val="Arial"/>
        <family val="2"/>
      </rPr>
      <t>, including any transfers received from other regions, under that funding category.</t>
    </r>
  </si>
  <si>
    <t>Summary of ARRA Distribution and Candidate Projects as Proposed by Regional Planning Organizations</t>
  </si>
  <si>
    <t>Region Number</t>
  </si>
  <si>
    <t>ARRA Urban Distribution</t>
  </si>
  <si>
    <t>ARRA Rural Distribution</t>
  </si>
  <si>
    <t>Urban</t>
  </si>
  <si>
    <t>Rural</t>
  </si>
  <si>
    <t>Southwestern Regional Planning Agency</t>
  </si>
  <si>
    <t>Housatonic Valley Council of Elected Officials</t>
  </si>
  <si>
    <t>Northwestern Council of Governments</t>
  </si>
  <si>
    <t>Litchfield Hills Council of Elected Officials</t>
  </si>
  <si>
    <t>Central Naugatuck Council of Governments</t>
  </si>
  <si>
    <t>Valley Council of Governments</t>
  </si>
  <si>
    <t>Greater Bridgeport Regional Planning Agency</t>
  </si>
  <si>
    <t>South Central Council of Governments</t>
  </si>
  <si>
    <t>Central CT Regional Planning Agency</t>
  </si>
  <si>
    <t>Capitol Region Council of Governments</t>
  </si>
  <si>
    <t>Midstate Regional Planning Agency</t>
  </si>
  <si>
    <t>CT River Estuary Regional Planning Agency</t>
  </si>
  <si>
    <t>Southeastern CT Council of Governments</t>
  </si>
  <si>
    <t>Windham Council of Governments</t>
  </si>
  <si>
    <t>RPO</t>
  </si>
  <si>
    <t>ARRA SOURCE</t>
  </si>
  <si>
    <t>PROJ</t>
  </si>
  <si>
    <t>TOWN</t>
  </si>
  <si>
    <t>DESCRIPTION</t>
  </si>
  <si>
    <t>PRIORITY</t>
  </si>
  <si>
    <t>SCH ADV</t>
  </si>
  <si>
    <t xml:space="preserve">Darien </t>
  </si>
  <si>
    <t>Greenwich</t>
  </si>
  <si>
    <t>New Canaan</t>
  </si>
  <si>
    <t>Norwalk</t>
  </si>
  <si>
    <t>Weston</t>
  </si>
  <si>
    <t>Westport</t>
  </si>
  <si>
    <t>Stamford</t>
  </si>
  <si>
    <t>Bethel</t>
  </si>
  <si>
    <t>Brookfield</t>
  </si>
  <si>
    <t>Danbury</t>
  </si>
  <si>
    <t>Backus Avenue Bridge Replacement</t>
  </si>
  <si>
    <t>New Fairfield</t>
  </si>
  <si>
    <t>New Milford</t>
  </si>
  <si>
    <t>Newtown</t>
  </si>
  <si>
    <t>Redding</t>
  </si>
  <si>
    <t>Ridgefield</t>
  </si>
  <si>
    <t>Farmingville Road Milling and Paving</t>
  </si>
  <si>
    <t>Naugatuck</t>
  </si>
  <si>
    <t>Southbury</t>
  </si>
  <si>
    <t>Watertown</t>
  </si>
  <si>
    <t>Cheshire</t>
  </si>
  <si>
    <t>Waterbury</t>
  </si>
  <si>
    <t>Prospect</t>
  </si>
  <si>
    <t>Thomaston</t>
  </si>
  <si>
    <t>Middlebury</t>
  </si>
  <si>
    <t>Wolcott</t>
  </si>
  <si>
    <t>Oxford</t>
  </si>
  <si>
    <t>Seymour</t>
  </si>
  <si>
    <t>Shelton</t>
  </si>
  <si>
    <t>Derby</t>
  </si>
  <si>
    <t>Ansonia</t>
  </si>
  <si>
    <t>Bridgeport</t>
  </si>
  <si>
    <t>Monroe</t>
  </si>
  <si>
    <t>Stratford</t>
  </si>
  <si>
    <t>New Haven</t>
  </si>
  <si>
    <t>Bristol</t>
  </si>
  <si>
    <t>Southington</t>
  </si>
  <si>
    <t>Berlin</t>
  </si>
  <si>
    <t>Plymouth</t>
  </si>
  <si>
    <t>New Britain</t>
  </si>
  <si>
    <t>Burlington</t>
  </si>
  <si>
    <t>Connect Burlington Trail to Farmington Trail</t>
  </si>
  <si>
    <t>Manchester</t>
  </si>
  <si>
    <t>Buckland Hills Drive / Hale Road Pavement Rehab</t>
  </si>
  <si>
    <t>South Windsor</t>
  </si>
  <si>
    <t>Buckland Road Pavement Rehabilitation Phase 2</t>
  </si>
  <si>
    <t>Windsor</t>
  </si>
  <si>
    <t>Day Hill Road Pavement Rehabilitation</t>
  </si>
  <si>
    <t>Rocky Hill</t>
  </si>
  <si>
    <t>Hartford</t>
  </si>
  <si>
    <t>East Hartford</t>
  </si>
  <si>
    <t>Canton</t>
  </si>
  <si>
    <t>Farmington River Trail Phase III</t>
  </si>
  <si>
    <t>Durham</t>
  </si>
  <si>
    <t>Old Saybrook</t>
  </si>
  <si>
    <t>Groton Town</t>
  </si>
  <si>
    <t>Mystic Streetscape</t>
  </si>
  <si>
    <t>Waterford</t>
  </si>
  <si>
    <t>Route 32/Lathrop Road/Maple Road Intersection Improvements</t>
  </si>
  <si>
    <t>New London</t>
  </si>
  <si>
    <t>City of Groton</t>
  </si>
  <si>
    <t>Bridge Street Streetscape</t>
  </si>
  <si>
    <t>Montville</t>
  </si>
  <si>
    <t>Old Colchester Road Bridge Repair</t>
  </si>
  <si>
    <t>Torrington</t>
  </si>
  <si>
    <t>Winchester</t>
  </si>
  <si>
    <t>Barkhamsted</t>
  </si>
  <si>
    <t>Litchfield</t>
  </si>
  <si>
    <t>New Hartford</t>
  </si>
  <si>
    <t>Morris</t>
  </si>
  <si>
    <t>Coventry</t>
  </si>
  <si>
    <t>Windham</t>
  </si>
  <si>
    <t>Mansfield</t>
  </si>
  <si>
    <t>Killingly</t>
  </si>
  <si>
    <t>Putnam</t>
  </si>
  <si>
    <t>Enhancement</t>
  </si>
  <si>
    <t>Fairfield</t>
  </si>
  <si>
    <t>Plainville</t>
  </si>
  <si>
    <t>Linear Park - Plantsville to Cheshire Town Line</t>
  </si>
  <si>
    <t xml:space="preserve">Mansfield </t>
  </si>
  <si>
    <t>Cromwell</t>
  </si>
  <si>
    <t>East Haddam</t>
  </si>
  <si>
    <t>Middlefield</t>
  </si>
  <si>
    <t>Middletown</t>
  </si>
  <si>
    <t>Portland</t>
  </si>
  <si>
    <t>East Hampton</t>
  </si>
  <si>
    <t>Urban/ Rural</t>
  </si>
  <si>
    <t>0076-0213</t>
  </si>
  <si>
    <t>0164-0232</t>
  </si>
  <si>
    <t>0131-0193</t>
  </si>
  <si>
    <t>Colebrook</t>
  </si>
  <si>
    <t>Scotland</t>
  </si>
  <si>
    <t>0132-0128</t>
  </si>
  <si>
    <t>0118-0161</t>
  </si>
  <si>
    <t>RPO Specific Comments:</t>
  </si>
  <si>
    <t>Barnum Avenue Streetscape Project</t>
  </si>
  <si>
    <t>Quinnipiac Avenue Phase 1</t>
  </si>
  <si>
    <t>Rubber Avenue Bridge #03713</t>
  </si>
  <si>
    <t>Old Main Street Pavement Rehabilitation</t>
  </si>
  <si>
    <t>Park Street Improvements from Laurel Street to Pope</t>
  </si>
  <si>
    <t>Reconstruction of a Portion of Lake Road (I.P. Access)</t>
  </si>
  <si>
    <t>Main Street Sidewalk (Paden Road to 1000 ft North of Route 275)</t>
  </si>
  <si>
    <t>Long Meadow Road Bridge Replacement</t>
  </si>
  <si>
    <t>Housatonic River Greenway Bike/Pedestrian Trail</t>
  </si>
  <si>
    <t>Mix Street Reconstruction and Normailization of Intersection with Maltby Street</t>
  </si>
  <si>
    <t>Episcopal Road Reconstruction and Repaving</t>
  </si>
  <si>
    <t>Connect Multi-use Trail along Farmington River from Current Terminus to Farmington Townline (Burlington Trail to Farmington Trail)</t>
  </si>
  <si>
    <t>Pavement Rehab Congress Avenue</t>
  </si>
  <si>
    <t xml:space="preserve">DRAFT LIST                                                              </t>
  </si>
  <si>
    <t xml:space="preserve">based on updates to regional priorities list as of </t>
  </si>
  <si>
    <t>0077-0224</t>
  </si>
  <si>
    <t>Station Road Bridge (Br#4768) Repair</t>
  </si>
  <si>
    <t>0063-0660</t>
  </si>
  <si>
    <t>0035-0192</t>
  </si>
  <si>
    <t>Darien</t>
  </si>
  <si>
    <t>Whites Wood Rd overlay (part of 1.91 miles)</t>
  </si>
  <si>
    <t>Mystic Streetscape Improvement</t>
  </si>
  <si>
    <t>Sue Grossman Stillwater Greenway</t>
  </si>
  <si>
    <t>Birch Road Bikeway project</t>
  </si>
  <si>
    <t>0138-0233</t>
  </si>
  <si>
    <t>0092-0585</t>
  </si>
  <si>
    <t>0092-0641</t>
  </si>
  <si>
    <t>0092-0642</t>
  </si>
  <si>
    <t>Shading indicates that the RPO is not eligible for funding in this category or line not applicable</t>
  </si>
  <si>
    <t>ARRA Transportation Enhancement Distribution</t>
  </si>
  <si>
    <t>Total Distribution by Region</t>
  </si>
  <si>
    <t>Total Distribution by State</t>
  </si>
  <si>
    <t>Northeastern CT Council of Governments</t>
  </si>
  <si>
    <t>Transfers between Regions</t>
  </si>
  <si>
    <t>Formula Distribution</t>
  </si>
  <si>
    <t>Various Intersection Improvements in Vicinity of Black Rock Turnpike and Commerce Drive</t>
  </si>
  <si>
    <t>Trumbull</t>
  </si>
  <si>
    <t>Milling and Overlay at Various Locations</t>
  </si>
  <si>
    <t>0137-0152</t>
  </si>
  <si>
    <t>0090-0096</t>
  </si>
  <si>
    <t>Pavement rehab Constitution Boulevard South</t>
  </si>
  <si>
    <t>Traffic Control Signal Controllers</t>
  </si>
  <si>
    <t>Corbin Avenue Mill and Overlay (West Main Street to Osgood Avenue), East street Mill and overlay (Newington Ave to South St), Stanley ST mill and overlay (Chestnut to South St), Ellis St mill and overlay (East ST to Rt.9)</t>
  </si>
  <si>
    <t>Church Street pavement preservation</t>
  </si>
  <si>
    <t>Plainfield</t>
  </si>
  <si>
    <t>Region Planning Organization</t>
  </si>
  <si>
    <r>
      <t xml:space="preserve">Shading indicates categories by region where the breakout for all </t>
    </r>
    <r>
      <rPr>
        <b/>
        <i/>
        <u val="single"/>
        <sz val="11"/>
        <rFont val="Arial"/>
        <family val="2"/>
      </rPr>
      <t>prioritized proposals for the region</t>
    </r>
    <r>
      <rPr>
        <sz val="11"/>
        <rFont val="Arial"/>
        <family val="2"/>
      </rPr>
      <t xml:space="preserve"> is greater than the indicated distribution, including any transfers received from other regions, under that funding category.</t>
    </r>
  </si>
  <si>
    <t>Regionally Prioritized Projects by Category</t>
  </si>
  <si>
    <t>Total Project Cost *</t>
  </si>
  <si>
    <t>Regional ARRA Breakout ^</t>
  </si>
  <si>
    <t>0143-0180</t>
  </si>
  <si>
    <t>Cornwall</t>
  </si>
  <si>
    <t>Great Hollow Rd and Great Hill Rd overlay</t>
  </si>
  <si>
    <t>North Canaan</t>
  </si>
  <si>
    <t>Roxbury</t>
  </si>
  <si>
    <t>Salisbury</t>
  </si>
  <si>
    <t>Pavement Rehabilitation, Portions of Main Street and School Street</t>
  </si>
  <si>
    <t>South End Road Mill and Overlay, approximately 4,150 lf, Mount Vernon Rd mill and overlay approm 3,300 lf</t>
  </si>
  <si>
    <t>0020-0105</t>
  </si>
  <si>
    <t>Old Hyde Road Pavement Preservation</t>
  </si>
  <si>
    <t>Cross Highway, Long Lots Rd, and Newtown Tpke Pavement Preservation</t>
  </si>
  <si>
    <t>9034-0024</t>
  </si>
  <si>
    <t>9087-3713</t>
  </si>
  <si>
    <t>Westbrook</t>
  </si>
  <si>
    <t>9085-0005</t>
  </si>
  <si>
    <t>0023-0125</t>
  </si>
  <si>
    <t>Haddam Neck Rd resurfacing</t>
  </si>
  <si>
    <t>Paving Town Park and Ride Lot for HART/Metro-North Shuttle</t>
  </si>
  <si>
    <t>Old Norwalk, Farm, West &amp; Weed Roads Pavement Resurfacing</t>
  </si>
  <si>
    <t>Field Point Rd,Dearfield Dr, Brookside Dr., West Elm St., Railroad Ave, Prospect St. and Horseneck Lane Pavement Reconstruction and Overlay.</t>
  </si>
  <si>
    <t>Camp St.  Reconstruction/Repaving</t>
  </si>
  <si>
    <t>NA</t>
  </si>
  <si>
    <t>0042-0309</t>
  </si>
  <si>
    <t>Paving of existing trail - I-84/I-384 Multi-use Trail</t>
  </si>
  <si>
    <t>0035-0193</t>
  </si>
  <si>
    <t>0041-0114</t>
  </si>
  <si>
    <t>Judds Bridge painting</t>
  </si>
  <si>
    <t>0032-0144</t>
  </si>
  <si>
    <t>0015-0340</t>
  </si>
  <si>
    <t>Milling and Paving - Old Northfield Road</t>
  </si>
  <si>
    <t>Pavement Rehab - Main Street, Iranistan Ave, Capitol Ave</t>
  </si>
  <si>
    <t>Cooke Street - sidewalk improvements</t>
  </si>
  <si>
    <t>Main Street South Pavement Preservation</t>
  </si>
  <si>
    <t>Resurfacing of French Street</t>
  </si>
  <si>
    <t>High Street Paving (Main Street-Lewiston Ave), Valley St paving (Walnut St - Jackson St) and Jackson St paving (union st - prospect st)</t>
  </si>
  <si>
    <t>Hillcrest Drive Crack Sealing and 1" overlay (0.78 miles)</t>
  </si>
  <si>
    <t>Riverton Road Crack Sealing and Rubberized Chip Seal (1.2 miles)</t>
  </si>
  <si>
    <t>Alain White Road Crack Sealing and Chip Seal (part of 1.76 miles)</t>
  </si>
  <si>
    <t>West Hill Rd crack sealing and Microsurfacing (part of 3.88 miles)</t>
  </si>
  <si>
    <t>Litchfield Street Mill and Overlay (Route 202 (East End) to Wyoming Avenue); Winthrop Street Mill &amp; Overlay (Dalton Street to Charles Street); Water Street Mill &amp; Overlay (Main Street to Church Street)</t>
  </si>
  <si>
    <t>Wetmore Avenue Road Mill &amp; Overlay (0.44 miles)</t>
  </si>
  <si>
    <t>White Street, Franklin Street and Franklin St extension Milling and Paving</t>
  </si>
  <si>
    <t>0034-0342</t>
  </si>
  <si>
    <t>Route 1 sidewalks</t>
  </si>
  <si>
    <t>East Hartford/    Manchester</t>
  </si>
  <si>
    <t xml:space="preserve">Congress Street Bridge (Phase I -Partial Demolition) </t>
  </si>
  <si>
    <t>0154-0121</t>
  </si>
  <si>
    <t>0056-0308</t>
  </si>
  <si>
    <t>0089-0124</t>
  </si>
  <si>
    <t>0102-0335</t>
  </si>
  <si>
    <t>0157-0082</t>
  </si>
  <si>
    <t>0158-0203</t>
  </si>
  <si>
    <t>0018-0130</t>
  </si>
  <si>
    <t>0090-0097</t>
  </si>
  <si>
    <t>0130-0176</t>
  </si>
  <si>
    <t>0153-0121</t>
  </si>
  <si>
    <t>0151-0320</t>
  </si>
  <si>
    <t>0140-0168</t>
  </si>
  <si>
    <t>0080-0127</t>
  </si>
  <si>
    <t>0126-0166</t>
  </si>
  <si>
    <t>0036-0187</t>
  </si>
  <si>
    <t>0050-0214</t>
  </si>
  <si>
    <t>0015-0343</t>
  </si>
  <si>
    <t>0092-0643</t>
  </si>
  <si>
    <t>0017-0184</t>
  </si>
  <si>
    <t>0131-0200</t>
  </si>
  <si>
    <t>0007-0184</t>
  </si>
  <si>
    <t>0088-0175</t>
  </si>
  <si>
    <t>0058-0316</t>
  </si>
  <si>
    <t>0152-0150</t>
  </si>
  <si>
    <t>0094-0239</t>
  </si>
  <si>
    <t>0143-0181</t>
  </si>
  <si>
    <t>0162-0151</t>
  </si>
  <si>
    <t>0005-0111</t>
  </si>
  <si>
    <t>0029-0099</t>
  </si>
  <si>
    <t>0163-0197</t>
  </si>
  <si>
    <t>0115-0115</t>
  </si>
  <si>
    <t>0086-0089</t>
  </si>
  <si>
    <t>0091-0120</t>
  </si>
  <si>
    <t>0073-0181</t>
  </si>
  <si>
    <t>Mansfield City Road Paving (Windham Town Line to Meadowbrook Lane)</t>
  </si>
  <si>
    <t>0077-0225</t>
  </si>
  <si>
    <t>0121-0132</t>
  </si>
  <si>
    <t>0124-0168</t>
  </si>
  <si>
    <t>Stonington</t>
  </si>
  <si>
    <t>McVeagh Rd, Rt 153 to Pond Meadow Rd</t>
  </si>
  <si>
    <t>0095-0249</t>
  </si>
  <si>
    <t>0096-0198</t>
  </si>
  <si>
    <t>Harwinton Avenue Mill and Overlay, Route 6 to Kimann Drive</t>
  </si>
  <si>
    <t>Town Center Streetscape - Pedestrian and Streetscape Improvement</t>
  </si>
  <si>
    <t>0058-0318</t>
  </si>
  <si>
    <t>Goshen/Norfolk</t>
  </si>
  <si>
    <t>East Street - Crack Sealing and Microsurfacing (part of 5.69 miles)</t>
  </si>
  <si>
    <t>0117-0158</t>
  </si>
  <si>
    <t>Rt. 12 sidewalks (from SR 647 to School St. and from RR Ave. to Academy Hill Rd.)</t>
  </si>
  <si>
    <t>0002-0126</t>
  </si>
  <si>
    <t>0025-0142</t>
  </si>
  <si>
    <t>0114-0187</t>
  </si>
  <si>
    <t>0166-0101</t>
  </si>
  <si>
    <t>0110-0131</t>
  </si>
  <si>
    <t>0138-0235</t>
  </si>
  <si>
    <t>Major Urban</t>
  </si>
  <si>
    <t xml:space="preserve">Derby St. Reconstruction </t>
  </si>
  <si>
    <t>Elizabeth St. paving</t>
  </si>
  <si>
    <t>Castle Hill Rd. and Castle Meadow Rd - Milling and Paving</t>
  </si>
  <si>
    <t>Boardman Rd. and Grove St. - Milling and Paving</t>
  </si>
  <si>
    <t>Gray's Bridge Rd. Milling and Paving</t>
  </si>
  <si>
    <t>Cross Hill Rd. (Strategic Paving Project)</t>
  </si>
  <si>
    <t>Other Urban</t>
  </si>
  <si>
    <t>Major &amp; Other Urban</t>
  </si>
  <si>
    <t>SUT (Stamford Urban Transitway)</t>
  </si>
  <si>
    <t>0135-RRXX</t>
  </si>
  <si>
    <t>0119-0119</t>
  </si>
  <si>
    <t>0081-0089</t>
  </si>
  <si>
    <t>0009-0097</t>
  </si>
  <si>
    <t>Paving of Dr. Martin King Jr. Dr., Belden Hill Rd., Butler St./ Harbor Ave.</t>
  </si>
  <si>
    <t>Paving of Hollow Tree Ridge Rd, West Ave, Leroy Ave</t>
  </si>
  <si>
    <t>Paving of West Johnson Road</t>
  </si>
  <si>
    <t>Resurfacing of Straitsville Road</t>
  </si>
  <si>
    <t xml:space="preserve">Paving of Long Swamp Road </t>
  </si>
  <si>
    <t xml:space="preserve">Resurfacing of Christian Street </t>
  </si>
  <si>
    <t xml:space="preserve">Quinnipiac Avenue Phase 2 </t>
  </si>
  <si>
    <t>Paving of Industrial Park Rd</t>
  </si>
  <si>
    <t>Montauk Avenue Improvements and Resurfacing - Phase 1</t>
  </si>
  <si>
    <t>0054-0084</t>
  </si>
  <si>
    <t>Replacement of Staircases &amp; Railings at Noroton Heights RR Station</t>
  </si>
  <si>
    <t>0084-0107</t>
  </si>
  <si>
    <t>0144-0189</t>
  </si>
  <si>
    <t>0109-0168</t>
  </si>
  <si>
    <t>Lebanon</t>
  </si>
  <si>
    <t xml:space="preserve">Paving of Old Hawleyville Rd. </t>
  </si>
  <si>
    <t>Paving Geer St.</t>
  </si>
  <si>
    <t>0037-0100</t>
  </si>
  <si>
    <t>0112-0115</t>
  </si>
  <si>
    <t>0108-0177</t>
  </si>
  <si>
    <t>Resurface of Whitney Ave</t>
  </si>
  <si>
    <t>Paving of Bartlett Street, Collins Hill Road, High Street, Isinglass and Jobs Pond Road</t>
  </si>
  <si>
    <t>Paving Maiden Lane</t>
  </si>
  <si>
    <t>Paving Cedar Street, Derby and Jackson Hill Roads</t>
  </si>
  <si>
    <t>Lake Shore Drive paving</t>
  </si>
  <si>
    <t>0123-0065</t>
  </si>
  <si>
    <t>0068-0212</t>
  </si>
  <si>
    <t>0040-0137</t>
  </si>
  <si>
    <t>0105-0205</t>
  </si>
  <si>
    <t>0031-0129</t>
  </si>
  <si>
    <t>0099-0127</t>
  </si>
  <si>
    <t>0107-0170</t>
  </si>
  <si>
    <t>0033-0126</t>
  </si>
  <si>
    <t>0082-0306</t>
  </si>
  <si>
    <t>Membrane overlay of bridge 5206 Sodom Rd.</t>
  </si>
  <si>
    <t>Routes 44 and 41, sidewalks and curbing</t>
  </si>
  <si>
    <t>0138-0236</t>
  </si>
  <si>
    <t>Guilford</t>
  </si>
  <si>
    <t>Repaving Bruce Ave.</t>
  </si>
  <si>
    <t>Route 107 Intersection Improvements at Route 57 and Main St.</t>
  </si>
  <si>
    <t>ARRA 2009 Projects as Proposed by RPOs - November 5, 2009</t>
  </si>
  <si>
    <r>
      <t xml:space="preserve">ARRA 2009 Projects as Proposed by RPO - </t>
    </r>
    <r>
      <rPr>
        <b/>
        <i/>
        <u val="single"/>
        <sz val="12"/>
        <rFont val="Arial"/>
        <family val="2"/>
      </rPr>
      <t>Listing of Rural RPO Projects Only</t>
    </r>
  </si>
  <si>
    <t xml:space="preserve">DRAFT LIST   - November 5, 2009                                                           </t>
  </si>
  <si>
    <r>
      <t xml:space="preserve"> </t>
    </r>
    <r>
      <rPr>
        <b/>
        <sz val="12"/>
        <rFont val="Arial"/>
        <family val="2"/>
      </rPr>
      <t xml:space="preserve">ARRA 2009 Projects  - </t>
    </r>
    <r>
      <rPr>
        <b/>
        <i/>
        <u val="single"/>
        <sz val="12"/>
        <rFont val="Arial"/>
        <family val="2"/>
      </rPr>
      <t>Listing of Transportation Enhancement Projects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</si>
</sst>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
    <numFmt numFmtId="167" formatCode="[$-409]dddd\,\ mmmm\ dd\,\ yyyy"/>
    <numFmt numFmtId="168" formatCode="[$-F800]dddd\,\ mmmm\ dd\,\ yyyy"/>
    <numFmt numFmtId="169" formatCode="mmm\-yyyy"/>
    <numFmt numFmtId="170" formatCode="[$-409]m/d/yy\ h:mm\ AM/PM;@"/>
    <numFmt numFmtId="171" formatCode="m/d/yyyy;@"/>
    <numFmt numFmtId="172" formatCode="#,##0,"/>
  </numFmts>
  <fonts count="39">
    <font>
      <sz val="10"/>
      <name val="Arial"/>
      <family val="0"/>
    </font>
    <font>
      <b/>
      <sz val="16"/>
      <name val="Arial"/>
      <family val="2"/>
    </font>
    <font>
      <sz val="16"/>
      <name val="Arial"/>
      <family val="2"/>
    </font>
    <font>
      <b/>
      <sz val="14"/>
      <name val="Arial"/>
      <family val="2"/>
    </font>
    <font>
      <sz val="14"/>
      <name val="Arial"/>
      <family val="2"/>
    </font>
    <font>
      <b/>
      <sz val="12"/>
      <name val="Arial"/>
      <family val="2"/>
    </font>
    <font>
      <sz val="12"/>
      <name val="Arial"/>
      <family val="2"/>
    </font>
    <font>
      <sz val="10"/>
      <name val="Rockwell"/>
      <family val="0"/>
    </font>
    <font>
      <sz val="9"/>
      <name val="Arial"/>
      <family val="2"/>
    </font>
    <font>
      <b/>
      <sz val="10"/>
      <name val="Arial"/>
      <family val="2"/>
    </font>
    <font>
      <b/>
      <sz val="14"/>
      <color indexed="10"/>
      <name val="Arial"/>
      <family val="2"/>
    </font>
    <font>
      <b/>
      <sz val="11"/>
      <name val="Arial"/>
      <family val="2"/>
    </font>
    <font>
      <b/>
      <sz val="9"/>
      <name val="Arial"/>
      <family val="2"/>
    </font>
    <font>
      <sz val="8"/>
      <name val="Arial"/>
      <family val="0"/>
    </font>
    <font>
      <sz val="11"/>
      <name val="Arial"/>
      <family val="2"/>
    </font>
    <font>
      <sz val="14"/>
      <color indexed="10"/>
      <name val="Arial"/>
      <family val="2"/>
    </font>
    <font>
      <i/>
      <u val="single"/>
      <sz val="12"/>
      <name val="Arial"/>
      <family val="2"/>
    </font>
    <font>
      <b/>
      <i/>
      <u val="single"/>
      <sz val="11"/>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i/>
      <u val="single"/>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ouble"/>
      <bottom style="medium"/>
    </border>
    <border>
      <left>
        <color indexed="63"/>
      </left>
      <right style="medium"/>
      <top style="double"/>
      <bottom style="medium"/>
    </border>
    <border>
      <left style="medium"/>
      <right style="medium"/>
      <top style="double"/>
      <bottom style="medium"/>
    </border>
    <border>
      <left style="thin"/>
      <right style="medium"/>
      <top style="double"/>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style="medium"/>
      <bottom style="medium"/>
    </border>
    <border>
      <left style="thin">
        <color indexed="23"/>
      </left>
      <right style="thin">
        <color indexed="2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7"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2">
    <xf numFmtId="0" fontId="0" fillId="0" borderId="0" xfId="0" applyAlignment="1">
      <alignment/>
    </xf>
    <xf numFmtId="0" fontId="1" fillId="0" borderId="0" xfId="57" applyFont="1" applyFill="1" applyBorder="1" applyAlignment="1" applyProtection="1">
      <alignment horizontal="left" vertical="top"/>
      <protection/>
    </xf>
    <xf numFmtId="0" fontId="1" fillId="0" borderId="0" xfId="57" applyFont="1" applyFill="1" applyBorder="1" applyAlignment="1" applyProtection="1">
      <alignment horizontal="center" vertical="top"/>
      <protection/>
    </xf>
    <xf numFmtId="164" fontId="1" fillId="0" borderId="0" xfId="44" applyNumberFormat="1" applyFont="1" applyFill="1" applyBorder="1" applyAlignment="1" applyProtection="1">
      <alignment vertical="top"/>
      <protection/>
    </xf>
    <xf numFmtId="0" fontId="1" fillId="0" borderId="0" xfId="0" applyFont="1" applyFill="1" applyBorder="1" applyAlignment="1" applyProtection="1">
      <alignment vertical="top"/>
      <protection/>
    </xf>
    <xf numFmtId="0" fontId="4" fillId="0" borderId="0" xfId="0" applyFont="1" applyFill="1" applyAlignment="1" applyProtection="1">
      <alignment horizontal="center" vertical="top"/>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protection/>
    </xf>
    <xf numFmtId="0" fontId="11" fillId="0" borderId="0" xfId="0" applyFont="1" applyAlignment="1" applyProtection="1">
      <alignment horizontal="left"/>
      <protection/>
    </xf>
    <xf numFmtId="0" fontId="12" fillId="20" borderId="10" xfId="57" applyFont="1" applyFill="1" applyBorder="1" applyAlignment="1" applyProtection="1">
      <alignment horizontal="left" vertical="top"/>
      <protection/>
    </xf>
    <xf numFmtId="0" fontId="12" fillId="20" borderId="10" xfId="57" applyFont="1" applyFill="1" applyBorder="1" applyAlignment="1" applyProtection="1">
      <alignment horizontal="center" vertical="top"/>
      <protection/>
    </xf>
    <xf numFmtId="164" fontId="12" fillId="20" borderId="10" xfId="44" applyNumberFormat="1" applyFont="1" applyFill="1" applyBorder="1" applyAlignment="1" applyProtection="1">
      <alignment vertical="top"/>
      <protection/>
    </xf>
    <xf numFmtId="0" fontId="12" fillId="20" borderId="10" xfId="57" applyFont="1" applyFill="1" applyBorder="1" applyAlignment="1" applyProtection="1">
      <alignment horizontal="center" vertical="top" wrapText="1"/>
      <protection/>
    </xf>
    <xf numFmtId="0" fontId="12" fillId="20" borderId="11" xfId="57" applyFont="1" applyFill="1" applyBorder="1" applyAlignment="1" applyProtection="1">
      <alignment horizontal="center" vertical="top"/>
      <protection/>
    </xf>
    <xf numFmtId="0" fontId="12" fillId="0" borderId="0" xfId="0" applyFont="1" applyBorder="1" applyAlignment="1" applyProtection="1">
      <alignment vertical="top"/>
      <protection/>
    </xf>
    <xf numFmtId="0" fontId="12" fillId="20" borderId="0" xfId="57" applyFont="1" applyFill="1" applyBorder="1" applyAlignment="1" applyProtection="1">
      <alignment horizontal="left" vertical="top"/>
      <protection/>
    </xf>
    <xf numFmtId="0" fontId="12" fillId="20" borderId="0" xfId="57" applyFont="1" applyFill="1" applyBorder="1" applyAlignment="1" applyProtection="1">
      <alignment horizontal="center" vertical="top"/>
      <protection/>
    </xf>
    <xf numFmtId="164" fontId="12" fillId="20" borderId="0" xfId="44" applyNumberFormat="1" applyFont="1" applyFill="1" applyBorder="1" applyAlignment="1" applyProtection="1">
      <alignment vertical="top"/>
      <protection/>
    </xf>
    <xf numFmtId="0" fontId="10" fillId="0" borderId="0" xfId="0" applyFont="1" applyFill="1" applyAlignment="1" applyProtection="1">
      <alignment horizontal="left" vertical="top"/>
      <protection locked="0"/>
    </xf>
    <xf numFmtId="0" fontId="10" fillId="0" borderId="0" xfId="0" applyFont="1" applyFill="1" applyAlignment="1" applyProtection="1">
      <alignment horizontal="left" vertical="top"/>
      <protection/>
    </xf>
    <xf numFmtId="0" fontId="12" fillId="20" borderId="0" xfId="57" applyFont="1" applyFill="1" applyBorder="1" applyAlignment="1" applyProtection="1">
      <alignment vertical="top" wrapText="1"/>
      <protection/>
    </xf>
    <xf numFmtId="0" fontId="1" fillId="0" borderId="0" xfId="57" applyFont="1" applyFill="1" applyBorder="1" applyAlignment="1" applyProtection="1">
      <alignment vertical="top" wrapText="1"/>
      <protection/>
    </xf>
    <xf numFmtId="0" fontId="12" fillId="20" borderId="10" xfId="57" applyFont="1" applyFill="1" applyBorder="1" applyAlignment="1" applyProtection="1">
      <alignment vertical="top" wrapText="1"/>
      <protection/>
    </xf>
    <xf numFmtId="0" fontId="10" fillId="0" borderId="0" xfId="0" applyFont="1" applyFill="1" applyBorder="1" applyAlignment="1" applyProtection="1">
      <alignment horizontal="right" vertical="top"/>
      <protection/>
    </xf>
    <xf numFmtId="0" fontId="15" fillId="0" borderId="0" xfId="0" applyFont="1" applyFill="1" applyAlignment="1" applyProtection="1">
      <alignment horizontal="center" vertical="top"/>
      <protection/>
    </xf>
    <xf numFmtId="170" fontId="10" fillId="0" borderId="0" xfId="0" applyNumberFormat="1" applyFont="1" applyFill="1" applyBorder="1" applyAlignment="1" applyProtection="1">
      <alignment horizontal="left" vertical="top" wrapText="1"/>
      <protection locked="0"/>
    </xf>
    <xf numFmtId="170" fontId="10" fillId="0" borderId="0" xfId="0" applyNumberFormat="1" applyFont="1" applyFill="1" applyBorder="1" applyAlignment="1" applyProtection="1">
      <alignment horizontal="left" vertical="top" wrapText="1"/>
      <protection/>
    </xf>
    <xf numFmtId="0" fontId="1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vertical="top" wrapText="1"/>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164" fontId="4" fillId="0" borderId="0" xfId="44" applyNumberFormat="1"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2" fillId="0" borderId="0" xfId="0" applyFont="1" applyBorder="1" applyAlignment="1" applyProtection="1">
      <alignment/>
      <protection/>
    </xf>
    <xf numFmtId="166" fontId="12" fillId="0" borderId="0" xfId="44" applyNumberFormat="1" applyFont="1" applyFill="1" applyBorder="1" applyAlignment="1" applyProtection="1">
      <alignment horizontal="center" wrapText="1"/>
      <protection/>
    </xf>
    <xf numFmtId="165" fontId="12" fillId="0" borderId="0" xfId="0" applyNumberFormat="1" applyFont="1" applyAlignment="1" applyProtection="1">
      <alignment horizontal="right"/>
      <protection/>
    </xf>
    <xf numFmtId="0" fontId="12" fillId="0" borderId="0" xfId="0" applyFont="1" applyAlignment="1" applyProtection="1" quotePrefix="1">
      <alignment horizontal="left"/>
      <protection/>
    </xf>
    <xf numFmtId="165" fontId="12" fillId="0" borderId="0" xfId="0" applyNumberFormat="1" applyFont="1" applyAlignment="1" applyProtection="1">
      <alignment horizontal="left"/>
      <protection/>
    </xf>
    <xf numFmtId="0" fontId="8" fillId="22" borderId="10" xfId="0" applyFont="1" applyFill="1" applyBorder="1" applyAlignment="1" applyProtection="1">
      <alignment horizontal="left" vertical="top"/>
      <protection locked="0"/>
    </xf>
    <xf numFmtId="0" fontId="8" fillId="22" borderId="10" xfId="0" applyFont="1" applyFill="1" applyBorder="1" applyAlignment="1" applyProtection="1">
      <alignment horizontal="center" vertical="top"/>
      <protection locked="0"/>
    </xf>
    <xf numFmtId="0" fontId="8" fillId="22" borderId="10" xfId="57" applyFont="1" applyFill="1" applyBorder="1" applyAlignment="1" applyProtection="1">
      <alignment horizontal="center" vertical="top"/>
      <protection locked="0"/>
    </xf>
    <xf numFmtId="164" fontId="8" fillId="22" borderId="10" xfId="44" applyNumberFormat="1" applyFont="1" applyFill="1" applyBorder="1" applyAlignment="1" applyProtection="1">
      <alignment horizontal="left" vertical="top"/>
      <protection locked="0"/>
    </xf>
    <xf numFmtId="0" fontId="8" fillId="22" borderId="10" xfId="57" applyFont="1" applyFill="1" applyBorder="1" applyAlignment="1" applyProtection="1">
      <alignment horizontal="left" vertical="top" wrapText="1"/>
      <protection locked="0"/>
    </xf>
    <xf numFmtId="165" fontId="8" fillId="4" borderId="10" xfId="57" applyNumberFormat="1" applyFont="1" applyFill="1" applyBorder="1" applyAlignment="1" applyProtection="1">
      <alignment horizontal="center" vertical="top"/>
      <protection locked="0"/>
    </xf>
    <xf numFmtId="0" fontId="8" fillId="0" borderId="0" xfId="0" applyFont="1" applyBorder="1" applyAlignment="1">
      <alignment vertical="top"/>
    </xf>
    <xf numFmtId="166" fontId="12" fillId="0" borderId="0" xfId="0" applyNumberFormat="1" applyFont="1" applyBorder="1" applyAlignment="1" applyProtection="1">
      <alignment horizontal="center" wrapText="1"/>
      <protection/>
    </xf>
    <xf numFmtId="0" fontId="8" fillId="22" borderId="10" xfId="57" applyFont="1" applyFill="1" applyBorder="1" applyAlignment="1" applyProtection="1">
      <alignment horizontal="left" vertical="top"/>
      <protection locked="0"/>
    </xf>
    <xf numFmtId="164" fontId="8" fillId="22" borderId="10" xfId="44" applyNumberFormat="1" applyFont="1" applyFill="1" applyBorder="1" applyAlignment="1" applyProtection="1">
      <alignmen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top"/>
      <protection locked="0"/>
    </xf>
    <xf numFmtId="0" fontId="8" fillId="0" borderId="0" xfId="0" applyFont="1" applyFill="1" applyBorder="1" applyAlignment="1" applyProtection="1">
      <alignment vertical="top"/>
      <protection locked="0"/>
    </xf>
    <xf numFmtId="164" fontId="8" fillId="0" borderId="0" xfId="44" applyNumberFormat="1" applyFont="1" applyFill="1" applyBorder="1" applyAlignment="1" applyProtection="1">
      <alignment vertical="top"/>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lignment vertical="top"/>
    </xf>
    <xf numFmtId="0" fontId="12" fillId="0" borderId="0" xfId="0" applyFont="1" applyFill="1" applyBorder="1" applyAlignment="1" applyProtection="1">
      <alignment horizontal="left" vertical="top"/>
      <protection locked="0"/>
    </xf>
    <xf numFmtId="0" fontId="12" fillId="0" borderId="0" xfId="0" applyFont="1" applyAlignment="1" applyProtection="1">
      <alignment horizontal="center" wrapText="1"/>
      <protection/>
    </xf>
    <xf numFmtId="0" fontId="8" fillId="0" borderId="0" xfId="0" applyFont="1" applyAlignment="1" applyProtection="1">
      <alignment horizontal="center" vertical="top"/>
      <protection locked="0"/>
    </xf>
    <xf numFmtId="164" fontId="8" fillId="0" borderId="0" xfId="44" applyNumberFormat="1" applyFont="1" applyAlignment="1" applyProtection="1">
      <alignment vertical="top"/>
      <protection locked="0"/>
    </xf>
    <xf numFmtId="0" fontId="8" fillId="0" borderId="0" xfId="0" applyFont="1" applyAlignment="1" applyProtection="1">
      <alignment vertical="top" wrapText="1"/>
      <protection locked="0"/>
    </xf>
    <xf numFmtId="0" fontId="8"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8" fillId="0" borderId="0" xfId="0" applyFont="1" applyBorder="1" applyAlignment="1" applyProtection="1">
      <alignment vertical="top"/>
      <protection locked="0"/>
    </xf>
    <xf numFmtId="0" fontId="8" fillId="22" borderId="10" xfId="57" applyFont="1" applyFill="1" applyBorder="1" applyAlignment="1" applyProtection="1">
      <alignment vertical="top" wrapText="1"/>
      <protection locked="0"/>
    </xf>
    <xf numFmtId="0" fontId="12" fillId="0" borderId="0" xfId="0" applyFont="1" applyFill="1" applyBorder="1" applyAlignment="1">
      <alignment vertical="top"/>
    </xf>
    <xf numFmtId="0" fontId="8" fillId="0" borderId="0" xfId="0" applyFont="1" applyBorder="1" applyAlignment="1" applyProtection="1">
      <alignment vertical="top"/>
      <protection/>
    </xf>
    <xf numFmtId="164" fontId="5" fillId="0" borderId="0" xfId="44" applyNumberFormat="1" applyFont="1" applyFill="1" applyBorder="1" applyAlignment="1" applyProtection="1">
      <alignment/>
      <protection/>
    </xf>
    <xf numFmtId="0" fontId="6" fillId="0" borderId="0" xfId="0" applyFont="1" applyBorder="1" applyAlignment="1" applyProtection="1">
      <alignment/>
      <protection/>
    </xf>
    <xf numFmtId="164" fontId="5" fillId="0" borderId="12" xfId="44" applyNumberFormat="1" applyFont="1" applyFill="1" applyBorder="1" applyAlignment="1" applyProtection="1">
      <alignment horizontal="center" vertical="center" wrapText="1"/>
      <protection/>
    </xf>
    <xf numFmtId="0" fontId="6" fillId="0" borderId="13" xfId="0" applyFont="1" applyBorder="1" applyAlignment="1" applyProtection="1">
      <alignment/>
      <protection/>
    </xf>
    <xf numFmtId="0" fontId="6" fillId="0" borderId="14" xfId="0" applyFont="1" applyBorder="1" applyAlignment="1" applyProtection="1">
      <alignment horizontal="center"/>
      <protection/>
    </xf>
    <xf numFmtId="164" fontId="6" fillId="0" borderId="0" xfId="44" applyNumberFormat="1" applyFont="1" applyFill="1" applyBorder="1" applyAlignment="1" applyProtection="1">
      <alignment horizontal="center"/>
      <protection/>
    </xf>
    <xf numFmtId="164" fontId="6" fillId="24" borderId="15" xfId="44" applyNumberFormat="1" applyFont="1" applyFill="1" applyBorder="1" applyAlignment="1" applyProtection="1">
      <alignment horizontal="center"/>
      <protection/>
    </xf>
    <xf numFmtId="164" fontId="6" fillId="0" borderId="16" xfId="44" applyNumberFormat="1" applyFont="1" applyBorder="1" applyAlignment="1" applyProtection="1">
      <alignment horizontal="left"/>
      <protection/>
    </xf>
    <xf numFmtId="164" fontId="6" fillId="0" borderId="14" xfId="44" applyNumberFormat="1" applyFont="1" applyBorder="1" applyAlignment="1" applyProtection="1">
      <alignment/>
      <protection/>
    </xf>
    <xf numFmtId="164" fontId="6" fillId="0" borderId="14" xfId="44" applyNumberFormat="1" applyFont="1" applyFill="1" applyBorder="1" applyAlignment="1" applyProtection="1">
      <alignment horizontal="center"/>
      <protection/>
    </xf>
    <xf numFmtId="0" fontId="5" fillId="0" borderId="16" xfId="0" applyFont="1" applyBorder="1" applyAlignment="1" applyProtection="1">
      <alignment horizontal="left"/>
      <protection/>
    </xf>
    <xf numFmtId="0" fontId="6" fillId="0" borderId="17" xfId="0" applyFont="1" applyBorder="1" applyAlignment="1" applyProtection="1">
      <alignment/>
      <protection/>
    </xf>
    <xf numFmtId="0" fontId="16" fillId="0" borderId="14" xfId="0" applyFont="1" applyBorder="1" applyAlignment="1" applyProtection="1">
      <alignment horizontal="center"/>
      <protection/>
    </xf>
    <xf numFmtId="164" fontId="6" fillId="0" borderId="15" xfId="44" applyNumberFormat="1" applyFont="1" applyFill="1" applyBorder="1" applyAlignment="1" applyProtection="1">
      <alignment horizontal="center"/>
      <protection/>
    </xf>
    <xf numFmtId="0" fontId="6" fillId="0" borderId="18" xfId="0" applyFont="1" applyBorder="1" applyAlignment="1" applyProtection="1">
      <alignment/>
      <protection/>
    </xf>
    <xf numFmtId="0" fontId="5" fillId="0" borderId="19" xfId="0" applyFont="1" applyBorder="1" applyAlignment="1" applyProtection="1">
      <alignment horizontal="right"/>
      <protection/>
    </xf>
    <xf numFmtId="0" fontId="6" fillId="24" borderId="20" xfId="0" applyFont="1" applyFill="1" applyBorder="1" applyAlignment="1" applyProtection="1">
      <alignment horizontal="center"/>
      <protection/>
    </xf>
    <xf numFmtId="0" fontId="16" fillId="24" borderId="20" xfId="0" applyFont="1" applyFill="1" applyBorder="1" applyAlignment="1" applyProtection="1">
      <alignment horizontal="center"/>
      <protection/>
    </xf>
    <xf numFmtId="164" fontId="6" fillId="24" borderId="18" xfId="44" applyNumberFormat="1" applyFont="1" applyFill="1" applyBorder="1" applyAlignment="1" applyProtection="1">
      <alignment horizontal="left"/>
      <protection/>
    </xf>
    <xf numFmtId="164" fontId="6" fillId="24" borderId="21" xfId="44" applyNumberFormat="1" applyFont="1" applyFill="1" applyBorder="1" applyAlignment="1" applyProtection="1">
      <alignment horizontal="left"/>
      <protection/>
    </xf>
    <xf numFmtId="164" fontId="6" fillId="0" borderId="18" xfId="44" applyNumberFormat="1" applyFont="1" applyBorder="1" applyAlignment="1" applyProtection="1">
      <alignment horizontal="left"/>
      <protection/>
    </xf>
    <xf numFmtId="164" fontId="6" fillId="0" borderId="20" xfId="44" applyNumberFormat="1" applyFont="1" applyBorder="1" applyAlignment="1" applyProtection="1">
      <alignment horizontal="left"/>
      <protection/>
    </xf>
    <xf numFmtId="0" fontId="5" fillId="0" borderId="0" xfId="0" applyFont="1" applyBorder="1" applyAlignment="1" applyProtection="1">
      <alignment vertical="top" wrapText="1"/>
      <protection/>
    </xf>
    <xf numFmtId="0" fontId="14"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Alignment="1" applyProtection="1">
      <alignment horizontal="center"/>
      <protection/>
    </xf>
    <xf numFmtId="164" fontId="14" fillId="0" borderId="0" xfId="44" applyNumberFormat="1" applyFont="1" applyAlignment="1" applyProtection="1">
      <alignment/>
      <protection/>
    </xf>
    <xf numFmtId="0" fontId="14" fillId="0" borderId="0" xfId="0" applyFont="1" applyFill="1" applyBorder="1" applyAlignment="1" applyProtection="1">
      <alignment horizontal="left" vertical="top"/>
      <protection/>
    </xf>
    <xf numFmtId="164" fontId="14" fillId="0" borderId="0" xfId="44" applyNumberFormat="1" applyFont="1" applyAlignment="1" applyProtection="1">
      <alignment/>
      <protection/>
    </xf>
    <xf numFmtId="0" fontId="14" fillId="0" borderId="0" xfId="0" applyFont="1" applyFill="1" applyBorder="1" applyAlignment="1" applyProtection="1">
      <alignment horizontal="left" vertical="top" wrapText="1"/>
      <protection/>
    </xf>
    <xf numFmtId="0" fontId="14" fillId="0" borderId="0" xfId="0" applyFont="1" applyAlignment="1" applyProtection="1">
      <alignment horizontal="left" vertical="top"/>
      <protection/>
    </xf>
    <xf numFmtId="0" fontId="3" fillId="0" borderId="0" xfId="0" applyFont="1" applyBorder="1" applyAlignment="1" applyProtection="1">
      <alignment horizontal="right"/>
      <protection/>
    </xf>
    <xf numFmtId="170" fontId="3" fillId="0" borderId="0" xfId="0" applyNumberFormat="1" applyFont="1" applyFill="1" applyBorder="1" applyAlignment="1" applyProtection="1">
      <alignment horizontal="left"/>
      <protection/>
    </xf>
    <xf numFmtId="0" fontId="5" fillId="0" borderId="22" xfId="0" applyFont="1" applyFill="1" applyBorder="1" applyAlignment="1" applyProtection="1">
      <alignment horizontal="center" vertical="center" wrapText="1"/>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170" fontId="3" fillId="0" borderId="25" xfId="0" applyNumberFormat="1" applyFont="1" applyFill="1" applyBorder="1" applyAlignment="1" applyProtection="1">
      <alignment horizontal="left"/>
      <protection/>
    </xf>
    <xf numFmtId="0" fontId="3" fillId="0" borderId="25" xfId="0" applyFont="1" applyBorder="1" applyAlignment="1" applyProtection="1">
      <alignment horizontal="center"/>
      <protection/>
    </xf>
    <xf numFmtId="164" fontId="5" fillId="0" borderId="26" xfId="44" applyNumberFormat="1" applyFont="1" applyFill="1" applyBorder="1" applyAlignment="1" applyProtection="1">
      <alignment horizontal="center" vertical="center" wrapText="1"/>
      <protection/>
    </xf>
    <xf numFmtId="0" fontId="6" fillId="0" borderId="16" xfId="0" applyFont="1" applyBorder="1" applyAlignment="1" applyProtection="1">
      <alignment/>
      <protection/>
    </xf>
    <xf numFmtId="0" fontId="5" fillId="0" borderId="12" xfId="0" applyFont="1" applyFill="1" applyBorder="1" applyAlignment="1" applyProtection="1">
      <alignment horizontal="center" vertical="center" wrapText="1"/>
      <protection/>
    </xf>
    <xf numFmtId="0" fontId="6" fillId="0" borderId="25" xfId="0" applyFont="1" applyBorder="1" applyAlignment="1" applyProtection="1">
      <alignment/>
      <protection/>
    </xf>
    <xf numFmtId="0" fontId="6" fillId="0" borderId="14" xfId="0" applyFont="1" applyBorder="1" applyAlignment="1" applyProtection="1">
      <alignment/>
      <protection/>
    </xf>
    <xf numFmtId="164" fontId="5" fillId="0" borderId="27" xfId="44" applyNumberFormat="1" applyFont="1" applyFill="1" applyBorder="1" applyAlignment="1" applyProtection="1">
      <alignment horizontal="center" vertical="center" wrapText="1"/>
      <protection/>
    </xf>
    <xf numFmtId="0" fontId="14" fillId="0" borderId="28" xfId="0" applyFont="1" applyFill="1" applyBorder="1" applyAlignment="1" applyProtection="1">
      <alignment/>
      <protection/>
    </xf>
    <xf numFmtId="164" fontId="14" fillId="0" borderId="0" xfId="44" applyNumberFormat="1" applyFont="1" applyFill="1" applyAlignment="1" applyProtection="1">
      <alignment/>
      <protection/>
    </xf>
    <xf numFmtId="0" fontId="14" fillId="0" borderId="0" xfId="0" applyFont="1" applyFill="1" applyAlignment="1" applyProtection="1">
      <alignment/>
      <protection/>
    </xf>
    <xf numFmtId="164" fontId="14" fillId="0" borderId="0" xfId="44" applyNumberFormat="1" applyFont="1" applyFill="1" applyAlignment="1" applyProtection="1">
      <alignment/>
      <protection/>
    </xf>
    <xf numFmtId="0" fontId="14" fillId="17" borderId="10" xfId="0" applyFont="1" applyFill="1" applyBorder="1" applyAlignment="1" applyProtection="1">
      <alignment/>
      <protection/>
    </xf>
    <xf numFmtId="0" fontId="14" fillId="25" borderId="10" xfId="0" applyFont="1" applyFill="1" applyBorder="1" applyAlignment="1" applyProtection="1">
      <alignment/>
      <protection/>
    </xf>
    <xf numFmtId="0" fontId="14" fillId="24" borderId="10" xfId="0" applyFont="1" applyFill="1" applyBorder="1" applyAlignment="1" applyProtection="1">
      <alignment/>
      <protection/>
    </xf>
    <xf numFmtId="0" fontId="12" fillId="0" borderId="0" xfId="0" applyFont="1" applyFill="1" applyAlignment="1" applyProtection="1">
      <alignment horizontal="left" vertical="top"/>
      <protection locked="0"/>
    </xf>
    <xf numFmtId="0" fontId="8" fillId="0" borderId="0" xfId="0" applyFont="1" applyFill="1" applyAlignment="1" applyProtection="1">
      <alignment horizontal="center" vertical="top"/>
      <protection locked="0"/>
    </xf>
    <xf numFmtId="164" fontId="8" fillId="0" borderId="0" xfId="44" applyNumberFormat="1" applyFont="1" applyFill="1" applyAlignment="1" applyProtection="1">
      <alignment vertical="top"/>
      <protection locked="0"/>
    </xf>
    <xf numFmtId="0" fontId="8" fillId="0" borderId="0" xfId="0" applyFont="1" applyFill="1" applyAlignment="1" applyProtection="1">
      <alignment vertical="top" wrapText="1"/>
      <protection locked="0"/>
    </xf>
    <xf numFmtId="0" fontId="8" fillId="0" borderId="0" xfId="0" applyFont="1" applyFill="1" applyAlignment="1" applyProtection="1">
      <alignment vertical="top"/>
      <protection locked="0"/>
    </xf>
    <xf numFmtId="164" fontId="8" fillId="22" borderId="10" xfId="44" applyNumberFormat="1" applyFont="1" applyFill="1" applyBorder="1" applyAlignment="1" applyProtection="1">
      <alignment horizontal="left" vertical="top" wrapText="1"/>
      <protection locked="0"/>
    </xf>
    <xf numFmtId="165" fontId="12" fillId="0" borderId="0" xfId="0" applyNumberFormat="1" applyFont="1" applyAlignment="1" applyProtection="1">
      <alignment horizontal="center"/>
      <protection/>
    </xf>
    <xf numFmtId="165" fontId="8" fillId="0" borderId="0" xfId="0" applyNumberFormat="1" applyFont="1" applyFill="1" applyBorder="1" applyAlignment="1" applyProtection="1">
      <alignment horizontal="center" vertical="top"/>
      <protection locked="0"/>
    </xf>
    <xf numFmtId="165" fontId="8" fillId="0" borderId="0" xfId="0" applyNumberFormat="1" applyFont="1" applyAlignment="1" applyProtection="1">
      <alignment horizontal="center" vertical="top"/>
      <protection locked="0"/>
    </xf>
    <xf numFmtId="165" fontId="3" fillId="0" borderId="0" xfId="0" applyNumberFormat="1" applyFont="1" applyFill="1" applyBorder="1" applyAlignment="1" applyProtection="1">
      <alignment horizontal="center" vertical="top" wrapText="1"/>
      <protection/>
    </xf>
    <xf numFmtId="165" fontId="8" fillId="0" borderId="0" xfId="0" applyNumberFormat="1" applyFont="1" applyFill="1" applyAlignment="1" applyProtection="1">
      <alignment horizontal="center" vertical="top"/>
      <protection locked="0"/>
    </xf>
    <xf numFmtId="164" fontId="12" fillId="20" borderId="0" xfId="44" applyNumberFormat="1" applyFont="1" applyFill="1" applyBorder="1" applyAlignment="1" applyProtection="1">
      <alignment horizontal="left" vertical="top"/>
      <protection/>
    </xf>
    <xf numFmtId="164" fontId="1" fillId="0" borderId="0" xfId="44" applyNumberFormat="1"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 fillId="0" borderId="0" xfId="0" applyFont="1" applyBorder="1" applyAlignment="1" applyProtection="1">
      <alignment horizontal="left"/>
      <protection/>
    </xf>
    <xf numFmtId="164" fontId="12" fillId="20" borderId="10" xfId="44" applyNumberFormat="1" applyFont="1" applyFill="1" applyBorder="1" applyAlignment="1" applyProtection="1">
      <alignment horizontal="left" vertical="top"/>
      <protection/>
    </xf>
    <xf numFmtId="164" fontId="8" fillId="0" borderId="0" xfId="44" applyNumberFormat="1" applyFont="1" applyFill="1" applyBorder="1" applyAlignment="1" applyProtection="1">
      <alignment horizontal="left" vertical="top"/>
      <protection locked="0"/>
    </xf>
    <xf numFmtId="0" fontId="9" fillId="0" borderId="0" xfId="57" applyFont="1" applyFill="1" applyBorder="1" applyAlignment="1" applyProtection="1">
      <alignment horizontal="centerContinuous" vertical="top"/>
      <protection/>
    </xf>
    <xf numFmtId="164" fontId="9" fillId="0" borderId="0" xfId="44" applyNumberFormat="1" applyFont="1" applyFill="1" applyBorder="1" applyAlignment="1" applyProtection="1">
      <alignment horizontal="centerContinuous" vertical="top"/>
      <protection/>
    </xf>
    <xf numFmtId="0" fontId="9" fillId="0" borderId="0" xfId="57" applyFont="1" applyFill="1" applyBorder="1" applyAlignment="1" applyProtection="1">
      <alignment horizontal="centerContinuous" vertical="top" wrapText="1"/>
      <protection/>
    </xf>
    <xf numFmtId="0" fontId="5" fillId="0" borderId="0" xfId="57" applyFont="1" applyFill="1" applyBorder="1" applyAlignment="1" applyProtection="1">
      <alignment horizontal="centerContinuous" vertical="top"/>
      <protection/>
    </xf>
    <xf numFmtId="0" fontId="1" fillId="0" borderId="0" xfId="0" applyFont="1" applyBorder="1" applyAlignment="1" applyProtection="1">
      <alignment horizontal="center"/>
      <protection/>
    </xf>
    <xf numFmtId="164" fontId="5" fillId="0" borderId="16" xfId="44" applyNumberFormat="1" applyFont="1" applyFill="1" applyBorder="1" applyAlignment="1" applyProtection="1">
      <alignment horizontal="center" vertical="center" wrapText="1"/>
      <protection/>
    </xf>
    <xf numFmtId="164" fontId="5" fillId="0" borderId="17" xfId="44" applyNumberFormat="1" applyFont="1" applyFill="1" applyBorder="1" applyAlignment="1" applyProtection="1">
      <alignment horizontal="center" vertical="center" wrapText="1"/>
      <protection/>
    </xf>
    <xf numFmtId="164" fontId="5" fillId="0" borderId="14" xfId="44" applyNumberFormat="1" applyFont="1" applyFill="1" applyBorder="1" applyAlignment="1" applyProtection="1">
      <alignment horizontal="center" vertical="center" wrapText="1"/>
      <protection/>
    </xf>
    <xf numFmtId="164" fontId="5" fillId="0" borderId="22" xfId="44" applyNumberFormat="1" applyFont="1" applyFill="1" applyBorder="1" applyAlignment="1" applyProtection="1">
      <alignment horizontal="center" vertical="center" wrapText="1"/>
      <protection/>
    </xf>
    <xf numFmtId="164" fontId="5" fillId="0" borderId="23" xfId="44" applyNumberFormat="1" applyFont="1" applyFill="1" applyBorder="1" applyAlignment="1" applyProtection="1">
      <alignment horizontal="center" vertical="center" wrapText="1"/>
      <protection/>
    </xf>
    <xf numFmtId="164" fontId="5" fillId="0" borderId="13" xfId="44" applyNumberFormat="1" applyFont="1" applyFill="1" applyBorder="1" applyAlignment="1" applyProtection="1">
      <alignment horizontal="center" vertical="center" wrapText="1"/>
      <protection/>
    </xf>
    <xf numFmtId="0" fontId="5" fillId="0" borderId="26"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164" fontId="5" fillId="0" borderId="23" xfId="44" applyNumberFormat="1" applyFont="1" applyFill="1" applyBorder="1" applyAlignment="1" applyProtection="1">
      <alignment horizontal="center" wrapText="1"/>
      <protection/>
    </xf>
    <xf numFmtId="164" fontId="5" fillId="0" borderId="13" xfId="44" applyNumberFormat="1" applyFont="1" applyFill="1" applyBorder="1" applyAlignment="1" applyProtection="1">
      <alignment horizontal="center" wrapText="1"/>
      <protection/>
    </xf>
    <xf numFmtId="164" fontId="5" fillId="0" borderId="30" xfId="44" applyNumberFormat="1" applyFont="1" applyFill="1" applyBorder="1" applyAlignment="1" applyProtection="1">
      <alignment horizontal="center" wrapText="1"/>
      <protection/>
    </xf>
    <xf numFmtId="164" fontId="5" fillId="0" borderId="31" xfId="44" applyNumberFormat="1" applyFont="1" applyFill="1" applyBorder="1" applyAlignment="1" applyProtection="1">
      <alignment horizontal="center" wrapText="1"/>
      <protection/>
    </xf>
    <xf numFmtId="0" fontId="0" fillId="0" borderId="31" xfId="0" applyBorder="1" applyAlignment="1">
      <alignment horizontal="center" wrapText="1"/>
    </xf>
    <xf numFmtId="0" fontId="0" fillId="0" borderId="32" xfId="0" applyBorder="1" applyAlignment="1">
      <alignment horizontal="center" wrapText="1"/>
    </xf>
    <xf numFmtId="0" fontId="10" fillId="0" borderId="0" xfId="0" applyFont="1" applyFill="1" applyAlignment="1" applyProtection="1">
      <alignment horizontal="left" vertical="top"/>
      <protection locked="0"/>
    </xf>
    <xf numFmtId="0" fontId="0" fillId="0" borderId="0" xfId="0"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4">
    <dxf>
      <fill>
        <patternFill>
          <bgColor indexed="13"/>
        </patternFill>
      </fill>
    </dxf>
    <dxf>
      <font>
        <color indexed="9"/>
      </font>
      <fill>
        <patternFill>
          <bgColor indexed="10"/>
        </patternFill>
      </fill>
    </dxf>
    <dxf>
      <fill>
        <patternFill>
          <bgColor indexed="13"/>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116"/>
  <sheetViews>
    <sheetView zoomScale="70" zoomScaleNormal="70" zoomScalePageLayoutView="0" workbookViewId="0" topLeftCell="A1">
      <selection activeCell="E8" sqref="E8"/>
    </sheetView>
  </sheetViews>
  <sheetFormatPr defaultColWidth="9.140625" defaultRowHeight="12.75"/>
  <cols>
    <col min="1" max="1" width="9.140625" style="35" customWidth="1"/>
    <col min="2" max="2" width="46.140625" style="35" customWidth="1"/>
    <col min="3" max="4" width="15.00390625" style="37" customWidth="1"/>
    <col min="5" max="5" width="24.140625" style="35" customWidth="1"/>
    <col min="6" max="6" width="24.140625" style="38" customWidth="1"/>
    <col min="7" max="7" width="24.140625" style="35" customWidth="1"/>
    <col min="8" max="8" width="24.140625" style="38" customWidth="1"/>
    <col min="9" max="13" width="21.421875" style="38" customWidth="1"/>
    <col min="14" max="15" width="16.57421875" style="35" customWidth="1"/>
    <col min="16" max="16384" width="9.140625" style="35" customWidth="1"/>
  </cols>
  <sheetData>
    <row r="1" spans="1:15" s="31" customFormat="1" ht="20.25">
      <c r="A1" s="145" t="s">
        <v>3</v>
      </c>
      <c r="B1" s="145"/>
      <c r="C1" s="145"/>
      <c r="D1" s="145"/>
      <c r="E1" s="145"/>
      <c r="F1" s="145"/>
      <c r="G1" s="145"/>
      <c r="H1" s="145"/>
      <c r="I1" s="145"/>
      <c r="J1" s="145"/>
      <c r="K1" s="145"/>
      <c r="L1" s="145"/>
      <c r="M1" s="145"/>
      <c r="N1" s="30"/>
      <c r="O1" s="30"/>
    </row>
    <row r="2" spans="2:15" s="32" customFormat="1" ht="18">
      <c r="B2" s="33"/>
      <c r="C2" s="33"/>
      <c r="G2" s="104" t="s">
        <v>139</v>
      </c>
      <c r="H2" s="105">
        <f>'Candidates-MPO'!E3</f>
        <v>0</v>
      </c>
      <c r="I2" s="105"/>
      <c r="J2" s="105"/>
      <c r="K2" s="105"/>
      <c r="L2" s="34"/>
      <c r="M2" s="34"/>
      <c r="N2" s="34"/>
      <c r="O2" s="34"/>
    </row>
    <row r="3" spans="2:15" s="32" customFormat="1" ht="18.75" thickBot="1">
      <c r="B3" s="33"/>
      <c r="C3" s="33"/>
      <c r="G3" s="104"/>
      <c r="H3" s="105"/>
      <c r="I3" s="105"/>
      <c r="J3" s="105"/>
      <c r="K3" s="105"/>
      <c r="L3" s="34"/>
      <c r="M3" s="34"/>
      <c r="N3" s="34"/>
      <c r="O3" s="34"/>
    </row>
    <row r="4" spans="1:15" s="74" customFormat="1" ht="18.75" thickBot="1">
      <c r="A4" s="107"/>
      <c r="B4" s="108"/>
      <c r="C4" s="114"/>
      <c r="D4" s="76"/>
      <c r="E4" s="156" t="s">
        <v>172</v>
      </c>
      <c r="F4" s="157"/>
      <c r="G4" s="158"/>
      <c r="H4" s="159"/>
      <c r="I4" s="154"/>
      <c r="J4" s="155"/>
      <c r="K4" s="109"/>
      <c r="L4" s="110"/>
      <c r="M4" s="110"/>
      <c r="N4" s="73"/>
      <c r="O4" s="73"/>
    </row>
    <row r="5" spans="1:15" s="74" customFormat="1" ht="61.5" customHeight="1" thickBot="1">
      <c r="A5" s="112"/>
      <c r="C5" s="115"/>
      <c r="D5" s="84"/>
      <c r="E5" s="150" t="s">
        <v>173</v>
      </c>
      <c r="F5" s="151"/>
      <c r="G5" s="150" t="s">
        <v>174</v>
      </c>
      <c r="H5" s="151"/>
      <c r="I5" s="146" t="s">
        <v>5</v>
      </c>
      <c r="J5" s="147"/>
      <c r="K5" s="148" t="s">
        <v>6</v>
      </c>
      <c r="L5" s="148" t="s">
        <v>154</v>
      </c>
      <c r="M5" s="148" t="s">
        <v>155</v>
      </c>
      <c r="N5" s="73"/>
      <c r="O5" s="73"/>
    </row>
    <row r="6" spans="1:13" s="95" customFormat="1" ht="39.75" customHeight="1" thickBot="1">
      <c r="A6" s="152" t="s">
        <v>170</v>
      </c>
      <c r="B6" s="153"/>
      <c r="C6" s="106" t="s">
        <v>4</v>
      </c>
      <c r="D6" s="113" t="s">
        <v>116</v>
      </c>
      <c r="E6" s="111" t="s">
        <v>7</v>
      </c>
      <c r="F6" s="75" t="s">
        <v>8</v>
      </c>
      <c r="G6" s="111" t="s">
        <v>7</v>
      </c>
      <c r="H6" s="75" t="s">
        <v>8</v>
      </c>
      <c r="I6" s="116" t="s">
        <v>159</v>
      </c>
      <c r="J6" s="116" t="s">
        <v>158</v>
      </c>
      <c r="K6" s="149"/>
      <c r="L6" s="149"/>
      <c r="M6" s="149"/>
    </row>
    <row r="7" spans="1:13" s="74" customFormat="1" ht="15.75">
      <c r="A7" s="83" t="s">
        <v>9</v>
      </c>
      <c r="B7" s="84"/>
      <c r="C7" s="77">
        <v>1</v>
      </c>
      <c r="D7" s="77" t="s">
        <v>7</v>
      </c>
      <c r="E7" s="78" t="e">
        <f>SUMIF('Candidates-MPO'!#REF!,"=1-Urban",'Candidates-MPO'!#REF!)</f>
        <v>#REF!</v>
      </c>
      <c r="F7" s="79"/>
      <c r="G7" s="78" t="e">
        <f>SUMIF('Candidates-MPO'!#REF!,"=1-Urban",'Candidates-MPO'!#REF!)</f>
        <v>#REF!</v>
      </c>
      <c r="H7" s="79"/>
      <c r="I7" s="80">
        <v>9215534</v>
      </c>
      <c r="J7" s="80">
        <v>0</v>
      </c>
      <c r="K7" s="81">
        <v>0</v>
      </c>
      <c r="L7" s="82" t="e">
        <f>SUMIF('Candidates-Enhancements'!#REF!,"=1-Enhancement",'Candidates-Enhancements'!#REF!)</f>
        <v>#REF!</v>
      </c>
      <c r="M7" s="82" t="e">
        <f>I7+J7+K7+L7</f>
        <v>#REF!</v>
      </c>
    </row>
    <row r="8" spans="1:13" s="74" customFormat="1" ht="15.75">
      <c r="A8" s="83" t="s">
        <v>10</v>
      </c>
      <c r="B8" s="84"/>
      <c r="C8" s="77">
        <v>2</v>
      </c>
      <c r="D8" s="77" t="s">
        <v>7</v>
      </c>
      <c r="E8" s="78" t="e">
        <f>SUMIF('Candidates-MPO'!#REF!,"=2-Urban",'Candidates-MPO'!#REF!)</f>
        <v>#REF!</v>
      </c>
      <c r="F8" s="79"/>
      <c r="G8" s="78" t="e">
        <f>SUMIF('Candidates-MPO'!#REF!,"=2-Urban",'Candidates-MPO'!#REF!)</f>
        <v>#REF!</v>
      </c>
      <c r="H8" s="79"/>
      <c r="I8" s="80">
        <v>6349968</v>
      </c>
      <c r="J8" s="80">
        <v>0</v>
      </c>
      <c r="K8" s="81">
        <v>0</v>
      </c>
      <c r="L8" s="82" t="e">
        <f>SUMIF('Candidates-Enhancements'!#REF!,"=2-Enhancement",'Candidates-Enhancements'!#REF!)</f>
        <v>#REF!</v>
      </c>
      <c r="M8" s="82" t="e">
        <f aca="true" t="shared" si="0" ref="M8:M21">I8+J8+K8+L8</f>
        <v>#REF!</v>
      </c>
    </row>
    <row r="9" spans="1:13" s="74" customFormat="1" ht="15.75">
      <c r="A9" s="83" t="s">
        <v>11</v>
      </c>
      <c r="B9" s="84"/>
      <c r="C9" s="77">
        <v>3</v>
      </c>
      <c r="D9" s="85" t="s">
        <v>8</v>
      </c>
      <c r="E9" s="78" t="e">
        <f>SUMIF('Candidates-Rural RPO'!#REF!,"=3-Urban",'Candidates-Rural RPO'!#REF!)</f>
        <v>#REF!</v>
      </c>
      <c r="F9" s="86" t="e">
        <f>SUMIF('Candidates-Rural RPO'!#REF!,"=3-Rural",'Candidates-Rural RPO'!#REF!)</f>
        <v>#REF!</v>
      </c>
      <c r="G9" s="78" t="e">
        <f>SUMIF('Candidates-Rural RPO'!#REF!,"=3-Urban",'Candidates-Rural RPO'!#REF!)</f>
        <v>#REF!</v>
      </c>
      <c r="H9" s="86" t="e">
        <f>SUMIF('Candidates-Rural RPO'!#REF!,"=3-Rural",'Candidates-Rural RPO'!#REF!)</f>
        <v>#REF!</v>
      </c>
      <c r="I9" s="80">
        <v>4604</v>
      </c>
      <c r="J9" s="80">
        <v>-4604</v>
      </c>
      <c r="K9" s="81">
        <v>1100000</v>
      </c>
      <c r="L9" s="82" t="e">
        <f>SUMIF('Candidates-Enhancements'!#REF!,"=3-Enhancement",'Candidates-Enhancements'!#REF!)</f>
        <v>#REF!</v>
      </c>
      <c r="M9" s="82" t="e">
        <f t="shared" si="0"/>
        <v>#REF!</v>
      </c>
    </row>
    <row r="10" spans="1:13" s="74" customFormat="1" ht="15.75">
      <c r="A10" s="83" t="s">
        <v>12</v>
      </c>
      <c r="B10" s="84"/>
      <c r="C10" s="77">
        <v>4</v>
      </c>
      <c r="D10" s="85" t="s">
        <v>8</v>
      </c>
      <c r="E10" s="78" t="e">
        <f>SUMIF('Candidates-Rural RPO'!#REF!,"=4-Urban",'Candidates-Rural RPO'!#REF!)</f>
        <v>#REF!</v>
      </c>
      <c r="F10" s="86" t="e">
        <f>SUMIF('Candidates-Rural RPO'!#REF!,"=4-Rural",'Candidates-Rural RPO'!#REF!)</f>
        <v>#REF!</v>
      </c>
      <c r="G10" s="78" t="e">
        <f>SUMIF('Candidates-Rural RPO'!#REF!,"=4-Urban",'Candidates-Rural RPO'!#REF!)</f>
        <v>#REF!</v>
      </c>
      <c r="H10" s="86" t="e">
        <f>SUMIF('Candidates-Rural RPO'!#REF!,"=4-Rural",'Candidates-Rural RPO'!#REF!)</f>
        <v>#REF!</v>
      </c>
      <c r="I10" s="80">
        <v>1568840</v>
      </c>
      <c r="J10" s="80">
        <v>4604</v>
      </c>
      <c r="K10" s="81">
        <v>1100000</v>
      </c>
      <c r="L10" s="82" t="e">
        <f>SUMIF('Candidates-Enhancements'!#REF!,"=4-Enhancement",'Candidates-Enhancements'!#REF!)</f>
        <v>#REF!</v>
      </c>
      <c r="M10" s="82" t="e">
        <f t="shared" si="0"/>
        <v>#REF!</v>
      </c>
    </row>
    <row r="11" spans="1:13" s="74" customFormat="1" ht="15.75">
      <c r="A11" s="83" t="s">
        <v>13</v>
      </c>
      <c r="B11" s="84"/>
      <c r="C11" s="77">
        <v>5</v>
      </c>
      <c r="D11" s="77" t="s">
        <v>7</v>
      </c>
      <c r="E11" s="78" t="e">
        <f>SUMIF('Candidates-MPO'!#REF!,"=5-Urban",'Candidates-MPO'!#REF!)</f>
        <v>#REF!</v>
      </c>
      <c r="F11" s="79"/>
      <c r="G11" s="78" t="e">
        <f>SUMIF('Candidates-MPO'!#REF!,"=5-Urban",'Candidates-MPO'!#REF!)</f>
        <v>#REF!</v>
      </c>
      <c r="H11" s="79"/>
      <c r="I11" s="80">
        <v>8453065</v>
      </c>
      <c r="J11" s="80">
        <v>0</v>
      </c>
      <c r="K11" s="81">
        <v>0</v>
      </c>
      <c r="L11" s="82" t="e">
        <f>SUMIF('Candidates-Enhancements'!#REF!,"=5-Enhancement",'Candidates-Enhancements'!#REF!)</f>
        <v>#REF!</v>
      </c>
      <c r="M11" s="82" t="e">
        <f t="shared" si="0"/>
        <v>#REF!</v>
      </c>
    </row>
    <row r="12" spans="1:13" s="74" customFormat="1" ht="15.75">
      <c r="A12" s="83" t="s">
        <v>14</v>
      </c>
      <c r="B12" s="84"/>
      <c r="C12" s="77">
        <v>6</v>
      </c>
      <c r="D12" s="77" t="s">
        <v>7</v>
      </c>
      <c r="E12" s="78" t="e">
        <f>SUMIF('Candidates-MPO'!#REF!,"=6-Urban",'Candidates-MPO'!#REF!)</f>
        <v>#REF!</v>
      </c>
      <c r="F12" s="79"/>
      <c r="G12" s="78" t="e">
        <f>SUMIF('Candidates-MPO'!#REF!,"=6-Urban",'Candidates-MPO'!#REF!)</f>
        <v>#REF!</v>
      </c>
      <c r="H12" s="79"/>
      <c r="I12" s="80">
        <v>2238500</v>
      </c>
      <c r="J12" s="80">
        <v>400000</v>
      </c>
      <c r="K12" s="81">
        <v>0</v>
      </c>
      <c r="L12" s="82" t="e">
        <f>SUMIF('Candidates-Enhancements'!#REF!,"=6-Enhancement",'Candidates-Enhancements'!#REF!)</f>
        <v>#REF!</v>
      </c>
      <c r="M12" s="82" t="e">
        <f t="shared" si="0"/>
        <v>#REF!</v>
      </c>
    </row>
    <row r="13" spans="1:13" s="74" customFormat="1" ht="15.75">
      <c r="A13" s="83" t="s">
        <v>15</v>
      </c>
      <c r="B13" s="84"/>
      <c r="C13" s="77">
        <v>7</v>
      </c>
      <c r="D13" s="77" t="s">
        <v>7</v>
      </c>
      <c r="E13" s="78" t="e">
        <f>SUMIF('Candidates-MPO'!#REF!,"=7-Urban",'Candidates-MPO'!#REF!)</f>
        <v>#REF!</v>
      </c>
      <c r="F13" s="79"/>
      <c r="G13" s="78" t="e">
        <f>SUMIF('Candidates-MPO'!#REF!,"=7-Urban",'Candidates-MPO'!#REF!)</f>
        <v>#REF!</v>
      </c>
      <c r="H13" s="79"/>
      <c r="I13" s="80">
        <v>8025320</v>
      </c>
      <c r="J13" s="80">
        <v>-400000</v>
      </c>
      <c r="K13" s="81">
        <v>0</v>
      </c>
      <c r="L13" s="82" t="e">
        <f>SUMIF('Candidates-Enhancements'!#REF!,"=7-Enhancement",'Candidates-Enhancements'!#REF!)</f>
        <v>#REF!</v>
      </c>
      <c r="M13" s="82" t="e">
        <f t="shared" si="0"/>
        <v>#REF!</v>
      </c>
    </row>
    <row r="14" spans="1:13" s="74" customFormat="1" ht="15.75">
      <c r="A14" s="83" t="s">
        <v>16</v>
      </c>
      <c r="B14" s="84"/>
      <c r="C14" s="77">
        <v>8</v>
      </c>
      <c r="D14" s="77" t="s">
        <v>7</v>
      </c>
      <c r="E14" s="78" t="e">
        <f>SUMIF('Candidates-MPO'!#REF!,"=8-Urban",'Candidates-MPO'!#REF!)</f>
        <v>#REF!</v>
      </c>
      <c r="F14" s="79"/>
      <c r="G14" s="78" t="e">
        <f>SUMIF('Candidates-MPO'!#REF!,"=8-Urban",'Candidates-MPO'!#REF!)</f>
        <v>#REF!</v>
      </c>
      <c r="H14" s="79"/>
      <c r="I14" s="80">
        <v>14048105</v>
      </c>
      <c r="J14" s="80">
        <v>0</v>
      </c>
      <c r="K14" s="81">
        <v>0</v>
      </c>
      <c r="L14" s="82" t="e">
        <f>SUMIF('Candidates-Enhancements'!#REF!,"=8-Enhancement",'Candidates-Enhancements'!#REF!)</f>
        <v>#REF!</v>
      </c>
      <c r="M14" s="82" t="e">
        <f t="shared" si="0"/>
        <v>#REF!</v>
      </c>
    </row>
    <row r="15" spans="1:13" s="74" customFormat="1" ht="15.75">
      <c r="A15" s="83" t="s">
        <v>17</v>
      </c>
      <c r="B15" s="84"/>
      <c r="C15" s="77">
        <v>9</v>
      </c>
      <c r="D15" s="77" t="s">
        <v>7</v>
      </c>
      <c r="E15" s="78" t="e">
        <f>SUMIF('Candidates-MPO'!#REF!,"=9-Urban",'Candidates-MPO'!#REF!)</f>
        <v>#REF!</v>
      </c>
      <c r="F15" s="79"/>
      <c r="G15" s="78" t="e">
        <f>SUMIF('Candidates-MPO'!#REF!,"=9-Urban",'Candidates-MPO'!#REF!)</f>
        <v>#REF!</v>
      </c>
      <c r="H15" s="79"/>
      <c r="I15" s="80">
        <v>5744512</v>
      </c>
      <c r="J15" s="80">
        <v>0</v>
      </c>
      <c r="K15" s="81">
        <v>0</v>
      </c>
      <c r="L15" s="82" t="e">
        <f>SUMIF('Candidates-Enhancements'!#REF!,"=9-Enhancement",'Candidates-Enhancements'!#REF!)</f>
        <v>#REF!</v>
      </c>
      <c r="M15" s="82" t="e">
        <f t="shared" si="0"/>
        <v>#REF!</v>
      </c>
    </row>
    <row r="16" spans="1:13" s="74" customFormat="1" ht="15.75">
      <c r="A16" s="83" t="s">
        <v>18</v>
      </c>
      <c r="B16" s="84"/>
      <c r="C16" s="77">
        <v>10</v>
      </c>
      <c r="D16" s="77" t="s">
        <v>7</v>
      </c>
      <c r="E16" s="78" t="e">
        <f>SUMIF('Candidates-MPO'!#REF!,"=10-Urban",'Candidates-MPO'!#REF!)</f>
        <v>#REF!</v>
      </c>
      <c r="F16" s="79"/>
      <c r="G16" s="78" t="e">
        <f>SUMIF('Candidates-MPO'!#REF!,"=10-Urban",'Candidates-MPO'!#REF!)</f>
        <v>#REF!</v>
      </c>
      <c r="H16" s="79"/>
      <c r="I16" s="80">
        <v>17573915</v>
      </c>
      <c r="J16" s="80">
        <v>0</v>
      </c>
      <c r="K16" s="81">
        <v>0</v>
      </c>
      <c r="L16" s="82" t="e">
        <f>SUMIF('Candidates-Enhancements'!#REF!,"=10-Enhancement",'Candidates-Enhancements'!#REF!)</f>
        <v>#REF!</v>
      </c>
      <c r="M16" s="82" t="e">
        <f t="shared" si="0"/>
        <v>#REF!</v>
      </c>
    </row>
    <row r="17" spans="1:13" s="74" customFormat="1" ht="15.75">
      <c r="A17" s="83" t="s">
        <v>19</v>
      </c>
      <c r="B17" s="84"/>
      <c r="C17" s="77">
        <v>11</v>
      </c>
      <c r="D17" s="77" t="s">
        <v>7</v>
      </c>
      <c r="E17" s="78" t="e">
        <f>SUMIF('Candidates-MPO'!#REF!,"=11-Urban",'Candidates-MPO'!#REF!)</f>
        <v>#REF!</v>
      </c>
      <c r="F17" s="79"/>
      <c r="G17" s="78" t="e">
        <f>SUMIF('Candidates-MPO'!#REF!,"=11-Urban",'Candidates-MPO'!#REF!)</f>
        <v>#REF!</v>
      </c>
      <c r="H17" s="79"/>
      <c r="I17" s="80">
        <v>2135706</v>
      </c>
      <c r="J17" s="80">
        <v>0</v>
      </c>
      <c r="K17" s="81">
        <v>0</v>
      </c>
      <c r="L17" s="82" t="e">
        <f>SUMIF('Candidates-Enhancements'!#REF!,"=11-Enhancement",'Candidates-Enhancements'!#REF!)</f>
        <v>#REF!</v>
      </c>
      <c r="M17" s="82" t="e">
        <f t="shared" si="0"/>
        <v>#REF!</v>
      </c>
    </row>
    <row r="18" spans="1:13" s="74" customFormat="1" ht="15.75">
      <c r="A18" s="83" t="s">
        <v>20</v>
      </c>
      <c r="B18" s="84"/>
      <c r="C18" s="77">
        <v>12</v>
      </c>
      <c r="D18" s="77" t="s">
        <v>7</v>
      </c>
      <c r="E18" s="78" t="e">
        <f>SUMIF('Candidates-MPO'!#REF!,"=12-Urban",'Candidates-MPO'!#REF!)</f>
        <v>#REF!</v>
      </c>
      <c r="F18" s="79"/>
      <c r="G18" s="78" t="e">
        <f>SUMIF('Candidates-MPO'!#REF!,"=12-Urban",'Candidates-MPO'!#REF!)</f>
        <v>#REF!</v>
      </c>
      <c r="H18" s="79"/>
      <c r="I18" s="80">
        <v>1099730</v>
      </c>
      <c r="J18" s="80">
        <v>0</v>
      </c>
      <c r="K18" s="81">
        <v>0</v>
      </c>
      <c r="L18" s="82" t="e">
        <f>SUMIF('Candidates-Enhancements'!#REF!,"=12-Enhancement",'Candidates-Enhancements'!#REF!)</f>
        <v>#REF!</v>
      </c>
      <c r="M18" s="82" t="e">
        <f t="shared" si="0"/>
        <v>#REF!</v>
      </c>
    </row>
    <row r="19" spans="1:13" s="74" customFormat="1" ht="15.75">
      <c r="A19" s="83" t="s">
        <v>21</v>
      </c>
      <c r="B19" s="84"/>
      <c r="C19" s="77">
        <v>13</v>
      </c>
      <c r="D19" s="77" t="s">
        <v>7</v>
      </c>
      <c r="E19" s="78" t="e">
        <f>SUMIF('Candidates-MPO'!#REF!,"=13-Urban",'Candidates-MPO'!#REF!)</f>
        <v>#REF!</v>
      </c>
      <c r="F19" s="79"/>
      <c r="G19" s="78" t="e">
        <f>SUMIF('Candidates-MPO'!#REF!,"=13-Urban",'Candidates-MPO'!#REF!)</f>
        <v>#REF!</v>
      </c>
      <c r="H19" s="79"/>
      <c r="I19" s="80">
        <v>6756772</v>
      </c>
      <c r="J19" s="80">
        <v>0</v>
      </c>
      <c r="K19" s="81">
        <v>0</v>
      </c>
      <c r="L19" s="82" t="e">
        <f>SUMIF('Candidates-Enhancements'!#REF!,"=13-Enhancement",'Candidates-Enhancements'!#REF!)</f>
        <v>#REF!</v>
      </c>
      <c r="M19" s="82" t="e">
        <f t="shared" si="0"/>
        <v>#REF!</v>
      </c>
    </row>
    <row r="20" spans="1:13" s="74" customFormat="1" ht="15.75">
      <c r="A20" s="83" t="s">
        <v>22</v>
      </c>
      <c r="B20" s="84"/>
      <c r="C20" s="77">
        <v>14</v>
      </c>
      <c r="D20" s="85" t="s">
        <v>8</v>
      </c>
      <c r="E20" s="78" t="e">
        <f>SUMIF('Candidates-Rural RPO'!#REF!,"=14-Urban",'Candidates-Rural RPO'!#REF!)</f>
        <v>#REF!</v>
      </c>
      <c r="F20" s="86" t="e">
        <f>SUMIF('Candidates-Rural RPO'!#REF!,"=14-Rural",'Candidates-Rural RPO'!#REF!)</f>
        <v>#REF!</v>
      </c>
      <c r="G20" s="78" t="e">
        <f>SUMIF('Candidates-Rural RPO'!#REF!,"=14-Urban",'Candidates-Rural RPO'!#REF!)</f>
        <v>#REF!</v>
      </c>
      <c r="H20" s="86" t="e">
        <f>SUMIF('Candidates-Rural RPO'!#REF!,"=14-Rural",'Candidates-Rural RPO'!#REF!)</f>
        <v>#REF!</v>
      </c>
      <c r="I20" s="80">
        <v>1533616</v>
      </c>
      <c r="J20" s="80">
        <v>0</v>
      </c>
      <c r="K20" s="81">
        <v>1100000</v>
      </c>
      <c r="L20" s="82" t="e">
        <f>SUMIF('Candidates-Enhancements'!#REF!,"=14-Enhancement",'Candidates-Enhancements'!#REF!)</f>
        <v>#REF!</v>
      </c>
      <c r="M20" s="82" t="e">
        <f t="shared" si="0"/>
        <v>#REF!</v>
      </c>
    </row>
    <row r="21" spans="1:13" s="74" customFormat="1" ht="16.5" thickBot="1">
      <c r="A21" s="83" t="s">
        <v>157</v>
      </c>
      <c r="B21" s="84"/>
      <c r="C21" s="77">
        <v>15</v>
      </c>
      <c r="D21" s="85" t="s">
        <v>8</v>
      </c>
      <c r="E21" s="78" t="e">
        <f>SUMIF('Candidates-Rural RPO'!#REF!,"=15-Urban",'Candidates-Rural RPO'!#REF!)</f>
        <v>#REF!</v>
      </c>
      <c r="F21" s="86" t="e">
        <f>SUMIF('Candidates-Rural RPO'!#REF!,"=15-Rural",'Candidates-Rural RPO'!#REF!)</f>
        <v>#REF!</v>
      </c>
      <c r="G21" s="78" t="e">
        <f>SUMIF('Candidates-Rural RPO'!#REF!,"=15-Urban",'Candidates-Rural RPO'!#REF!)</f>
        <v>#REF!</v>
      </c>
      <c r="H21" s="86" t="e">
        <f>SUMIF('Candidates-Rural RPO'!#REF!,"=15-Rural",'Candidates-Rural RPO'!#REF!)</f>
        <v>#REF!</v>
      </c>
      <c r="I21" s="80">
        <v>1210236</v>
      </c>
      <c r="J21" s="80">
        <v>0</v>
      </c>
      <c r="K21" s="81">
        <v>1100000</v>
      </c>
      <c r="L21" s="82" t="e">
        <f>SUMIF('Candidates-Enhancements'!#REF!,"=15-Enhancement",'Candidates-Enhancements'!#REF!)</f>
        <v>#REF!</v>
      </c>
      <c r="M21" s="82" t="e">
        <f t="shared" si="0"/>
        <v>#REF!</v>
      </c>
    </row>
    <row r="22" spans="1:13" s="74" customFormat="1" ht="17.25" thickBot="1" thickTop="1">
      <c r="A22" s="87"/>
      <c r="B22" s="88" t="s">
        <v>156</v>
      </c>
      <c r="C22" s="89"/>
      <c r="D22" s="90"/>
      <c r="E22" s="91"/>
      <c r="F22" s="92"/>
      <c r="G22" s="91"/>
      <c r="H22" s="92"/>
      <c r="I22" s="93">
        <f>SUM(I7:I21)</f>
        <v>85958423</v>
      </c>
      <c r="J22" s="93">
        <f>SUM(J7:J21)</f>
        <v>0</v>
      </c>
      <c r="K22" s="94">
        <f>SUM(K7:K21)</f>
        <v>4400000</v>
      </c>
      <c r="L22" s="94" t="e">
        <f>SUM(L7:L21)</f>
        <v>#REF!</v>
      </c>
      <c r="M22" s="94" t="e">
        <f>L22+K22+J22</f>
        <v>#REF!</v>
      </c>
    </row>
    <row r="23" ht="18">
      <c r="B23" s="36"/>
    </row>
    <row r="24" spans="1:13" s="97" customFormat="1" ht="15">
      <c r="A24" s="9" t="s">
        <v>0</v>
      </c>
      <c r="C24" s="98"/>
      <c r="D24" s="98"/>
      <c r="F24" s="99"/>
      <c r="H24" s="99"/>
      <c r="I24" s="99"/>
      <c r="J24" s="99"/>
      <c r="K24" s="99"/>
      <c r="L24" s="99"/>
      <c r="M24" s="99"/>
    </row>
    <row r="25" spans="1:13" s="97" customFormat="1" ht="15">
      <c r="A25" s="9" t="s">
        <v>1</v>
      </c>
      <c r="C25" s="98"/>
      <c r="D25" s="98"/>
      <c r="F25" s="99"/>
      <c r="H25" s="99"/>
      <c r="I25" s="99"/>
      <c r="J25" s="99"/>
      <c r="K25" s="99"/>
      <c r="L25" s="99"/>
      <c r="M25" s="99"/>
    </row>
    <row r="26" spans="1:13" s="97" customFormat="1" ht="14.25">
      <c r="A26" s="96"/>
      <c r="C26" s="98"/>
      <c r="D26" s="98"/>
      <c r="F26" s="99"/>
      <c r="H26" s="99"/>
      <c r="I26" s="99"/>
      <c r="J26" s="99"/>
      <c r="K26" s="99"/>
      <c r="L26" s="99"/>
      <c r="M26" s="99"/>
    </row>
    <row r="27" spans="1:13" s="97" customFormat="1" ht="19.5" customHeight="1">
      <c r="A27" s="122"/>
      <c r="B27" s="100" t="s">
        <v>2</v>
      </c>
      <c r="C27" s="100"/>
      <c r="D27" s="100"/>
      <c r="E27" s="100"/>
      <c r="F27" s="100"/>
      <c r="G27" s="100"/>
      <c r="H27" s="100"/>
      <c r="I27" s="100"/>
      <c r="J27" s="100"/>
      <c r="K27" s="101"/>
      <c r="L27" s="101"/>
      <c r="M27" s="99"/>
    </row>
    <row r="28" spans="1:13" s="119" customFormat="1" ht="9" customHeight="1">
      <c r="A28" s="117"/>
      <c r="B28" s="100"/>
      <c r="C28" s="100"/>
      <c r="D28" s="100"/>
      <c r="E28" s="100"/>
      <c r="F28" s="100"/>
      <c r="G28" s="100"/>
      <c r="H28" s="100"/>
      <c r="I28" s="100"/>
      <c r="J28" s="100"/>
      <c r="K28" s="120"/>
      <c r="L28" s="120"/>
      <c r="M28" s="118"/>
    </row>
    <row r="29" spans="1:13" s="97" customFormat="1" ht="19.5" customHeight="1">
      <c r="A29" s="121"/>
      <c r="B29" s="100" t="s">
        <v>171</v>
      </c>
      <c r="C29" s="102"/>
      <c r="D29" s="102"/>
      <c r="E29" s="102"/>
      <c r="F29" s="102"/>
      <c r="G29" s="102"/>
      <c r="H29" s="102"/>
      <c r="I29" s="102"/>
      <c r="J29" s="102"/>
      <c r="K29" s="99"/>
      <c r="L29" s="99"/>
      <c r="M29" s="99"/>
    </row>
    <row r="30" spans="1:13" s="119" customFormat="1" ht="9" customHeight="1">
      <c r="A30" s="117"/>
      <c r="B30" s="100"/>
      <c r="C30" s="102"/>
      <c r="D30" s="102"/>
      <c r="E30" s="102"/>
      <c r="F30" s="102"/>
      <c r="G30" s="102"/>
      <c r="H30" s="102"/>
      <c r="I30" s="102"/>
      <c r="J30" s="102"/>
      <c r="K30" s="118"/>
      <c r="L30" s="118"/>
      <c r="M30" s="118"/>
    </row>
    <row r="31" spans="1:13" s="97" customFormat="1" ht="19.5" customHeight="1">
      <c r="A31" s="123"/>
      <c r="B31" s="103" t="s">
        <v>153</v>
      </c>
      <c r="D31" s="99"/>
      <c r="E31" s="99"/>
      <c r="F31" s="99"/>
      <c r="G31" s="99"/>
      <c r="H31" s="99"/>
      <c r="I31" s="99"/>
      <c r="J31" s="99"/>
      <c r="K31" s="99"/>
      <c r="L31" s="99"/>
      <c r="M31" s="99"/>
    </row>
    <row r="32" ht="18">
      <c r="B32" s="32"/>
    </row>
    <row r="33" ht="18">
      <c r="B33" s="32"/>
    </row>
    <row r="34" ht="18">
      <c r="B34" s="32"/>
    </row>
    <row r="35" ht="18">
      <c r="B35" s="32"/>
    </row>
    <row r="36" ht="18">
      <c r="B36" s="32"/>
    </row>
    <row r="37" ht="18">
      <c r="B37" s="32"/>
    </row>
    <row r="38" ht="18">
      <c r="B38" s="32"/>
    </row>
    <row r="39" ht="18">
      <c r="B39" s="32"/>
    </row>
    <row r="40" ht="18">
      <c r="B40" s="32"/>
    </row>
    <row r="41" ht="18">
      <c r="B41" s="32"/>
    </row>
    <row r="42" ht="18">
      <c r="B42" s="32"/>
    </row>
    <row r="43" ht="18">
      <c r="B43" s="32"/>
    </row>
    <row r="44" ht="18">
      <c r="B44" s="32"/>
    </row>
    <row r="45" ht="18">
      <c r="B45" s="32"/>
    </row>
    <row r="46" ht="18">
      <c r="B46" s="32"/>
    </row>
    <row r="47" ht="18">
      <c r="B47" s="32"/>
    </row>
    <row r="48" ht="18">
      <c r="B48" s="32"/>
    </row>
    <row r="49" ht="18">
      <c r="B49" s="32"/>
    </row>
    <row r="50" ht="18">
      <c r="B50" s="32"/>
    </row>
    <row r="51" ht="18">
      <c r="B51" s="32"/>
    </row>
    <row r="52" ht="18">
      <c r="B52" s="32"/>
    </row>
    <row r="53" ht="18">
      <c r="B53" s="32"/>
    </row>
    <row r="54" ht="18">
      <c r="B54" s="32"/>
    </row>
    <row r="55" ht="18">
      <c r="B55" s="32"/>
    </row>
    <row r="56" ht="18">
      <c r="B56" s="32"/>
    </row>
    <row r="57" ht="18">
      <c r="B57" s="32"/>
    </row>
    <row r="58" ht="18">
      <c r="B58" s="32"/>
    </row>
    <row r="59" ht="18">
      <c r="B59" s="32"/>
    </row>
    <row r="60" ht="18">
      <c r="B60" s="32"/>
    </row>
    <row r="61" ht="18">
      <c r="B61" s="32"/>
    </row>
    <row r="62" ht="18">
      <c r="B62" s="32"/>
    </row>
    <row r="63" ht="18">
      <c r="B63" s="32"/>
    </row>
    <row r="64" ht="18">
      <c r="B64" s="36"/>
    </row>
    <row r="65" ht="18">
      <c r="B65" s="36"/>
    </row>
    <row r="66" ht="18">
      <c r="B66" s="36"/>
    </row>
    <row r="67" ht="18">
      <c r="B67" s="36"/>
    </row>
    <row r="68" ht="18">
      <c r="B68" s="36"/>
    </row>
    <row r="69" ht="18">
      <c r="B69" s="36"/>
    </row>
    <row r="70" ht="18">
      <c r="B70" s="36"/>
    </row>
    <row r="71" ht="18">
      <c r="B71" s="36"/>
    </row>
    <row r="72" ht="18">
      <c r="B72" s="36"/>
    </row>
    <row r="73" ht="18">
      <c r="B73" s="36"/>
    </row>
    <row r="74" ht="18">
      <c r="B74" s="36"/>
    </row>
    <row r="75" ht="18">
      <c r="B75" s="36"/>
    </row>
    <row r="76" ht="18">
      <c r="B76" s="36"/>
    </row>
    <row r="77" ht="18">
      <c r="B77" s="36"/>
    </row>
    <row r="78" ht="18">
      <c r="B78" s="36"/>
    </row>
    <row r="79" ht="18">
      <c r="B79" s="36"/>
    </row>
    <row r="80" ht="18">
      <c r="B80" s="36"/>
    </row>
    <row r="81" ht="18">
      <c r="B81" s="36"/>
    </row>
    <row r="82" ht="18">
      <c r="B82" s="36"/>
    </row>
    <row r="83" ht="18">
      <c r="B83" s="36"/>
    </row>
    <row r="84" ht="18">
      <c r="B84" s="36"/>
    </row>
    <row r="85" ht="18">
      <c r="B85" s="36"/>
    </row>
    <row r="86" ht="18">
      <c r="B86" s="36"/>
    </row>
    <row r="87" ht="18">
      <c r="B87" s="36"/>
    </row>
    <row r="88" ht="18">
      <c r="B88" s="36"/>
    </row>
    <row r="89" ht="18">
      <c r="B89" s="36"/>
    </row>
    <row r="90" ht="18">
      <c r="B90" s="36"/>
    </row>
    <row r="91" ht="18">
      <c r="B91" s="36"/>
    </row>
    <row r="92" ht="18">
      <c r="B92" s="36"/>
    </row>
    <row r="93" ht="18">
      <c r="B93" s="36"/>
    </row>
    <row r="94" ht="18">
      <c r="B94" s="36"/>
    </row>
    <row r="95" ht="18">
      <c r="B95" s="36"/>
    </row>
    <row r="96" ht="18">
      <c r="B96" s="36"/>
    </row>
    <row r="97" ht="18">
      <c r="B97" s="36"/>
    </row>
    <row r="98" ht="18">
      <c r="B98" s="36"/>
    </row>
    <row r="99" ht="18">
      <c r="B99" s="36"/>
    </row>
    <row r="100" ht="18">
      <c r="B100" s="36"/>
    </row>
    <row r="101" ht="18">
      <c r="B101" s="36"/>
    </row>
    <row r="102" ht="18">
      <c r="B102" s="36"/>
    </row>
    <row r="103" ht="18">
      <c r="B103" s="36"/>
    </row>
    <row r="104" ht="18">
      <c r="B104" s="36"/>
    </row>
    <row r="105" ht="18">
      <c r="B105" s="36"/>
    </row>
    <row r="106" ht="18">
      <c r="B106" s="36"/>
    </row>
    <row r="107" ht="18">
      <c r="B107" s="36"/>
    </row>
    <row r="108" ht="18">
      <c r="B108" s="36"/>
    </row>
    <row r="109" ht="18">
      <c r="B109" s="36"/>
    </row>
    <row r="110" ht="18">
      <c r="B110" s="36"/>
    </row>
    <row r="111" ht="18">
      <c r="B111" s="36"/>
    </row>
    <row r="112" ht="18">
      <c r="B112" s="36"/>
    </row>
    <row r="113" ht="18">
      <c r="B113" s="36"/>
    </row>
    <row r="114" ht="18">
      <c r="B114" s="36"/>
    </row>
    <row r="115" ht="18">
      <c r="B115" s="36"/>
    </row>
    <row r="116" ht="18">
      <c r="B116" s="36"/>
    </row>
  </sheetData>
  <sheetProtection sheet="1" objects="1" scenarios="1"/>
  <mergeCells count="10">
    <mergeCell ref="A1:M1"/>
    <mergeCell ref="I5:J5"/>
    <mergeCell ref="M5:M6"/>
    <mergeCell ref="E5:F5"/>
    <mergeCell ref="L5:L6"/>
    <mergeCell ref="K5:K6"/>
    <mergeCell ref="A6:B6"/>
    <mergeCell ref="G5:H5"/>
    <mergeCell ref="I4:J4"/>
    <mergeCell ref="E4:H4"/>
  </mergeCells>
  <conditionalFormatting sqref="G7:G21">
    <cfRule type="cellIs" priority="1" dxfId="1" operator="greaterThan" stopIfTrue="1">
      <formula>$I7+$J7</formula>
    </cfRule>
    <cfRule type="cellIs" priority="2" dxfId="0" operator="lessThan" stopIfTrue="1">
      <formula>($I7+$J7)*0.9</formula>
    </cfRule>
  </conditionalFormatting>
  <conditionalFormatting sqref="H9:H10 H20:H21">
    <cfRule type="cellIs" priority="3" dxfId="1" operator="greaterThan" stopIfTrue="1">
      <formula>K9</formula>
    </cfRule>
    <cfRule type="cellIs" priority="4" dxfId="0" operator="lessThan" stopIfTrue="1">
      <formula>K9*0.9</formula>
    </cfRule>
  </conditionalFormatting>
  <printOptions horizontalCentered="1"/>
  <pageMargins left="0" right="0" top="0.5" bottom="0.75" header="0.5" footer="0.5"/>
  <pageSetup fitToHeight="1" fitToWidth="1" horizontalDpi="600" verticalDpi="600" orientation="landscape" scale="36" r:id="rId1"/>
  <headerFooter alignWithMargins="0">
    <oddFooter>&amp;LPrinted &amp;D &amp;T&amp;C&amp;Z&amp;F&amp;A&amp;RPage &amp;P of &amp;N</oddFooter>
  </headerFooter>
</worksheet>
</file>

<file path=xl/worksheets/sheet2.xml><?xml version="1.0" encoding="utf-8"?>
<worksheet xmlns="http://schemas.openxmlformats.org/spreadsheetml/2006/main" xmlns:r="http://schemas.openxmlformats.org/officeDocument/2006/relationships">
  <sheetPr>
    <tabColor indexed="52"/>
  </sheetPr>
  <dimension ref="A1:G139"/>
  <sheetViews>
    <sheetView zoomScaleSheetLayoutView="100" zoomScalePageLayoutView="0" workbookViewId="0" topLeftCell="A1">
      <pane xSplit="5" ySplit="6" topLeftCell="F7" activePane="bottomRight" state="frozen"/>
      <selection pane="topLeft" activeCell="A2" sqref="A2"/>
      <selection pane="topRight" activeCell="A2" sqref="A2"/>
      <selection pane="bottomLeft" activeCell="A2" sqref="A2"/>
      <selection pane="bottomRight" activeCell="A3" sqref="A3:G3"/>
    </sheetView>
  </sheetViews>
  <sheetFormatPr defaultColWidth="9.140625" defaultRowHeight="12.75"/>
  <cols>
    <col min="1" max="1" width="4.8515625" style="68" customWidth="1"/>
    <col min="2" max="2" width="17.421875" style="64" hidden="1" customWidth="1"/>
    <col min="3" max="3" width="10.57421875" style="64" customWidth="1"/>
    <col min="4" max="4" width="25.8515625" style="65" customWidth="1"/>
    <col min="5" max="5" width="50.7109375" style="66" customWidth="1"/>
    <col min="6" max="6" width="13.140625" style="67" hidden="1" customWidth="1"/>
    <col min="7" max="7" width="13.421875" style="132" customWidth="1"/>
    <col min="8" max="16384" width="9.140625" style="52" customWidth="1"/>
  </cols>
  <sheetData>
    <row r="1" spans="1:7" s="15" customFormat="1" ht="12">
      <c r="A1" s="16" t="s">
        <v>23</v>
      </c>
      <c r="B1" s="17" t="s">
        <v>24</v>
      </c>
      <c r="C1" s="17" t="s">
        <v>25</v>
      </c>
      <c r="D1" s="18" t="s">
        <v>26</v>
      </c>
      <c r="E1" s="21" t="s">
        <v>27</v>
      </c>
      <c r="F1" s="17" t="s">
        <v>28</v>
      </c>
      <c r="G1" s="17" t="s">
        <v>29</v>
      </c>
    </row>
    <row r="2" spans="1:7" s="4" customFormat="1" ht="20.25">
      <c r="A2" s="1" t="s">
        <v>330</v>
      </c>
      <c r="B2" s="2"/>
      <c r="C2" s="2"/>
      <c r="D2" s="3"/>
      <c r="E2" s="22"/>
      <c r="F2" s="2"/>
      <c r="G2" s="2"/>
    </row>
    <row r="3" spans="1:7" s="8" customFormat="1" ht="18">
      <c r="A3" s="160" t="s">
        <v>138</v>
      </c>
      <c r="B3" s="161"/>
      <c r="C3" s="161"/>
      <c r="D3" s="161"/>
      <c r="E3" s="161"/>
      <c r="F3" s="161"/>
      <c r="G3" s="161"/>
    </row>
    <row r="4" spans="1:7" s="8" customFormat="1" ht="18">
      <c r="A4" s="19"/>
      <c r="B4" s="5"/>
      <c r="C4" s="28"/>
      <c r="D4" s="24"/>
      <c r="E4" s="26"/>
      <c r="F4" s="6"/>
      <c r="G4" s="133"/>
    </row>
    <row r="5" spans="1:7" s="41" customFormat="1" ht="12">
      <c r="A5" s="39" t="str">
        <f>'ARRA 2009 RPO Summary'!A7</f>
        <v>Southwestern Regional Planning Agency</v>
      </c>
      <c r="B5" s="40"/>
      <c r="C5" s="40"/>
      <c r="E5" s="42">
        <f>'ARRA 2009 RPO Summary'!$I$7+'ARRA 2009 RPO Summary'!$J$7</f>
        <v>9215534</v>
      </c>
      <c r="F5" s="45" t="s">
        <v>124</v>
      </c>
      <c r="G5" s="130"/>
    </row>
    <row r="6" spans="1:7" s="15" customFormat="1" ht="12">
      <c r="A6" s="10" t="str">
        <f aca="true" t="shared" si="0" ref="A6:G6">A$1</f>
        <v>RPO</v>
      </c>
      <c r="B6" s="11" t="str">
        <f>B$1</f>
        <v>ARRA SOURCE</v>
      </c>
      <c r="C6" s="11" t="str">
        <f t="shared" si="0"/>
        <v>PROJ</v>
      </c>
      <c r="D6" s="12" t="str">
        <f t="shared" si="0"/>
        <v>TOWN</v>
      </c>
      <c r="E6" s="23" t="str">
        <f t="shared" si="0"/>
        <v>DESCRIPTION</v>
      </c>
      <c r="F6" s="11" t="str">
        <f t="shared" si="0"/>
        <v>PRIORITY</v>
      </c>
      <c r="G6" s="14" t="str">
        <f t="shared" si="0"/>
        <v>SCH ADV</v>
      </c>
    </row>
    <row r="7" spans="1:7" ht="12">
      <c r="A7" s="46">
        <v>1</v>
      </c>
      <c r="B7" s="47" t="s">
        <v>276</v>
      </c>
      <c r="C7" s="48" t="s">
        <v>199</v>
      </c>
      <c r="D7" s="49" t="s">
        <v>30</v>
      </c>
      <c r="E7" s="50" t="s">
        <v>291</v>
      </c>
      <c r="F7" s="48">
        <v>1</v>
      </c>
      <c r="G7" s="51">
        <v>40191</v>
      </c>
    </row>
    <row r="8" spans="1:7" ht="36">
      <c r="A8" s="46">
        <v>1</v>
      </c>
      <c r="B8" s="47" t="s">
        <v>276</v>
      </c>
      <c r="C8" s="48" t="s">
        <v>222</v>
      </c>
      <c r="D8" s="49" t="s">
        <v>31</v>
      </c>
      <c r="E8" s="50" t="s">
        <v>194</v>
      </c>
      <c r="F8" s="48">
        <v>2</v>
      </c>
      <c r="G8" s="51">
        <v>40177</v>
      </c>
    </row>
    <row r="9" spans="1:7" ht="24">
      <c r="A9" s="46">
        <v>1</v>
      </c>
      <c r="B9" s="47" t="s">
        <v>276</v>
      </c>
      <c r="C9" s="48" t="s">
        <v>223</v>
      </c>
      <c r="D9" s="49" t="s">
        <v>32</v>
      </c>
      <c r="E9" s="50" t="s">
        <v>193</v>
      </c>
      <c r="F9" s="48">
        <v>3</v>
      </c>
      <c r="G9" s="51">
        <v>40177</v>
      </c>
    </row>
    <row r="10" spans="1:7" ht="24">
      <c r="A10" s="46">
        <v>1</v>
      </c>
      <c r="B10" s="47" t="s">
        <v>276</v>
      </c>
      <c r="C10" s="48" t="s">
        <v>224</v>
      </c>
      <c r="D10" s="49" t="s">
        <v>33</v>
      </c>
      <c r="E10" s="50" t="s">
        <v>290</v>
      </c>
      <c r="F10" s="48">
        <v>4</v>
      </c>
      <c r="G10" s="51">
        <v>40198</v>
      </c>
    </row>
    <row r="11" spans="1:7" ht="12">
      <c r="A11" s="46">
        <v>1</v>
      </c>
      <c r="B11" s="47" t="s">
        <v>276</v>
      </c>
      <c r="C11" s="48" t="s">
        <v>225</v>
      </c>
      <c r="D11" s="49" t="s">
        <v>34</v>
      </c>
      <c r="E11" s="50" t="s">
        <v>184</v>
      </c>
      <c r="F11" s="48">
        <v>5</v>
      </c>
      <c r="G11" s="51">
        <v>40191</v>
      </c>
    </row>
    <row r="12" spans="1:7" ht="24">
      <c r="A12" s="46">
        <v>1</v>
      </c>
      <c r="B12" s="47" t="s">
        <v>276</v>
      </c>
      <c r="C12" s="48" t="s">
        <v>226</v>
      </c>
      <c r="D12" s="49" t="s">
        <v>35</v>
      </c>
      <c r="E12" s="50" t="s">
        <v>185</v>
      </c>
      <c r="F12" s="48">
        <v>6</v>
      </c>
      <c r="G12" s="51">
        <v>40163</v>
      </c>
    </row>
    <row r="13" spans="1:7" ht="12">
      <c r="A13" s="46">
        <v>1</v>
      </c>
      <c r="B13" s="47" t="s">
        <v>276</v>
      </c>
      <c r="C13" s="48" t="s">
        <v>286</v>
      </c>
      <c r="D13" s="49" t="s">
        <v>36</v>
      </c>
      <c r="E13" s="50" t="s">
        <v>285</v>
      </c>
      <c r="F13" s="48">
        <v>7</v>
      </c>
      <c r="G13" s="51"/>
    </row>
    <row r="14" spans="1:7" s="41" customFormat="1" ht="12">
      <c r="A14" s="39" t="str">
        <f>'ARRA 2009 RPO Summary'!A8</f>
        <v>Housatonic Valley Council of Elected Officials</v>
      </c>
      <c r="B14" s="40"/>
      <c r="C14" s="63"/>
      <c r="E14" s="53">
        <f>'ARRA 2009 RPO Summary'!$I$8+'ARRA 2009 RPO Summary'!$J$8</f>
        <v>6349968</v>
      </c>
      <c r="F14" s="45" t="s">
        <v>124</v>
      </c>
      <c r="G14" s="130"/>
    </row>
    <row r="15" spans="1:7" s="15" customFormat="1" ht="12">
      <c r="A15" s="10" t="str">
        <f aca="true" t="shared" si="1" ref="A15:G15">A$1</f>
        <v>RPO</v>
      </c>
      <c r="B15" s="11" t="str">
        <f>B$1</f>
        <v>ARRA SOURCE</v>
      </c>
      <c r="C15" s="11" t="str">
        <f t="shared" si="1"/>
        <v>PROJ</v>
      </c>
      <c r="D15" s="12" t="str">
        <f t="shared" si="1"/>
        <v>TOWN</v>
      </c>
      <c r="E15" s="23" t="str">
        <f t="shared" si="1"/>
        <v>DESCRIPTION</v>
      </c>
      <c r="F15" s="11" t="str">
        <f t="shared" si="1"/>
        <v>PRIORITY</v>
      </c>
      <c r="G15" s="11" t="str">
        <f t="shared" si="1"/>
        <v>SCH ADV</v>
      </c>
    </row>
    <row r="16" spans="1:7" ht="12">
      <c r="A16" s="46">
        <v>2</v>
      </c>
      <c r="B16" s="47" t="s">
        <v>7</v>
      </c>
      <c r="C16" s="48" t="s">
        <v>289</v>
      </c>
      <c r="D16" s="49" t="s">
        <v>37</v>
      </c>
      <c r="E16" s="50" t="s">
        <v>305</v>
      </c>
      <c r="F16" s="48">
        <v>1</v>
      </c>
      <c r="G16" s="51">
        <v>40219</v>
      </c>
    </row>
    <row r="17" spans="1:7" ht="12">
      <c r="A17" s="46">
        <v>2</v>
      </c>
      <c r="B17" s="47" t="s">
        <v>283</v>
      </c>
      <c r="C17" s="48" t="s">
        <v>227</v>
      </c>
      <c r="D17" s="49" t="s">
        <v>38</v>
      </c>
      <c r="E17" s="50" t="s">
        <v>281</v>
      </c>
      <c r="F17" s="48">
        <v>1</v>
      </c>
      <c r="G17" s="51">
        <v>40205</v>
      </c>
    </row>
    <row r="18" spans="1:7" ht="24">
      <c r="A18" s="46">
        <v>2</v>
      </c>
      <c r="B18" s="47" t="s">
        <v>283</v>
      </c>
      <c r="C18" s="48" t="s">
        <v>217</v>
      </c>
      <c r="D18" s="49" t="s">
        <v>39</v>
      </c>
      <c r="E18" s="50" t="s">
        <v>216</v>
      </c>
      <c r="F18" s="48">
        <v>1</v>
      </c>
      <c r="G18" s="51">
        <v>40219</v>
      </c>
    </row>
    <row r="19" spans="1:7" ht="12">
      <c r="A19" s="46">
        <v>2</v>
      </c>
      <c r="B19" s="47" t="s">
        <v>283</v>
      </c>
      <c r="C19" s="48" t="s">
        <v>186</v>
      </c>
      <c r="D19" s="49" t="s">
        <v>39</v>
      </c>
      <c r="E19" s="50" t="s">
        <v>40</v>
      </c>
      <c r="F19" s="48">
        <v>1</v>
      </c>
      <c r="G19" s="51">
        <v>40119</v>
      </c>
    </row>
    <row r="20" spans="1:7" ht="12">
      <c r="A20" s="46">
        <v>2</v>
      </c>
      <c r="B20" s="47" t="s">
        <v>283</v>
      </c>
      <c r="C20" s="48" t="s">
        <v>228</v>
      </c>
      <c r="D20" s="49" t="s">
        <v>41</v>
      </c>
      <c r="E20" s="50" t="s">
        <v>192</v>
      </c>
      <c r="F20" s="48">
        <v>1</v>
      </c>
      <c r="G20" s="51">
        <v>40058</v>
      </c>
    </row>
    <row r="21" spans="1:7" ht="24">
      <c r="A21" s="46">
        <v>2</v>
      </c>
      <c r="B21" s="47" t="s">
        <v>283</v>
      </c>
      <c r="C21" s="48" t="s">
        <v>164</v>
      </c>
      <c r="D21" s="49" t="s">
        <v>41</v>
      </c>
      <c r="E21" s="50" t="s">
        <v>264</v>
      </c>
      <c r="F21" s="48">
        <v>1</v>
      </c>
      <c r="G21" s="51">
        <v>40184</v>
      </c>
    </row>
    <row r="22" spans="1:7" ht="12">
      <c r="A22" s="46">
        <v>2</v>
      </c>
      <c r="B22" s="47" t="s">
        <v>7</v>
      </c>
      <c r="C22" s="48" t="s">
        <v>261</v>
      </c>
      <c r="D22" s="49" t="s">
        <v>42</v>
      </c>
      <c r="E22" s="50" t="s">
        <v>280</v>
      </c>
      <c r="F22" s="48">
        <v>1</v>
      </c>
      <c r="G22" s="51">
        <v>40190</v>
      </c>
    </row>
    <row r="23" spans="1:7" ht="12">
      <c r="A23" s="46">
        <v>2</v>
      </c>
      <c r="B23" s="47" t="s">
        <v>7</v>
      </c>
      <c r="C23" s="48" t="s">
        <v>262</v>
      </c>
      <c r="D23" s="49" t="s">
        <v>43</v>
      </c>
      <c r="E23" s="50" t="s">
        <v>279</v>
      </c>
      <c r="F23" s="48">
        <v>1</v>
      </c>
      <c r="G23" s="51">
        <v>40226</v>
      </c>
    </row>
    <row r="24" spans="1:7" ht="24">
      <c r="A24" s="46">
        <v>2</v>
      </c>
      <c r="B24" s="47" t="s">
        <v>7</v>
      </c>
      <c r="C24" s="48"/>
      <c r="D24" s="49" t="s">
        <v>44</v>
      </c>
      <c r="E24" s="50" t="s">
        <v>329</v>
      </c>
      <c r="F24" s="48">
        <v>1</v>
      </c>
      <c r="G24" s="51"/>
    </row>
    <row r="25" spans="1:7" ht="12">
      <c r="A25" s="46">
        <v>2</v>
      </c>
      <c r="B25" s="47" t="s">
        <v>276</v>
      </c>
      <c r="C25" s="48" t="s">
        <v>268</v>
      </c>
      <c r="D25" s="49" t="s">
        <v>45</v>
      </c>
      <c r="E25" s="50" t="s">
        <v>46</v>
      </c>
      <c r="F25" s="48">
        <v>1</v>
      </c>
      <c r="G25" s="51">
        <v>40226</v>
      </c>
    </row>
    <row r="26" spans="1:7" s="41" customFormat="1" ht="12">
      <c r="A26" s="39" t="str">
        <f>'ARRA 2009 RPO Summary'!A11</f>
        <v>Central Naugatuck Council of Governments</v>
      </c>
      <c r="B26" s="40"/>
      <c r="C26" s="63"/>
      <c r="E26" s="53">
        <f>'ARRA 2009 RPO Summary'!$I$11+'ARRA 2009 RPO Summary'!$J$11</f>
        <v>8453065</v>
      </c>
      <c r="F26" s="45" t="s">
        <v>124</v>
      </c>
      <c r="G26" s="130"/>
    </row>
    <row r="27" spans="1:7" s="15" customFormat="1" ht="12">
      <c r="A27" s="10" t="str">
        <f aca="true" t="shared" si="2" ref="A27:G27">A$1</f>
        <v>RPO</v>
      </c>
      <c r="B27" s="11" t="str">
        <f>B$1</f>
        <v>ARRA SOURCE</v>
      </c>
      <c r="C27" s="11" t="str">
        <f t="shared" si="2"/>
        <v>PROJ</v>
      </c>
      <c r="D27" s="12" t="str">
        <f t="shared" si="2"/>
        <v>TOWN</v>
      </c>
      <c r="E27" s="23" t="str">
        <f t="shared" si="2"/>
        <v>DESCRIPTION</v>
      </c>
      <c r="F27" s="11" t="str">
        <f t="shared" si="2"/>
        <v>PRIORITY</v>
      </c>
      <c r="G27" s="11" t="str">
        <f t="shared" si="2"/>
        <v>SCH ADV</v>
      </c>
    </row>
    <row r="28" spans="1:7" ht="12">
      <c r="A28" s="46">
        <v>5</v>
      </c>
      <c r="B28" s="47" t="s">
        <v>283</v>
      </c>
      <c r="C28" s="48" t="s">
        <v>187</v>
      </c>
      <c r="D28" s="49" t="s">
        <v>47</v>
      </c>
      <c r="E28" s="50" t="s">
        <v>127</v>
      </c>
      <c r="F28" s="48">
        <v>1</v>
      </c>
      <c r="G28" s="51">
        <v>40072</v>
      </c>
    </row>
    <row r="29" spans="1:7" ht="12">
      <c r="A29" s="46">
        <v>5</v>
      </c>
      <c r="B29" s="47" t="s">
        <v>7</v>
      </c>
      <c r="C29" s="48" t="s">
        <v>229</v>
      </c>
      <c r="D29" s="49" t="s">
        <v>48</v>
      </c>
      <c r="E29" s="50" t="s">
        <v>207</v>
      </c>
      <c r="F29" s="48">
        <v>2</v>
      </c>
      <c r="G29" s="51">
        <v>40226</v>
      </c>
    </row>
    <row r="30" spans="1:7" ht="12">
      <c r="A30" s="46">
        <v>5</v>
      </c>
      <c r="B30" s="47" t="s">
        <v>283</v>
      </c>
      <c r="C30" s="48" t="s">
        <v>230</v>
      </c>
      <c r="D30" s="49" t="s">
        <v>49</v>
      </c>
      <c r="E30" s="50" t="s">
        <v>208</v>
      </c>
      <c r="F30" s="48">
        <v>3</v>
      </c>
      <c r="G30" s="51">
        <v>40226</v>
      </c>
    </row>
    <row r="31" spans="1:7" ht="12">
      <c r="A31" s="46">
        <v>5</v>
      </c>
      <c r="B31" s="47" t="s">
        <v>276</v>
      </c>
      <c r="C31" s="48" t="s">
        <v>271</v>
      </c>
      <c r="D31" s="49" t="s">
        <v>50</v>
      </c>
      <c r="E31" s="50" t="s">
        <v>292</v>
      </c>
      <c r="F31" s="48">
        <v>4</v>
      </c>
      <c r="G31" s="51">
        <v>40226</v>
      </c>
    </row>
    <row r="32" spans="1:7" ht="12">
      <c r="A32" s="46">
        <v>5</v>
      </c>
      <c r="B32" s="47" t="s">
        <v>283</v>
      </c>
      <c r="C32" s="48" t="s">
        <v>231</v>
      </c>
      <c r="D32" s="49" t="s">
        <v>51</v>
      </c>
      <c r="E32" s="50" t="s">
        <v>206</v>
      </c>
      <c r="F32" s="48">
        <v>5</v>
      </c>
      <c r="G32" s="51">
        <v>40191</v>
      </c>
    </row>
    <row r="33" spans="1:7" ht="12">
      <c r="A33" s="46">
        <v>5</v>
      </c>
      <c r="B33" s="47" t="s">
        <v>283</v>
      </c>
      <c r="C33" s="48" t="s">
        <v>272</v>
      </c>
      <c r="D33" s="49" t="s">
        <v>52</v>
      </c>
      <c r="E33" s="50" t="s">
        <v>293</v>
      </c>
      <c r="F33" s="48">
        <v>6</v>
      </c>
      <c r="G33" s="51">
        <v>40226</v>
      </c>
    </row>
    <row r="34" spans="1:7" ht="12">
      <c r="A34" s="46">
        <v>5</v>
      </c>
      <c r="B34" s="47" t="s">
        <v>276</v>
      </c>
      <c r="C34" s="48" t="s">
        <v>232</v>
      </c>
      <c r="D34" s="49" t="s">
        <v>53</v>
      </c>
      <c r="E34" s="50" t="s">
        <v>204</v>
      </c>
      <c r="F34" s="48">
        <v>7</v>
      </c>
      <c r="G34" s="51">
        <v>40219</v>
      </c>
    </row>
    <row r="35" spans="1:7" ht="12">
      <c r="A35" s="46">
        <v>5</v>
      </c>
      <c r="B35" s="47" t="s">
        <v>283</v>
      </c>
      <c r="C35" s="48" t="s">
        <v>233</v>
      </c>
      <c r="D35" s="49" t="s">
        <v>54</v>
      </c>
      <c r="E35" s="50" t="s">
        <v>132</v>
      </c>
      <c r="F35" s="48">
        <v>8</v>
      </c>
      <c r="G35" s="51">
        <v>40042</v>
      </c>
    </row>
    <row r="36" spans="1:7" ht="12">
      <c r="A36" s="46">
        <v>5</v>
      </c>
      <c r="B36" s="47" t="s">
        <v>7</v>
      </c>
      <c r="C36" s="48" t="s">
        <v>273</v>
      </c>
      <c r="D36" s="49" t="s">
        <v>55</v>
      </c>
      <c r="E36" s="50" t="s">
        <v>294</v>
      </c>
      <c r="F36" s="48">
        <v>9</v>
      </c>
      <c r="G36" s="51">
        <v>40226</v>
      </c>
    </row>
    <row r="37" spans="1:7" ht="12">
      <c r="A37" s="46">
        <v>5</v>
      </c>
      <c r="B37" s="47" t="s">
        <v>276</v>
      </c>
      <c r="C37" s="48" t="s">
        <v>321</v>
      </c>
      <c r="D37" s="49" t="s">
        <v>56</v>
      </c>
      <c r="E37" s="50" t="s">
        <v>295</v>
      </c>
      <c r="F37" s="48">
        <v>10</v>
      </c>
      <c r="G37" s="51">
        <v>40226</v>
      </c>
    </row>
    <row r="38" spans="1:7" s="41" customFormat="1" ht="12">
      <c r="A38" s="39" t="str">
        <f>'ARRA 2009 RPO Summary'!A12</f>
        <v>Valley Council of Governments</v>
      </c>
      <c r="B38" s="40"/>
      <c r="C38" s="63"/>
      <c r="E38" s="53">
        <f>'ARRA 2009 RPO Summary'!$I$12+'ARRA 2009 RPO Summary'!$J$12</f>
        <v>2638500</v>
      </c>
      <c r="F38" s="45" t="s">
        <v>124</v>
      </c>
      <c r="G38" s="130"/>
    </row>
    <row r="39" spans="1:7" s="15" customFormat="1" ht="12">
      <c r="A39" s="10" t="str">
        <f aca="true" t="shared" si="3" ref="A39:G39">A$1</f>
        <v>RPO</v>
      </c>
      <c r="B39" s="11" t="str">
        <f>B$1</f>
        <v>ARRA SOURCE</v>
      </c>
      <c r="C39" s="11" t="str">
        <f t="shared" si="3"/>
        <v>PROJ</v>
      </c>
      <c r="D39" s="12" t="str">
        <f t="shared" si="3"/>
        <v>TOWN</v>
      </c>
      <c r="E39" s="23" t="str">
        <f t="shared" si="3"/>
        <v>DESCRIPTION</v>
      </c>
      <c r="F39" s="11" t="str">
        <f t="shared" si="3"/>
        <v>PRIORITY</v>
      </c>
      <c r="G39" s="11" t="str">
        <f t="shared" si="3"/>
        <v>SCH ADV</v>
      </c>
    </row>
    <row r="40" spans="1:7" ht="12">
      <c r="A40" s="46">
        <v>6</v>
      </c>
      <c r="B40" s="47" t="s">
        <v>276</v>
      </c>
      <c r="C40" s="48" t="s">
        <v>258</v>
      </c>
      <c r="D40" s="49" t="s">
        <v>57</v>
      </c>
      <c r="E40" s="50" t="s">
        <v>277</v>
      </c>
      <c r="F40" s="48">
        <v>1</v>
      </c>
      <c r="G40" s="51">
        <v>40226</v>
      </c>
    </row>
    <row r="41" spans="1:7" ht="12">
      <c r="A41" s="46">
        <v>6</v>
      </c>
      <c r="B41" s="47" t="s">
        <v>276</v>
      </c>
      <c r="C41" s="48" t="s">
        <v>234</v>
      </c>
      <c r="D41" s="49" t="s">
        <v>58</v>
      </c>
      <c r="E41" s="50" t="s">
        <v>165</v>
      </c>
      <c r="F41" s="48">
        <v>2</v>
      </c>
      <c r="G41" s="51">
        <v>40170</v>
      </c>
    </row>
    <row r="42" spans="1:7" ht="12">
      <c r="A42" s="46">
        <v>6</v>
      </c>
      <c r="B42" s="47" t="s">
        <v>276</v>
      </c>
      <c r="C42" s="48" t="s">
        <v>235</v>
      </c>
      <c r="D42" s="49" t="s">
        <v>59</v>
      </c>
      <c r="E42" s="50" t="s">
        <v>278</v>
      </c>
      <c r="F42" s="48">
        <v>3</v>
      </c>
      <c r="G42" s="51">
        <v>40226</v>
      </c>
    </row>
    <row r="43" spans="1:7" ht="12">
      <c r="A43" s="46">
        <v>6</v>
      </c>
      <c r="B43" s="47" t="s">
        <v>276</v>
      </c>
      <c r="C43" s="48" t="s">
        <v>270</v>
      </c>
      <c r="D43" s="49" t="s">
        <v>60</v>
      </c>
      <c r="E43" s="50" t="s">
        <v>162</v>
      </c>
      <c r="F43" s="48">
        <v>4</v>
      </c>
      <c r="G43" s="51">
        <v>40226</v>
      </c>
    </row>
    <row r="44" spans="1:7" s="41" customFormat="1" ht="12">
      <c r="A44" s="39" t="str">
        <f>'ARRA 2009 RPO Summary'!A13</f>
        <v>Greater Bridgeport Regional Planning Agency</v>
      </c>
      <c r="B44" s="40"/>
      <c r="C44" s="63"/>
      <c r="E44" s="53">
        <f>'ARRA 2009 RPO Summary'!$I$13+'ARRA 2009 RPO Summary'!$J$13</f>
        <v>7625320</v>
      </c>
      <c r="F44" s="44"/>
      <c r="G44" s="130"/>
    </row>
    <row r="45" spans="1:7" s="15" customFormat="1" ht="12">
      <c r="A45" s="10" t="str">
        <f aca="true" t="shared" si="4" ref="A45:G45">A$1</f>
        <v>RPO</v>
      </c>
      <c r="B45" s="11" t="str">
        <f>B$1</f>
        <v>ARRA SOURCE</v>
      </c>
      <c r="C45" s="11" t="str">
        <f t="shared" si="4"/>
        <v>PROJ</v>
      </c>
      <c r="D45" s="12" t="str">
        <f t="shared" si="4"/>
        <v>TOWN</v>
      </c>
      <c r="E45" s="23" t="str">
        <f t="shared" si="4"/>
        <v>DESCRIPTION</v>
      </c>
      <c r="F45" s="11" t="str">
        <f t="shared" si="4"/>
        <v>PRIORITY</v>
      </c>
      <c r="G45" s="11" t="str">
        <f t="shared" si="4"/>
        <v>SCH ADV</v>
      </c>
    </row>
    <row r="46" spans="1:7" ht="24">
      <c r="A46" s="46">
        <v>7</v>
      </c>
      <c r="B46" s="47" t="s">
        <v>276</v>
      </c>
      <c r="C46" s="48" t="s">
        <v>236</v>
      </c>
      <c r="D46" s="49" t="s">
        <v>106</v>
      </c>
      <c r="E46" s="50" t="s">
        <v>160</v>
      </c>
      <c r="F46" s="48">
        <v>1</v>
      </c>
      <c r="G46" s="51">
        <v>40163</v>
      </c>
    </row>
    <row r="47" spans="1:7" ht="12">
      <c r="A47" s="46">
        <v>7</v>
      </c>
      <c r="B47" s="47" t="s">
        <v>276</v>
      </c>
      <c r="C47" s="48" t="s">
        <v>203</v>
      </c>
      <c r="D47" s="49" t="s">
        <v>61</v>
      </c>
      <c r="E47" s="50" t="s">
        <v>220</v>
      </c>
      <c r="F47" s="48">
        <v>1</v>
      </c>
      <c r="G47" s="51">
        <v>40100</v>
      </c>
    </row>
    <row r="48" spans="1:7" ht="12">
      <c r="A48" s="46">
        <v>7</v>
      </c>
      <c r="B48" s="47" t="s">
        <v>276</v>
      </c>
      <c r="C48" s="48" t="s">
        <v>275</v>
      </c>
      <c r="D48" s="49" t="s">
        <v>63</v>
      </c>
      <c r="E48" s="50" t="s">
        <v>125</v>
      </c>
      <c r="F48" s="48">
        <v>1</v>
      </c>
      <c r="G48" s="51">
        <v>40212</v>
      </c>
    </row>
    <row r="49" spans="1:7" ht="12">
      <c r="A49" s="46">
        <v>7</v>
      </c>
      <c r="B49" s="47" t="s">
        <v>276</v>
      </c>
      <c r="C49" s="48" t="s">
        <v>237</v>
      </c>
      <c r="D49" s="49" t="s">
        <v>61</v>
      </c>
      <c r="E49" s="50" t="s">
        <v>205</v>
      </c>
      <c r="F49" s="48">
        <v>1</v>
      </c>
      <c r="G49" s="51">
        <v>40212</v>
      </c>
    </row>
    <row r="50" spans="1:7" ht="12">
      <c r="A50" s="46">
        <v>7</v>
      </c>
      <c r="B50" s="47" t="s">
        <v>276</v>
      </c>
      <c r="C50" s="48" t="s">
        <v>301</v>
      </c>
      <c r="D50" s="49" t="s">
        <v>62</v>
      </c>
      <c r="E50" s="50" t="s">
        <v>282</v>
      </c>
      <c r="F50" s="48">
        <v>1</v>
      </c>
      <c r="G50" s="51">
        <v>40226</v>
      </c>
    </row>
    <row r="51" spans="1:7" ht="12">
      <c r="A51" s="46">
        <v>7</v>
      </c>
      <c r="B51" s="47" t="s">
        <v>276</v>
      </c>
      <c r="C51" s="48" t="s">
        <v>302</v>
      </c>
      <c r="D51" s="49" t="s">
        <v>161</v>
      </c>
      <c r="E51" s="50" t="s">
        <v>310</v>
      </c>
      <c r="F51" s="48">
        <v>1</v>
      </c>
      <c r="G51" s="51">
        <v>40226</v>
      </c>
    </row>
    <row r="52" spans="1:7" ht="12">
      <c r="A52" s="46">
        <v>7</v>
      </c>
      <c r="B52" s="47" t="s">
        <v>276</v>
      </c>
      <c r="C52" s="48" t="s">
        <v>326</v>
      </c>
      <c r="D52" s="49" t="s">
        <v>63</v>
      </c>
      <c r="E52" s="50" t="s">
        <v>328</v>
      </c>
      <c r="F52" s="48">
        <v>1</v>
      </c>
      <c r="G52" s="51">
        <v>40233</v>
      </c>
    </row>
    <row r="53" spans="1:7" s="41" customFormat="1" ht="12">
      <c r="A53" s="39" t="str">
        <f>'ARRA 2009 RPO Summary'!A14</f>
        <v>South Central Council of Governments</v>
      </c>
      <c r="B53" s="40"/>
      <c r="C53" s="63"/>
      <c r="E53" s="53">
        <f>'ARRA 2009 RPO Summary'!$I$14+'ARRA 2009 RPO Summary'!$J$14</f>
        <v>14048105</v>
      </c>
      <c r="F53" s="45" t="s">
        <v>124</v>
      </c>
      <c r="G53" s="130"/>
    </row>
    <row r="54" spans="1:7" s="15" customFormat="1" ht="12">
      <c r="A54" s="10" t="str">
        <f aca="true" t="shared" si="5" ref="A54:G54">A$1</f>
        <v>RPO</v>
      </c>
      <c r="B54" s="11" t="str">
        <f>B$1</f>
        <v>ARRA SOURCE</v>
      </c>
      <c r="C54" s="11" t="str">
        <f t="shared" si="5"/>
        <v>PROJ</v>
      </c>
      <c r="D54" s="12" t="str">
        <f t="shared" si="5"/>
        <v>TOWN</v>
      </c>
      <c r="E54" s="23" t="str">
        <f t="shared" si="5"/>
        <v>DESCRIPTION</v>
      </c>
      <c r="F54" s="11" t="str">
        <f t="shared" si="5"/>
        <v>PRIORITY</v>
      </c>
      <c r="G54" s="11" t="str">
        <f t="shared" si="5"/>
        <v>SCH ADV</v>
      </c>
    </row>
    <row r="55" spans="1:7" s="71" customFormat="1" ht="30.75" customHeight="1">
      <c r="A55" s="54">
        <v>8</v>
      </c>
      <c r="B55" s="47" t="s">
        <v>276</v>
      </c>
      <c r="C55" s="48" t="s">
        <v>150</v>
      </c>
      <c r="D55" s="55" t="s">
        <v>64</v>
      </c>
      <c r="E55" s="70" t="s">
        <v>126</v>
      </c>
      <c r="F55" s="48">
        <v>1</v>
      </c>
      <c r="G55" s="51">
        <v>40065</v>
      </c>
    </row>
    <row r="56" spans="1:7" s="71" customFormat="1" ht="12">
      <c r="A56" s="54">
        <v>8</v>
      </c>
      <c r="B56" s="47" t="s">
        <v>276</v>
      </c>
      <c r="C56" s="48" t="s">
        <v>151</v>
      </c>
      <c r="D56" s="55" t="s">
        <v>64</v>
      </c>
      <c r="E56" s="70" t="s">
        <v>296</v>
      </c>
      <c r="F56" s="48">
        <v>2</v>
      </c>
      <c r="G56" s="51">
        <v>40219</v>
      </c>
    </row>
    <row r="57" spans="1:7" s="71" customFormat="1" ht="12">
      <c r="A57" s="54">
        <v>8</v>
      </c>
      <c r="B57" s="47" t="s">
        <v>276</v>
      </c>
      <c r="C57" s="48" t="s">
        <v>152</v>
      </c>
      <c r="D57" s="55" t="s">
        <v>64</v>
      </c>
      <c r="E57" s="70" t="s">
        <v>137</v>
      </c>
      <c r="F57" s="48">
        <v>3</v>
      </c>
      <c r="G57" s="51">
        <v>40121</v>
      </c>
    </row>
    <row r="58" spans="1:7" ht="12">
      <c r="A58" s="54">
        <v>8</v>
      </c>
      <c r="B58" s="47" t="s">
        <v>276</v>
      </c>
      <c r="C58" s="48" t="s">
        <v>238</v>
      </c>
      <c r="D58" s="55" t="s">
        <v>64</v>
      </c>
      <c r="E58" s="50" t="s">
        <v>166</v>
      </c>
      <c r="F58" s="48">
        <v>4</v>
      </c>
      <c r="G58" s="51">
        <v>40163</v>
      </c>
    </row>
    <row r="59" spans="1:7" ht="12">
      <c r="A59" s="54">
        <v>8</v>
      </c>
      <c r="B59" s="47" t="s">
        <v>276</v>
      </c>
      <c r="C59" s="48"/>
      <c r="D59" s="55" t="s">
        <v>327</v>
      </c>
      <c r="E59" s="50"/>
      <c r="F59" s="48">
        <v>4</v>
      </c>
      <c r="G59" s="51"/>
    </row>
    <row r="60" spans="1:7" s="41" customFormat="1" ht="12">
      <c r="A60" s="39" t="str">
        <f>'ARRA 2009 RPO Summary'!A15</f>
        <v>Central CT Regional Planning Agency</v>
      </c>
      <c r="B60" s="40"/>
      <c r="C60" s="63"/>
      <c r="E60" s="53">
        <f>'ARRA 2009 RPO Summary'!$I$15+'ARRA 2009 RPO Summary'!$J$15</f>
        <v>5744512</v>
      </c>
      <c r="F60" s="45" t="s">
        <v>124</v>
      </c>
      <c r="G60" s="130"/>
    </row>
    <row r="61" spans="1:7" s="15" customFormat="1" ht="12">
      <c r="A61" s="10" t="str">
        <f aca="true" t="shared" si="6" ref="A61:G61">A$1</f>
        <v>RPO</v>
      </c>
      <c r="B61" s="11" t="str">
        <f>B$1</f>
        <v>ARRA SOURCE</v>
      </c>
      <c r="C61" s="11" t="str">
        <f t="shared" si="6"/>
        <v>PROJ</v>
      </c>
      <c r="D61" s="12" t="str">
        <f t="shared" si="6"/>
        <v>TOWN</v>
      </c>
      <c r="E61" s="23" t="str">
        <f t="shared" si="6"/>
        <v>DESCRIPTION</v>
      </c>
      <c r="F61" s="11" t="str">
        <f t="shared" si="6"/>
        <v>PRIORITY</v>
      </c>
      <c r="G61" s="11" t="str">
        <f t="shared" si="6"/>
        <v>SCH ADV</v>
      </c>
    </row>
    <row r="62" spans="1:7" s="72" customFormat="1" ht="24">
      <c r="A62" s="46">
        <v>9</v>
      </c>
      <c r="B62" s="47" t="s">
        <v>276</v>
      </c>
      <c r="C62" s="48" t="s">
        <v>239</v>
      </c>
      <c r="D62" s="49" t="s">
        <v>65</v>
      </c>
      <c r="E62" s="50" t="s">
        <v>134</v>
      </c>
      <c r="F62" s="48">
        <v>1</v>
      </c>
      <c r="G62" s="51">
        <v>40184</v>
      </c>
    </row>
    <row r="63" spans="1:7" ht="24">
      <c r="A63" s="46">
        <v>9</v>
      </c>
      <c r="B63" s="47" t="s">
        <v>276</v>
      </c>
      <c r="C63" s="48" t="s">
        <v>240</v>
      </c>
      <c r="D63" s="49" t="s">
        <v>66</v>
      </c>
      <c r="E63" s="50" t="s">
        <v>182</v>
      </c>
      <c r="F63" s="48">
        <v>2</v>
      </c>
      <c r="G63" s="51">
        <v>40226</v>
      </c>
    </row>
    <row r="64" spans="1:7" ht="12">
      <c r="A64" s="46">
        <v>9</v>
      </c>
      <c r="B64" s="47" t="s">
        <v>276</v>
      </c>
      <c r="C64" s="48" t="s">
        <v>241</v>
      </c>
      <c r="D64" s="49" t="s">
        <v>67</v>
      </c>
      <c r="E64" s="50" t="s">
        <v>135</v>
      </c>
      <c r="F64" s="48">
        <v>3</v>
      </c>
      <c r="G64" s="51">
        <v>40191</v>
      </c>
    </row>
    <row r="65" spans="1:7" ht="12">
      <c r="A65" s="46">
        <v>9</v>
      </c>
      <c r="B65" s="47" t="s">
        <v>276</v>
      </c>
      <c r="C65" s="48" t="s">
        <v>274</v>
      </c>
      <c r="D65" s="49" t="s">
        <v>68</v>
      </c>
      <c r="E65" s="50" t="s">
        <v>263</v>
      </c>
      <c r="F65" s="48">
        <v>4</v>
      </c>
      <c r="G65" s="51">
        <v>40226</v>
      </c>
    </row>
    <row r="66" spans="1:7" ht="12">
      <c r="A66" s="46">
        <v>9</v>
      </c>
      <c r="B66" s="47" t="s">
        <v>276</v>
      </c>
      <c r="C66" s="48" t="s">
        <v>303</v>
      </c>
      <c r="D66" s="49" t="s">
        <v>107</v>
      </c>
      <c r="E66" s="50" t="s">
        <v>195</v>
      </c>
      <c r="F66" s="48">
        <v>5</v>
      </c>
      <c r="G66" s="51">
        <v>40226</v>
      </c>
    </row>
    <row r="67" spans="1:7" ht="36">
      <c r="A67" s="46">
        <v>9</v>
      </c>
      <c r="B67" s="47" t="s">
        <v>276</v>
      </c>
      <c r="C67" s="48" t="s">
        <v>183</v>
      </c>
      <c r="D67" s="49" t="s">
        <v>70</v>
      </c>
      <c r="E67" s="50" t="s">
        <v>136</v>
      </c>
      <c r="F67" s="48">
        <v>6</v>
      </c>
      <c r="G67" s="51">
        <v>40184</v>
      </c>
    </row>
    <row r="68" spans="1:7" ht="48">
      <c r="A68" s="46">
        <v>9</v>
      </c>
      <c r="B68" s="47" t="s">
        <v>276</v>
      </c>
      <c r="C68" s="48" t="s">
        <v>242</v>
      </c>
      <c r="D68" s="49" t="s">
        <v>69</v>
      </c>
      <c r="E68" s="50" t="s">
        <v>167</v>
      </c>
      <c r="F68" s="48">
        <v>7</v>
      </c>
      <c r="G68" s="51">
        <v>40163</v>
      </c>
    </row>
    <row r="69" spans="1:7" s="41" customFormat="1" ht="12">
      <c r="A69" s="39" t="str">
        <f>'ARRA 2009 RPO Summary'!A16</f>
        <v>Capitol Region Council of Governments</v>
      </c>
      <c r="B69" s="40"/>
      <c r="C69" s="63"/>
      <c r="E69" s="53">
        <f>'ARRA 2009 RPO Summary'!$I$16+'ARRA 2009 RPO Summary'!$J$16</f>
        <v>17573915</v>
      </c>
      <c r="F69" s="45" t="s">
        <v>124</v>
      </c>
      <c r="G69" s="130"/>
    </row>
    <row r="70" spans="1:7" s="15" customFormat="1" ht="12">
      <c r="A70" s="10" t="str">
        <f aca="true" t="shared" si="7" ref="A70:G70">A$1</f>
        <v>RPO</v>
      </c>
      <c r="B70" s="11" t="str">
        <f>B$1</f>
        <v>ARRA SOURCE</v>
      </c>
      <c r="C70" s="11" t="str">
        <f t="shared" si="7"/>
        <v>PROJ</v>
      </c>
      <c r="D70" s="12" t="str">
        <f t="shared" si="7"/>
        <v>TOWN</v>
      </c>
      <c r="E70" s="23" t="str">
        <f t="shared" si="7"/>
        <v>DESCRIPTION</v>
      </c>
      <c r="F70" s="11" t="str">
        <f t="shared" si="7"/>
        <v>PRIORITY</v>
      </c>
      <c r="G70" s="11" t="str">
        <f t="shared" si="7"/>
        <v>SCH ADV</v>
      </c>
    </row>
    <row r="71" spans="1:7" s="69" customFormat="1" ht="12">
      <c r="A71" s="46">
        <v>10</v>
      </c>
      <c r="B71" s="47" t="s">
        <v>276</v>
      </c>
      <c r="C71" s="48" t="s">
        <v>117</v>
      </c>
      <c r="D71" s="49" t="s">
        <v>72</v>
      </c>
      <c r="E71" s="50" t="s">
        <v>73</v>
      </c>
      <c r="F71" s="48">
        <v>1</v>
      </c>
      <c r="G71" s="51">
        <v>40065</v>
      </c>
    </row>
    <row r="72" spans="1:7" s="69" customFormat="1" ht="12">
      <c r="A72" s="46">
        <v>10</v>
      </c>
      <c r="B72" s="47" t="s">
        <v>276</v>
      </c>
      <c r="C72" s="48" t="s">
        <v>122</v>
      </c>
      <c r="D72" s="49" t="s">
        <v>74</v>
      </c>
      <c r="E72" s="50" t="s">
        <v>75</v>
      </c>
      <c r="F72" s="48">
        <v>2</v>
      </c>
      <c r="G72" s="51">
        <v>40072</v>
      </c>
    </row>
    <row r="73" spans="1:7" ht="24.75" customHeight="1">
      <c r="A73" s="46">
        <v>10</v>
      </c>
      <c r="B73" s="47" t="s">
        <v>276</v>
      </c>
      <c r="C73" s="48" t="s">
        <v>118</v>
      </c>
      <c r="D73" s="49" t="s">
        <v>76</v>
      </c>
      <c r="E73" s="50" t="s">
        <v>77</v>
      </c>
      <c r="F73" s="48">
        <v>3</v>
      </c>
      <c r="G73" s="51">
        <v>40065</v>
      </c>
    </row>
    <row r="74" spans="1:7" ht="12">
      <c r="A74" s="46">
        <v>10</v>
      </c>
      <c r="B74" s="47" t="s">
        <v>276</v>
      </c>
      <c r="C74" s="48" t="s">
        <v>123</v>
      </c>
      <c r="D74" s="49" t="s">
        <v>78</v>
      </c>
      <c r="E74" s="50" t="s">
        <v>128</v>
      </c>
      <c r="F74" s="48">
        <v>4</v>
      </c>
      <c r="G74" s="51">
        <v>39955</v>
      </c>
    </row>
    <row r="75" spans="1:7" ht="16.5" customHeight="1">
      <c r="A75" s="46">
        <v>10</v>
      </c>
      <c r="B75" s="47" t="s">
        <v>276</v>
      </c>
      <c r="C75" s="48" t="s">
        <v>142</v>
      </c>
      <c r="D75" s="49" t="s">
        <v>79</v>
      </c>
      <c r="E75" s="50" t="s">
        <v>129</v>
      </c>
      <c r="F75" s="48">
        <v>5</v>
      </c>
      <c r="G75" s="51">
        <v>40198</v>
      </c>
    </row>
    <row r="76" spans="1:7" ht="24">
      <c r="A76" s="46">
        <v>10</v>
      </c>
      <c r="B76" s="47" t="s">
        <v>276</v>
      </c>
      <c r="C76" s="48" t="s">
        <v>197</v>
      </c>
      <c r="D76" s="49" t="s">
        <v>80</v>
      </c>
      <c r="E76" s="50" t="s">
        <v>181</v>
      </c>
      <c r="F76" s="48">
        <v>6</v>
      </c>
      <c r="G76" s="51">
        <v>40205</v>
      </c>
    </row>
    <row r="77" spans="1:7" ht="12">
      <c r="A77" s="46">
        <v>10</v>
      </c>
      <c r="B77" s="47" t="s">
        <v>276</v>
      </c>
      <c r="C77" s="48" t="s">
        <v>190</v>
      </c>
      <c r="D77" s="49" t="s">
        <v>81</v>
      </c>
      <c r="E77" s="50" t="s">
        <v>82</v>
      </c>
      <c r="F77" s="48">
        <v>7</v>
      </c>
      <c r="G77" s="51">
        <v>40212</v>
      </c>
    </row>
    <row r="78" spans="1:7" s="41" customFormat="1" ht="12">
      <c r="A78" s="39" t="str">
        <f>'ARRA 2009 RPO Summary'!A17</f>
        <v>Midstate Regional Planning Agency</v>
      </c>
      <c r="B78" s="40"/>
      <c r="C78" s="63"/>
      <c r="E78" s="53">
        <f>'ARRA 2009 RPO Summary'!$I$17+'ARRA 2009 RPO Summary'!$J$17</f>
        <v>2135706</v>
      </c>
      <c r="F78" s="45" t="s">
        <v>124</v>
      </c>
      <c r="G78" s="130"/>
    </row>
    <row r="79" spans="1:7" s="15" customFormat="1" ht="12">
      <c r="A79" s="10" t="str">
        <f aca="true" t="shared" si="8" ref="A79:G79">A$1</f>
        <v>RPO</v>
      </c>
      <c r="B79" s="11" t="str">
        <f>B$1</f>
        <v>ARRA SOURCE</v>
      </c>
      <c r="C79" s="11" t="str">
        <f t="shared" si="8"/>
        <v>PROJ</v>
      </c>
      <c r="D79" s="12" t="str">
        <f t="shared" si="8"/>
        <v>TOWN</v>
      </c>
      <c r="E79" s="23" t="str">
        <f t="shared" si="8"/>
        <v>DESCRIPTION</v>
      </c>
      <c r="F79" s="11" t="str">
        <f t="shared" si="8"/>
        <v>PRIORITY</v>
      </c>
      <c r="G79" s="11" t="str">
        <f t="shared" si="8"/>
        <v>SCH ADV</v>
      </c>
    </row>
    <row r="80" spans="1:7" ht="12">
      <c r="A80" s="46">
        <v>11</v>
      </c>
      <c r="B80" s="47" t="s">
        <v>276</v>
      </c>
      <c r="C80" s="48" t="s">
        <v>322</v>
      </c>
      <c r="D80" s="49" t="s">
        <v>110</v>
      </c>
      <c r="E80" s="50" t="s">
        <v>306</v>
      </c>
      <c r="F80" s="48">
        <v>1</v>
      </c>
      <c r="G80" s="51">
        <v>40219</v>
      </c>
    </row>
    <row r="81" spans="1:7" ht="12">
      <c r="A81" s="46">
        <v>11</v>
      </c>
      <c r="B81" s="47" t="s">
        <v>276</v>
      </c>
      <c r="C81" s="48" t="s">
        <v>307</v>
      </c>
      <c r="D81" s="49" t="s">
        <v>83</v>
      </c>
      <c r="E81" s="50" t="s">
        <v>312</v>
      </c>
      <c r="F81" s="48">
        <v>1</v>
      </c>
      <c r="G81" s="51">
        <v>40219</v>
      </c>
    </row>
    <row r="82" spans="1:7" ht="12">
      <c r="A82" s="46">
        <v>11</v>
      </c>
      <c r="B82" s="47" t="s">
        <v>276</v>
      </c>
      <c r="C82" s="48" t="s">
        <v>200</v>
      </c>
      <c r="D82" s="49" t="s">
        <v>115</v>
      </c>
      <c r="E82" s="50" t="s">
        <v>191</v>
      </c>
      <c r="F82" s="48">
        <v>1</v>
      </c>
      <c r="G82" s="51">
        <v>40177</v>
      </c>
    </row>
    <row r="83" spans="1:7" ht="12">
      <c r="A83" s="46">
        <v>11</v>
      </c>
      <c r="B83" s="47" t="s">
        <v>276</v>
      </c>
      <c r="C83" s="48" t="s">
        <v>288</v>
      </c>
      <c r="D83" s="49" t="s">
        <v>112</v>
      </c>
      <c r="E83" s="50" t="s">
        <v>313</v>
      </c>
      <c r="F83" s="48">
        <v>1</v>
      </c>
      <c r="G83" s="51">
        <v>40219</v>
      </c>
    </row>
    <row r="84" spans="1:7" ht="12">
      <c r="A84" s="46">
        <v>11</v>
      </c>
      <c r="B84" s="47" t="s">
        <v>283</v>
      </c>
      <c r="C84" s="48" t="s">
        <v>317</v>
      </c>
      <c r="D84" s="49" t="s">
        <v>111</v>
      </c>
      <c r="E84" s="50" t="s">
        <v>314</v>
      </c>
      <c r="F84" s="48">
        <v>1</v>
      </c>
      <c r="G84" s="51">
        <v>40219</v>
      </c>
    </row>
    <row r="85" spans="1:7" ht="12">
      <c r="A85" s="46">
        <v>11</v>
      </c>
      <c r="B85" s="47" t="s">
        <v>276</v>
      </c>
      <c r="C85" s="48" t="s">
        <v>323</v>
      </c>
      <c r="D85" s="49" t="s">
        <v>113</v>
      </c>
      <c r="E85" s="50" t="s">
        <v>297</v>
      </c>
      <c r="F85" s="48">
        <v>1</v>
      </c>
      <c r="G85" s="51">
        <v>40219</v>
      </c>
    </row>
    <row r="86" spans="1:7" ht="24">
      <c r="A86" s="46">
        <v>11</v>
      </c>
      <c r="B86" s="47" t="s">
        <v>276</v>
      </c>
      <c r="C86" s="48" t="s">
        <v>308</v>
      </c>
      <c r="D86" s="49" t="s">
        <v>114</v>
      </c>
      <c r="E86" s="50" t="s">
        <v>311</v>
      </c>
      <c r="F86" s="48">
        <v>1</v>
      </c>
      <c r="G86" s="51">
        <v>40219</v>
      </c>
    </row>
    <row r="87" spans="1:7" s="41" customFormat="1" ht="12">
      <c r="A87" s="39" t="str">
        <f>'ARRA 2009 RPO Summary'!A18</f>
        <v>CT River Estuary Regional Planning Agency</v>
      </c>
      <c r="B87" s="40"/>
      <c r="C87" s="63"/>
      <c r="E87" s="53">
        <f>'ARRA 2009 RPO Summary'!$I$18+'ARRA 2009 RPO Summary'!$J$18</f>
        <v>1099730</v>
      </c>
      <c r="F87" s="45" t="s">
        <v>124</v>
      </c>
      <c r="G87" s="130"/>
    </row>
    <row r="88" spans="1:7" s="15" customFormat="1" ht="12">
      <c r="A88" s="10" t="str">
        <f aca="true" t="shared" si="9" ref="A88:G88">A$1</f>
        <v>RPO</v>
      </c>
      <c r="B88" s="11" t="str">
        <f>B$1</f>
        <v>ARRA SOURCE</v>
      </c>
      <c r="C88" s="11" t="str">
        <f t="shared" si="9"/>
        <v>PROJ</v>
      </c>
      <c r="D88" s="12" t="str">
        <f t="shared" si="9"/>
        <v>TOWN</v>
      </c>
      <c r="E88" s="23" t="str">
        <f t="shared" si="9"/>
        <v>DESCRIPTION</v>
      </c>
      <c r="F88" s="11" t="str">
        <f t="shared" si="9"/>
        <v>PRIORITY</v>
      </c>
      <c r="G88" s="11" t="str">
        <f t="shared" si="9"/>
        <v>SCH ADV</v>
      </c>
    </row>
    <row r="89" spans="1:7" ht="12">
      <c r="A89" s="46">
        <v>12</v>
      </c>
      <c r="B89" s="47" t="s">
        <v>276</v>
      </c>
      <c r="C89" s="48" t="s">
        <v>318</v>
      </c>
      <c r="D89" s="49" t="s">
        <v>84</v>
      </c>
      <c r="E89" s="50" t="s">
        <v>218</v>
      </c>
      <c r="F89" s="48">
        <v>1</v>
      </c>
      <c r="G89" s="51">
        <v>40226</v>
      </c>
    </row>
    <row r="90" spans="1:7" ht="12">
      <c r="A90" s="46">
        <v>12</v>
      </c>
      <c r="B90" s="47" t="s">
        <v>276</v>
      </c>
      <c r="C90" s="48" t="s">
        <v>221</v>
      </c>
      <c r="D90" s="49" t="s">
        <v>188</v>
      </c>
      <c r="E90" s="50" t="s">
        <v>260</v>
      </c>
      <c r="F90" s="48">
        <v>1</v>
      </c>
      <c r="G90" s="51">
        <v>40184</v>
      </c>
    </row>
    <row r="91" spans="1:7" s="41" customFormat="1" ht="12">
      <c r="A91" s="39" t="str">
        <f>'ARRA 2009 RPO Summary'!A19</f>
        <v>Southeastern CT Council of Governments</v>
      </c>
      <c r="B91" s="40"/>
      <c r="C91" s="63"/>
      <c r="E91" s="53">
        <f>'ARRA 2009 RPO Summary'!$I$19+'ARRA 2009 RPO Summary'!$J$19</f>
        <v>6756772</v>
      </c>
      <c r="F91" s="45" t="s">
        <v>124</v>
      </c>
      <c r="G91" s="130"/>
    </row>
    <row r="92" spans="1:7" s="15" customFormat="1" ht="12">
      <c r="A92" s="10" t="str">
        <f aca="true" t="shared" si="10" ref="A92:G92">A$1</f>
        <v>RPO</v>
      </c>
      <c r="B92" s="11" t="str">
        <f>B$1</f>
        <v>ARRA SOURCE</v>
      </c>
      <c r="C92" s="11" t="str">
        <f t="shared" si="10"/>
        <v>PROJ</v>
      </c>
      <c r="D92" s="12" t="str">
        <f t="shared" si="10"/>
        <v>TOWN</v>
      </c>
      <c r="E92" s="23" t="str">
        <f t="shared" si="10"/>
        <v>DESCRIPTION</v>
      </c>
      <c r="F92" s="11" t="str">
        <f t="shared" si="10"/>
        <v>PRIORITY</v>
      </c>
      <c r="G92" s="11" t="str">
        <f t="shared" si="10"/>
        <v>SCH ADV</v>
      </c>
    </row>
    <row r="93" spans="1:7" ht="12">
      <c r="A93" s="46">
        <v>13</v>
      </c>
      <c r="B93" s="47" t="s">
        <v>283</v>
      </c>
      <c r="C93" s="48" t="s">
        <v>243</v>
      </c>
      <c r="D93" s="49" t="s">
        <v>85</v>
      </c>
      <c r="E93" s="50" t="s">
        <v>86</v>
      </c>
      <c r="F93" s="48">
        <v>1</v>
      </c>
      <c r="G93" s="51">
        <v>40163</v>
      </c>
    </row>
    <row r="94" spans="1:7" ht="24">
      <c r="A94" s="46">
        <v>13</v>
      </c>
      <c r="B94" s="47" t="s">
        <v>283</v>
      </c>
      <c r="C94" s="48" t="s">
        <v>244</v>
      </c>
      <c r="D94" s="49" t="s">
        <v>87</v>
      </c>
      <c r="E94" s="50" t="s">
        <v>88</v>
      </c>
      <c r="F94" s="48">
        <v>2</v>
      </c>
      <c r="G94" s="51">
        <v>40184</v>
      </c>
    </row>
    <row r="95" spans="1:7" ht="12">
      <c r="A95" s="46">
        <v>13</v>
      </c>
      <c r="B95" s="47" t="s">
        <v>283</v>
      </c>
      <c r="C95" s="48" t="s">
        <v>245</v>
      </c>
      <c r="D95" s="49" t="s">
        <v>89</v>
      </c>
      <c r="E95" s="50" t="s">
        <v>298</v>
      </c>
      <c r="F95" s="48">
        <v>3</v>
      </c>
      <c r="G95" s="51">
        <v>40184</v>
      </c>
    </row>
    <row r="96" spans="1:7" ht="22.5" customHeight="1">
      <c r="A96" s="46">
        <v>13</v>
      </c>
      <c r="B96" s="47" t="s">
        <v>283</v>
      </c>
      <c r="C96" s="48" t="s">
        <v>265</v>
      </c>
      <c r="D96" s="49" t="s">
        <v>90</v>
      </c>
      <c r="E96" s="50" t="s">
        <v>91</v>
      </c>
      <c r="F96" s="48">
        <v>4</v>
      </c>
      <c r="G96" s="51">
        <v>39889</v>
      </c>
    </row>
    <row r="97" spans="1:7" ht="12">
      <c r="A97" s="46">
        <v>13</v>
      </c>
      <c r="B97" s="47" t="s">
        <v>283</v>
      </c>
      <c r="C97" s="48" t="s">
        <v>189</v>
      </c>
      <c r="D97" s="49" t="s">
        <v>92</v>
      </c>
      <c r="E97" s="50" t="s">
        <v>93</v>
      </c>
      <c r="F97" s="48">
        <v>5</v>
      </c>
      <c r="G97" s="51">
        <v>40114</v>
      </c>
    </row>
    <row r="104" spans="3:7" s="58" customFormat="1" ht="12">
      <c r="C104" s="57"/>
      <c r="E104" s="60"/>
      <c r="G104" s="131"/>
    </row>
    <row r="105" spans="3:7" s="58" customFormat="1" ht="12">
      <c r="C105" s="57"/>
      <c r="E105" s="60"/>
      <c r="G105" s="131"/>
    </row>
    <row r="106" spans="1:7" s="61" customFormat="1" ht="12">
      <c r="A106" s="56"/>
      <c r="B106" s="57"/>
      <c r="C106" s="57"/>
      <c r="D106" s="59"/>
      <c r="E106" s="60"/>
      <c r="F106" s="58"/>
      <c r="G106" s="131"/>
    </row>
    <row r="107" spans="1:7" s="61" customFormat="1" ht="12">
      <c r="A107" s="56"/>
      <c r="B107" s="57"/>
      <c r="C107" s="57"/>
      <c r="D107" s="59"/>
      <c r="E107" s="60"/>
      <c r="F107" s="58"/>
      <c r="G107" s="131"/>
    </row>
    <row r="108" spans="1:7" s="61" customFormat="1" ht="12">
      <c r="A108" s="56"/>
      <c r="B108" s="57"/>
      <c r="C108" s="57"/>
      <c r="D108" s="59"/>
      <c r="E108" s="60"/>
      <c r="F108" s="58"/>
      <c r="G108" s="131"/>
    </row>
    <row r="109" spans="1:7" s="61" customFormat="1" ht="12">
      <c r="A109" s="56"/>
      <c r="B109" s="57"/>
      <c r="C109" s="57"/>
      <c r="D109" s="59"/>
      <c r="E109" s="60"/>
      <c r="F109" s="58"/>
      <c r="G109" s="131"/>
    </row>
    <row r="110" spans="1:7" s="61" customFormat="1" ht="12">
      <c r="A110" s="56"/>
      <c r="B110" s="57"/>
      <c r="C110" s="57"/>
      <c r="D110" s="59"/>
      <c r="E110" s="60"/>
      <c r="F110" s="58"/>
      <c r="G110" s="131"/>
    </row>
    <row r="111" spans="1:7" s="61" customFormat="1" ht="12">
      <c r="A111" s="56"/>
      <c r="B111" s="57"/>
      <c r="C111" s="57"/>
      <c r="D111" s="59"/>
      <c r="E111" s="60"/>
      <c r="F111" s="58"/>
      <c r="G111" s="131"/>
    </row>
    <row r="112" spans="1:7" s="61" customFormat="1" ht="12">
      <c r="A112" s="56"/>
      <c r="B112" s="57"/>
      <c r="C112" s="57"/>
      <c r="D112" s="59"/>
      <c r="E112" s="60"/>
      <c r="F112" s="58"/>
      <c r="G112" s="131"/>
    </row>
    <row r="113" spans="1:7" s="61" customFormat="1" ht="12">
      <c r="A113" s="56"/>
      <c r="B113" s="57"/>
      <c r="C113" s="57"/>
      <c r="D113" s="59"/>
      <c r="E113" s="60"/>
      <c r="F113" s="58"/>
      <c r="G113" s="131"/>
    </row>
    <row r="114" spans="1:7" s="61" customFormat="1" ht="12">
      <c r="A114" s="56"/>
      <c r="B114" s="57"/>
      <c r="C114" s="57"/>
      <c r="D114" s="59"/>
      <c r="E114" s="60"/>
      <c r="F114" s="58"/>
      <c r="G114" s="131"/>
    </row>
    <row r="115" spans="1:7" s="61" customFormat="1" ht="12">
      <c r="A115" s="56"/>
      <c r="B115" s="57"/>
      <c r="C115" s="57"/>
      <c r="D115" s="59"/>
      <c r="E115" s="60"/>
      <c r="F115" s="58"/>
      <c r="G115" s="131"/>
    </row>
    <row r="116" spans="1:7" s="61" customFormat="1" ht="12">
      <c r="A116" s="56"/>
      <c r="B116" s="57"/>
      <c r="C116" s="57"/>
      <c r="D116" s="59"/>
      <c r="E116" s="60"/>
      <c r="F116" s="58"/>
      <c r="G116" s="131"/>
    </row>
    <row r="117" spans="1:7" s="61" customFormat="1" ht="12">
      <c r="A117" s="56"/>
      <c r="B117" s="57"/>
      <c r="C117" s="57"/>
      <c r="D117" s="59"/>
      <c r="E117" s="60"/>
      <c r="F117" s="58"/>
      <c r="G117" s="131"/>
    </row>
    <row r="118" spans="1:7" s="61" customFormat="1" ht="12">
      <c r="A118" s="56"/>
      <c r="B118" s="57"/>
      <c r="C118" s="57"/>
      <c r="D118" s="59"/>
      <c r="E118" s="60"/>
      <c r="F118" s="58"/>
      <c r="G118" s="131"/>
    </row>
    <row r="119" spans="1:7" s="61" customFormat="1" ht="12">
      <c r="A119" s="58"/>
      <c r="B119" s="57"/>
      <c r="C119" s="57"/>
      <c r="D119" s="59"/>
      <c r="E119" s="60"/>
      <c r="F119" s="58"/>
      <c r="G119" s="131"/>
    </row>
    <row r="120" spans="1:7" s="61" customFormat="1" ht="12">
      <c r="A120" s="58"/>
      <c r="B120" s="57"/>
      <c r="C120" s="57"/>
      <c r="D120" s="59"/>
      <c r="E120" s="60"/>
      <c r="F120" s="58"/>
      <c r="G120" s="131"/>
    </row>
    <row r="121" spans="1:7" s="61" customFormat="1" ht="12">
      <c r="A121" s="58"/>
      <c r="B121" s="57"/>
      <c r="C121" s="57"/>
      <c r="D121" s="59"/>
      <c r="E121" s="60"/>
      <c r="F121" s="58"/>
      <c r="G121" s="131"/>
    </row>
    <row r="122" spans="1:7" s="61" customFormat="1" ht="12">
      <c r="A122" s="58"/>
      <c r="B122" s="57"/>
      <c r="C122" s="57"/>
      <c r="D122" s="59"/>
      <c r="E122" s="60"/>
      <c r="F122" s="58"/>
      <c r="G122" s="131"/>
    </row>
    <row r="123" spans="1:7" s="61" customFormat="1" ht="12">
      <c r="A123" s="58"/>
      <c r="B123" s="57"/>
      <c r="C123" s="57"/>
      <c r="D123" s="59"/>
      <c r="E123" s="60"/>
      <c r="F123" s="58"/>
      <c r="G123" s="131"/>
    </row>
    <row r="124" spans="1:7" s="61" customFormat="1" ht="12">
      <c r="A124" s="58"/>
      <c r="B124" s="57"/>
      <c r="C124" s="57"/>
      <c r="D124" s="59"/>
      <c r="E124" s="60"/>
      <c r="F124" s="58"/>
      <c r="G124" s="131"/>
    </row>
    <row r="125" spans="1:7" s="61" customFormat="1" ht="12">
      <c r="A125" s="58"/>
      <c r="B125" s="57"/>
      <c r="C125" s="57"/>
      <c r="D125" s="59"/>
      <c r="E125" s="60"/>
      <c r="F125" s="58"/>
      <c r="G125" s="131"/>
    </row>
    <row r="126" spans="1:7" s="61" customFormat="1" ht="12">
      <c r="A126" s="58"/>
      <c r="B126" s="57"/>
      <c r="C126" s="57"/>
      <c r="D126" s="59"/>
      <c r="E126" s="60"/>
      <c r="F126" s="58"/>
      <c r="G126" s="131"/>
    </row>
    <row r="127" spans="1:7" s="61" customFormat="1" ht="12">
      <c r="A127" s="58"/>
      <c r="B127" s="57"/>
      <c r="C127" s="57"/>
      <c r="D127" s="59"/>
      <c r="E127" s="60"/>
      <c r="F127" s="58"/>
      <c r="G127" s="131"/>
    </row>
    <row r="128" spans="1:7" s="61" customFormat="1" ht="12">
      <c r="A128" s="58"/>
      <c r="B128" s="57"/>
      <c r="C128" s="57"/>
      <c r="D128" s="59"/>
      <c r="E128" s="60"/>
      <c r="F128" s="58"/>
      <c r="G128" s="131"/>
    </row>
    <row r="129" spans="1:7" s="61" customFormat="1" ht="12">
      <c r="A129" s="58"/>
      <c r="B129" s="57"/>
      <c r="C129" s="57"/>
      <c r="D129" s="59"/>
      <c r="E129" s="60"/>
      <c r="F129" s="58"/>
      <c r="G129" s="131"/>
    </row>
    <row r="130" spans="1:7" s="61" customFormat="1" ht="12">
      <c r="A130" s="58"/>
      <c r="B130" s="57"/>
      <c r="C130" s="57"/>
      <c r="D130" s="59"/>
      <c r="E130" s="60"/>
      <c r="F130" s="58"/>
      <c r="G130" s="131"/>
    </row>
    <row r="131" spans="1:7" s="61" customFormat="1" ht="12">
      <c r="A131" s="58"/>
      <c r="B131" s="57"/>
      <c r="C131" s="57"/>
      <c r="D131" s="59"/>
      <c r="E131" s="60"/>
      <c r="F131" s="58"/>
      <c r="G131" s="131"/>
    </row>
    <row r="132" ht="12">
      <c r="A132" s="69"/>
    </row>
    <row r="133" ht="12">
      <c r="A133" s="69"/>
    </row>
    <row r="134" ht="12">
      <c r="A134" s="69"/>
    </row>
    <row r="135" ht="12">
      <c r="A135" s="69"/>
    </row>
    <row r="136" ht="12">
      <c r="A136" s="69"/>
    </row>
    <row r="137" spans="1:4" ht="12">
      <c r="A137" s="69"/>
      <c r="D137" s="68"/>
    </row>
    <row r="138" ht="12">
      <c r="A138" s="69"/>
    </row>
    <row r="139" ht="12">
      <c r="A139" s="69"/>
    </row>
  </sheetData>
  <sheetProtection insertRows="0" autoFilter="0" pivotTables="0"/>
  <autoFilter ref="A1:G3"/>
  <mergeCells count="1">
    <mergeCell ref="A3:G3"/>
  </mergeCells>
  <printOptions horizontalCentered="1"/>
  <pageMargins left="0" right="0" top="0.5" bottom="0.75" header="0.5" footer="0.5"/>
  <pageSetup horizontalDpi="600" verticalDpi="600" orientation="landscape" paperSize="5" scale="46" r:id="rId1"/>
  <headerFooter alignWithMargins="0">
    <oddFooter>&amp;LPrinted &amp;D &amp;T&amp;C&amp;Z&amp;F&amp;A&amp;RPage &amp;P of &amp;N</oddFooter>
  </headerFooter>
  <rowBreaks count="2" manualBreakCount="2">
    <brk id="25" max="25" man="1"/>
    <brk id="68" max="26" man="1"/>
  </rowBreaks>
</worksheet>
</file>

<file path=xl/worksheets/sheet3.xml><?xml version="1.0" encoding="utf-8"?>
<worksheet xmlns="http://schemas.openxmlformats.org/spreadsheetml/2006/main" xmlns:r="http://schemas.openxmlformats.org/officeDocument/2006/relationships">
  <sheetPr>
    <tabColor indexed="50"/>
  </sheetPr>
  <dimension ref="A1:G43"/>
  <sheetViews>
    <sheetView zoomScaleSheetLayoutView="85" zoomScalePageLayoutView="0" workbookViewId="0" topLeftCell="A1">
      <pane xSplit="5" ySplit="6" topLeftCell="G7" activePane="bottomRight" state="frozen"/>
      <selection pane="topLeft" activeCell="A2" sqref="A2"/>
      <selection pane="topRight" activeCell="A2" sqref="A2"/>
      <selection pane="bottomLeft" activeCell="A2" sqref="A2"/>
      <selection pane="bottomRight" activeCell="A3" sqref="A3:G3"/>
    </sheetView>
  </sheetViews>
  <sheetFormatPr defaultColWidth="9.140625" defaultRowHeight="12.75"/>
  <cols>
    <col min="1" max="1" width="4.8515625" style="68" customWidth="1"/>
    <col min="2" max="2" width="17.421875" style="64" hidden="1" customWidth="1"/>
    <col min="3" max="3" width="10.8515625" style="64" bestFit="1" customWidth="1"/>
    <col min="4" max="4" width="15.28125" style="65" customWidth="1"/>
    <col min="5" max="5" width="44.28125" style="66" bestFit="1" customWidth="1"/>
    <col min="6" max="6" width="13.140625" style="67" hidden="1" customWidth="1"/>
    <col min="7" max="7" width="13.421875" style="132" customWidth="1"/>
    <col min="8" max="8" width="39.7109375" style="52" customWidth="1"/>
    <col min="9" max="16384" width="9.140625" style="52" customWidth="1"/>
  </cols>
  <sheetData>
    <row r="1" spans="1:7" s="15" customFormat="1" ht="12">
      <c r="A1" s="16" t="s">
        <v>23</v>
      </c>
      <c r="B1" s="17" t="s">
        <v>24</v>
      </c>
      <c r="C1" s="17" t="s">
        <v>25</v>
      </c>
      <c r="D1" s="18" t="s">
        <v>26</v>
      </c>
      <c r="E1" s="21" t="s">
        <v>27</v>
      </c>
      <c r="F1" s="17" t="s">
        <v>28</v>
      </c>
      <c r="G1" s="17" t="s">
        <v>29</v>
      </c>
    </row>
    <row r="2" spans="1:7" s="4" customFormat="1" ht="20.25">
      <c r="A2" s="144" t="s">
        <v>331</v>
      </c>
      <c r="B2" s="141"/>
      <c r="C2" s="141"/>
      <c r="D2" s="142"/>
      <c r="E2" s="143"/>
      <c r="F2" s="141"/>
      <c r="G2" s="141"/>
    </row>
    <row r="3" spans="1:7" s="8" customFormat="1" ht="18">
      <c r="A3" s="160" t="s">
        <v>332</v>
      </c>
      <c r="B3" s="161"/>
      <c r="C3" s="161"/>
      <c r="D3" s="161"/>
      <c r="E3" s="161"/>
      <c r="F3" s="161"/>
      <c r="G3" s="161"/>
    </row>
    <row r="4" spans="1:7" s="8" customFormat="1" ht="18">
      <c r="A4" s="20"/>
      <c r="B4" s="25"/>
      <c r="C4" s="29"/>
      <c r="D4" s="24"/>
      <c r="E4" s="27"/>
      <c r="F4" s="6"/>
      <c r="G4" s="133"/>
    </row>
    <row r="5" spans="1:7" s="41" customFormat="1" ht="12">
      <c r="A5" s="39" t="str">
        <f>'ARRA 2009 RPO Summary'!A9</f>
        <v>Northwestern Council of Governments</v>
      </c>
      <c r="B5" s="40"/>
      <c r="C5" s="63"/>
      <c r="E5" s="53">
        <f>'ARRA 2009 RPO Summary'!$K$9</f>
        <v>1100000</v>
      </c>
      <c r="F5" s="45" t="s">
        <v>124</v>
      </c>
      <c r="G5" s="130"/>
    </row>
    <row r="6" spans="1:7" s="15" customFormat="1" ht="12">
      <c r="A6" s="10" t="str">
        <f aca="true" t="shared" si="0" ref="A6:G6">A$1</f>
        <v>RPO</v>
      </c>
      <c r="B6" s="11" t="str">
        <f t="shared" si="0"/>
        <v>ARRA SOURCE</v>
      </c>
      <c r="C6" s="11" t="str">
        <f t="shared" si="0"/>
        <v>PROJ</v>
      </c>
      <c r="D6" s="12" t="str">
        <f t="shared" si="0"/>
        <v>TOWN</v>
      </c>
      <c r="E6" s="23" t="str">
        <f t="shared" si="0"/>
        <v>DESCRIPTION</v>
      </c>
      <c r="F6" s="11" t="str">
        <f t="shared" si="0"/>
        <v>PRIORITY</v>
      </c>
      <c r="G6" s="11" t="str">
        <f t="shared" si="0"/>
        <v>SCH ADV</v>
      </c>
    </row>
    <row r="7" spans="1:7" ht="12">
      <c r="A7" s="46">
        <v>3</v>
      </c>
      <c r="B7" s="47" t="s">
        <v>8</v>
      </c>
      <c r="C7" s="48" t="s">
        <v>319</v>
      </c>
      <c r="D7" s="49" t="s">
        <v>176</v>
      </c>
      <c r="E7" s="50" t="s">
        <v>177</v>
      </c>
      <c r="F7" s="48">
        <v>1</v>
      </c>
      <c r="G7" s="51">
        <v>40219</v>
      </c>
    </row>
    <row r="8" spans="1:7" ht="12">
      <c r="A8" s="46">
        <v>3</v>
      </c>
      <c r="B8" s="47" t="s">
        <v>8</v>
      </c>
      <c r="C8" s="48" t="s">
        <v>320</v>
      </c>
      <c r="D8" s="49" t="s">
        <v>178</v>
      </c>
      <c r="E8" s="50" t="s">
        <v>324</v>
      </c>
      <c r="F8" s="48">
        <v>1</v>
      </c>
      <c r="G8" s="51">
        <v>40219</v>
      </c>
    </row>
    <row r="9" spans="1:7" ht="12">
      <c r="A9" s="46">
        <v>3</v>
      </c>
      <c r="B9" s="47" t="s">
        <v>8</v>
      </c>
      <c r="C9" s="48" t="s">
        <v>287</v>
      </c>
      <c r="D9" s="49" t="s">
        <v>179</v>
      </c>
      <c r="E9" s="50" t="s">
        <v>201</v>
      </c>
      <c r="F9" s="48">
        <v>1</v>
      </c>
      <c r="G9" s="51">
        <v>40219</v>
      </c>
    </row>
    <row r="10" spans="1:7" ht="12">
      <c r="A10" s="46">
        <v>3</v>
      </c>
      <c r="B10" s="47" t="s">
        <v>8</v>
      </c>
      <c r="C10" s="48" t="s">
        <v>257</v>
      </c>
      <c r="D10" s="49" t="s">
        <v>180</v>
      </c>
      <c r="E10" s="50" t="s">
        <v>325</v>
      </c>
      <c r="F10" s="48">
        <v>1</v>
      </c>
      <c r="G10" s="51">
        <v>40191</v>
      </c>
    </row>
    <row r="12" spans="1:7" s="41" customFormat="1" ht="12">
      <c r="A12" s="39" t="str">
        <f>'ARRA 2009 RPO Summary'!A10</f>
        <v>Litchfield Hills Council of Elected Officials</v>
      </c>
      <c r="B12" s="40"/>
      <c r="C12" s="63"/>
      <c r="E12" s="42">
        <f>'ARRA 2009 RPO Summary'!$I$10+'ARRA 2009 RPO Summary'!$J$10</f>
        <v>1573444</v>
      </c>
      <c r="F12" s="45" t="s">
        <v>124</v>
      </c>
      <c r="G12" s="130"/>
    </row>
    <row r="13" spans="1:7" s="15" customFormat="1" ht="12">
      <c r="A13" s="10" t="str">
        <f aca="true" t="shared" si="1" ref="A13:G13">A$1</f>
        <v>RPO</v>
      </c>
      <c r="B13" s="11" t="str">
        <f t="shared" si="1"/>
        <v>ARRA SOURCE</v>
      </c>
      <c r="C13" s="11" t="str">
        <f t="shared" si="1"/>
        <v>PROJ</v>
      </c>
      <c r="D13" s="12" t="str">
        <f t="shared" si="1"/>
        <v>TOWN</v>
      </c>
      <c r="E13" s="23" t="str">
        <f t="shared" si="1"/>
        <v>DESCRIPTION</v>
      </c>
      <c r="F13" s="11" t="str">
        <f t="shared" si="1"/>
        <v>PRIORITY</v>
      </c>
      <c r="G13" s="11" t="str">
        <f t="shared" si="1"/>
        <v>SCH ADV</v>
      </c>
    </row>
    <row r="14" spans="1:7" ht="48">
      <c r="A14" s="46">
        <v>4</v>
      </c>
      <c r="B14" s="47" t="s">
        <v>283</v>
      </c>
      <c r="C14" s="48" t="s">
        <v>246</v>
      </c>
      <c r="D14" s="49" t="s">
        <v>94</v>
      </c>
      <c r="E14" s="50" t="s">
        <v>214</v>
      </c>
      <c r="F14" s="48">
        <v>1</v>
      </c>
      <c r="G14" s="51">
        <v>40219</v>
      </c>
    </row>
    <row r="15" spans="1:7" ht="12">
      <c r="A15" s="46">
        <v>4</v>
      </c>
      <c r="B15" s="47" t="s">
        <v>283</v>
      </c>
      <c r="C15" s="48" t="s">
        <v>247</v>
      </c>
      <c r="D15" s="49" t="s">
        <v>95</v>
      </c>
      <c r="E15" s="50" t="s">
        <v>215</v>
      </c>
      <c r="F15" s="48">
        <v>1</v>
      </c>
      <c r="G15" s="51">
        <v>40191</v>
      </c>
    </row>
    <row r="16" spans="1:7" s="41" customFormat="1" ht="12">
      <c r="A16" s="39" t="str">
        <f>'ARRA 2009 RPO Summary'!A10</f>
        <v>Litchfield Hills Council of Elected Officials</v>
      </c>
      <c r="B16" s="40"/>
      <c r="C16" s="63"/>
      <c r="E16" s="53">
        <f>'ARRA 2009 RPO Summary'!$K$10</f>
        <v>1100000</v>
      </c>
      <c r="F16" s="45" t="s">
        <v>124</v>
      </c>
      <c r="G16" s="130"/>
    </row>
    <row r="17" spans="1:7" s="15" customFormat="1" ht="12">
      <c r="A17" s="10" t="str">
        <f aca="true" t="shared" si="2" ref="A17:G17">A$1</f>
        <v>RPO</v>
      </c>
      <c r="B17" s="11" t="str">
        <f t="shared" si="2"/>
        <v>ARRA SOURCE</v>
      </c>
      <c r="C17" s="11" t="str">
        <f t="shared" si="2"/>
        <v>PROJ</v>
      </c>
      <c r="D17" s="12" t="str">
        <f t="shared" si="2"/>
        <v>TOWN</v>
      </c>
      <c r="E17" s="23" t="str">
        <f t="shared" si="2"/>
        <v>DESCRIPTION</v>
      </c>
      <c r="F17" s="11" t="str">
        <f t="shared" si="2"/>
        <v>PRIORITY</v>
      </c>
      <c r="G17" s="11" t="str">
        <f t="shared" si="2"/>
        <v>SCH ADV</v>
      </c>
    </row>
    <row r="18" spans="1:7" ht="24">
      <c r="A18" s="46">
        <v>4</v>
      </c>
      <c r="B18" s="47" t="s">
        <v>8</v>
      </c>
      <c r="C18" s="48" t="s">
        <v>248</v>
      </c>
      <c r="D18" s="49" t="s">
        <v>96</v>
      </c>
      <c r="E18" s="50" t="s">
        <v>210</v>
      </c>
      <c r="F18" s="48">
        <v>1</v>
      </c>
      <c r="G18" s="51">
        <v>40191</v>
      </c>
    </row>
    <row r="19" spans="1:7" ht="24">
      <c r="A19" s="46">
        <v>4</v>
      </c>
      <c r="B19" s="47" t="s">
        <v>8</v>
      </c>
      <c r="C19" s="48" t="s">
        <v>249</v>
      </c>
      <c r="D19" s="49" t="s">
        <v>120</v>
      </c>
      <c r="E19" s="50" t="s">
        <v>211</v>
      </c>
      <c r="F19" s="48">
        <v>1</v>
      </c>
      <c r="G19" s="51">
        <v>40191</v>
      </c>
    </row>
    <row r="20" spans="1:7" ht="24">
      <c r="A20" s="46">
        <v>4</v>
      </c>
      <c r="B20" s="47" t="s">
        <v>8</v>
      </c>
      <c r="C20" s="48" t="s">
        <v>299</v>
      </c>
      <c r="D20" s="49" t="s">
        <v>266</v>
      </c>
      <c r="E20" s="50" t="s">
        <v>267</v>
      </c>
      <c r="F20" s="48">
        <v>1</v>
      </c>
      <c r="G20" s="51">
        <v>40219</v>
      </c>
    </row>
    <row r="21" spans="1:7" ht="12">
      <c r="A21" s="46">
        <v>4</v>
      </c>
      <c r="B21" s="47" t="s">
        <v>8</v>
      </c>
      <c r="C21" s="48" t="s">
        <v>254</v>
      </c>
      <c r="D21" s="49" t="s">
        <v>97</v>
      </c>
      <c r="E21" s="50" t="s">
        <v>145</v>
      </c>
      <c r="F21" s="48">
        <v>1</v>
      </c>
      <c r="G21" s="51">
        <v>40219</v>
      </c>
    </row>
    <row r="22" spans="1:7" ht="24">
      <c r="A22" s="46">
        <v>4</v>
      </c>
      <c r="B22" s="47" t="s">
        <v>8</v>
      </c>
      <c r="C22" s="48" t="s">
        <v>252</v>
      </c>
      <c r="D22" s="49" t="s">
        <v>99</v>
      </c>
      <c r="E22" s="50" t="s">
        <v>212</v>
      </c>
      <c r="F22" s="48">
        <v>1</v>
      </c>
      <c r="G22" s="51">
        <v>40191</v>
      </c>
    </row>
    <row r="23" spans="1:7" ht="24">
      <c r="A23" s="46">
        <v>4</v>
      </c>
      <c r="B23" s="47" t="s">
        <v>8</v>
      </c>
      <c r="C23" s="48" t="s">
        <v>253</v>
      </c>
      <c r="D23" s="49" t="s">
        <v>98</v>
      </c>
      <c r="E23" s="50" t="s">
        <v>213</v>
      </c>
      <c r="F23" s="48">
        <v>1</v>
      </c>
      <c r="G23" s="51">
        <v>40219</v>
      </c>
    </row>
    <row r="24" spans="1:7" s="41" customFormat="1" ht="12">
      <c r="A24" s="39" t="str">
        <f>'ARRA 2009 RPO Summary'!A20</f>
        <v>Windham Council of Governments</v>
      </c>
      <c r="B24" s="40"/>
      <c r="C24" s="63"/>
      <c r="E24" s="42">
        <f>'ARRA 2009 RPO Summary'!$I$20+'ARRA 2009 RPO Summary'!$J$20</f>
        <v>1533616</v>
      </c>
      <c r="F24" s="45" t="s">
        <v>124</v>
      </c>
      <c r="G24" s="130"/>
    </row>
    <row r="25" spans="1:7" s="15" customFormat="1" ht="35.25" customHeight="1">
      <c r="A25" s="10" t="str">
        <f aca="true" t="shared" si="3" ref="A25:G25">A$1</f>
        <v>RPO</v>
      </c>
      <c r="B25" s="11" t="str">
        <f t="shared" si="3"/>
        <v>ARRA SOURCE</v>
      </c>
      <c r="C25" s="11" t="str">
        <f t="shared" si="3"/>
        <v>PROJ</v>
      </c>
      <c r="D25" s="12" t="str">
        <f t="shared" si="3"/>
        <v>TOWN</v>
      </c>
      <c r="E25" s="23" t="str">
        <f t="shared" si="3"/>
        <v>DESCRIPTION</v>
      </c>
      <c r="F25" s="11" t="str">
        <f t="shared" si="3"/>
        <v>PRIORITY</v>
      </c>
      <c r="G25" s="11" t="str">
        <f t="shared" si="3"/>
        <v>SCH ADV</v>
      </c>
    </row>
    <row r="26" spans="1:7" ht="24">
      <c r="A26" s="46">
        <v>14</v>
      </c>
      <c r="B26" s="47" t="s">
        <v>283</v>
      </c>
      <c r="C26" s="48" t="s">
        <v>202</v>
      </c>
      <c r="D26" s="49" t="s">
        <v>100</v>
      </c>
      <c r="E26" s="50" t="s">
        <v>131</v>
      </c>
      <c r="F26" s="48">
        <v>1</v>
      </c>
      <c r="G26" s="51">
        <v>40212</v>
      </c>
    </row>
    <row r="27" spans="1:7" ht="36">
      <c r="A27" s="46">
        <v>14</v>
      </c>
      <c r="B27" s="47" t="s">
        <v>283</v>
      </c>
      <c r="C27" s="48" t="s">
        <v>250</v>
      </c>
      <c r="D27" s="49" t="s">
        <v>101</v>
      </c>
      <c r="E27" s="50" t="s">
        <v>209</v>
      </c>
      <c r="F27" s="48">
        <v>2</v>
      </c>
      <c r="G27" s="51">
        <v>40191</v>
      </c>
    </row>
    <row r="28" spans="1:7" ht="24">
      <c r="A28" s="46">
        <v>14</v>
      </c>
      <c r="B28" s="47" t="s">
        <v>283</v>
      </c>
      <c r="C28" s="48" t="s">
        <v>256</v>
      </c>
      <c r="D28" s="49" t="s">
        <v>102</v>
      </c>
      <c r="E28" s="50" t="s">
        <v>255</v>
      </c>
      <c r="F28" s="48">
        <v>3</v>
      </c>
      <c r="G28" s="51">
        <v>40219</v>
      </c>
    </row>
    <row r="29" spans="1:7" s="41" customFormat="1" ht="12">
      <c r="A29" s="39" t="str">
        <f>'ARRA 2009 RPO Summary'!A20</f>
        <v>Windham Council of Governments</v>
      </c>
      <c r="B29" s="40"/>
      <c r="C29" s="63"/>
      <c r="E29" s="53">
        <f>'ARRA 2009 RPO Summary'!$K$20</f>
        <v>1100000</v>
      </c>
      <c r="F29" s="45" t="s">
        <v>124</v>
      </c>
      <c r="G29" s="130"/>
    </row>
    <row r="30" spans="1:7" s="15" customFormat="1" ht="12">
      <c r="A30" s="10" t="str">
        <f aca="true" t="shared" si="4" ref="A30:G30">A$1</f>
        <v>RPO</v>
      </c>
      <c r="B30" s="11" t="str">
        <f t="shared" si="4"/>
        <v>ARRA SOURCE</v>
      </c>
      <c r="C30" s="11" t="str">
        <f t="shared" si="4"/>
        <v>PROJ</v>
      </c>
      <c r="D30" s="12" t="str">
        <f t="shared" si="4"/>
        <v>TOWN</v>
      </c>
      <c r="E30" s="23" t="str">
        <f t="shared" si="4"/>
        <v>DESCRIPTION</v>
      </c>
      <c r="F30" s="11" t="str">
        <f t="shared" si="4"/>
        <v>PRIORITY</v>
      </c>
      <c r="G30" s="11" t="str">
        <f t="shared" si="4"/>
        <v>SCH ADV</v>
      </c>
    </row>
    <row r="31" spans="1:7" ht="12">
      <c r="A31" s="46">
        <v>14</v>
      </c>
      <c r="B31" s="47" t="s">
        <v>8</v>
      </c>
      <c r="C31" s="48" t="s">
        <v>315</v>
      </c>
      <c r="D31" s="49" t="s">
        <v>121</v>
      </c>
      <c r="E31" s="50" t="s">
        <v>141</v>
      </c>
      <c r="F31" s="48">
        <v>1</v>
      </c>
      <c r="G31" s="51">
        <v>40219</v>
      </c>
    </row>
    <row r="32" spans="1:7" s="61" customFormat="1" ht="12">
      <c r="A32" s="46">
        <v>14</v>
      </c>
      <c r="B32" s="47" t="s">
        <v>8</v>
      </c>
      <c r="C32" s="48"/>
      <c r="D32" s="49" t="s">
        <v>304</v>
      </c>
      <c r="E32" s="50"/>
      <c r="F32" s="48"/>
      <c r="G32" s="51"/>
    </row>
    <row r="33" spans="1:7" s="41" customFormat="1" ht="12">
      <c r="A33" s="39" t="str">
        <f>'ARRA 2009 RPO Summary'!A21</f>
        <v>Northeastern CT Council of Governments</v>
      </c>
      <c r="B33" s="40"/>
      <c r="C33" s="63"/>
      <c r="E33" s="42">
        <f>'ARRA 2009 RPO Summary'!$I$21+'ARRA 2009 RPO Summary'!$J$21</f>
        <v>1210236</v>
      </c>
      <c r="F33" s="45" t="s">
        <v>124</v>
      </c>
      <c r="G33" s="130"/>
    </row>
    <row r="34" spans="1:7" s="15" customFormat="1" ht="12">
      <c r="A34" s="10" t="str">
        <f aca="true" t="shared" si="5" ref="A34:G34">A$1</f>
        <v>RPO</v>
      </c>
      <c r="B34" s="11" t="str">
        <f t="shared" si="5"/>
        <v>ARRA SOURCE</v>
      </c>
      <c r="C34" s="11" t="str">
        <f t="shared" si="5"/>
        <v>PROJ</v>
      </c>
      <c r="D34" s="12" t="str">
        <f t="shared" si="5"/>
        <v>TOWN</v>
      </c>
      <c r="E34" s="23" t="str">
        <f t="shared" si="5"/>
        <v>DESCRIPTION</v>
      </c>
      <c r="F34" s="11" t="str">
        <f t="shared" si="5"/>
        <v>PRIORITY</v>
      </c>
      <c r="G34" s="11" t="str">
        <f t="shared" si="5"/>
        <v>SCH ADV</v>
      </c>
    </row>
    <row r="35" spans="1:7" ht="12">
      <c r="A35" s="46">
        <v>15</v>
      </c>
      <c r="B35" s="47" t="s">
        <v>283</v>
      </c>
      <c r="C35" s="48" t="s">
        <v>316</v>
      </c>
      <c r="D35" s="49" t="s">
        <v>103</v>
      </c>
      <c r="E35" s="50" t="s">
        <v>130</v>
      </c>
      <c r="F35" s="48">
        <v>1</v>
      </c>
      <c r="G35" s="51">
        <v>40219</v>
      </c>
    </row>
    <row r="36" spans="1:7" ht="12">
      <c r="A36" s="46">
        <v>15</v>
      </c>
      <c r="B36" s="47" t="s">
        <v>284</v>
      </c>
      <c r="C36" s="48" t="s">
        <v>251</v>
      </c>
      <c r="D36" s="49" t="s">
        <v>104</v>
      </c>
      <c r="E36" s="50" t="s">
        <v>168</v>
      </c>
      <c r="F36" s="48">
        <v>1</v>
      </c>
      <c r="G36" s="51">
        <v>40177</v>
      </c>
    </row>
    <row r="37" spans="1:7" s="41" customFormat="1" ht="12">
      <c r="A37" s="39" t="str">
        <f>'ARRA 2009 RPO Summary'!A21</f>
        <v>Northeastern CT Council of Governments</v>
      </c>
      <c r="B37" s="40"/>
      <c r="C37" s="63"/>
      <c r="E37" s="53">
        <f>'ARRA 2009 RPO Summary'!$K$21</f>
        <v>1100000</v>
      </c>
      <c r="F37" s="45" t="s">
        <v>124</v>
      </c>
      <c r="G37" s="130"/>
    </row>
    <row r="38" spans="1:7" s="15" customFormat="1" ht="12">
      <c r="A38" s="10" t="str">
        <f aca="true" t="shared" si="6" ref="A38:G38">A$1</f>
        <v>RPO</v>
      </c>
      <c r="B38" s="11" t="str">
        <f t="shared" si="6"/>
        <v>ARRA SOURCE</v>
      </c>
      <c r="C38" s="11" t="str">
        <f t="shared" si="6"/>
        <v>PROJ</v>
      </c>
      <c r="D38" s="12" t="str">
        <f t="shared" si="6"/>
        <v>TOWN</v>
      </c>
      <c r="E38" s="23" t="str">
        <f t="shared" si="6"/>
        <v>DESCRIPTION</v>
      </c>
      <c r="F38" s="11" t="str">
        <f t="shared" si="6"/>
        <v>PRIORITY</v>
      </c>
      <c r="G38" s="11" t="str">
        <f t="shared" si="6"/>
        <v>SCH ADV</v>
      </c>
    </row>
    <row r="39" spans="1:7" ht="24">
      <c r="A39" s="46">
        <v>15</v>
      </c>
      <c r="B39" s="47" t="s">
        <v>8</v>
      </c>
      <c r="C39" s="48" t="s">
        <v>309</v>
      </c>
      <c r="D39" s="129" t="s">
        <v>169</v>
      </c>
      <c r="E39" s="50" t="s">
        <v>269</v>
      </c>
      <c r="F39" s="48"/>
      <c r="G39" s="51">
        <v>40219</v>
      </c>
    </row>
    <row r="41" spans="1:7" s="61" customFormat="1" ht="12">
      <c r="A41" s="124"/>
      <c r="B41" s="125"/>
      <c r="C41" s="125"/>
      <c r="D41" s="126"/>
      <c r="E41" s="127"/>
      <c r="F41" s="128"/>
      <c r="G41" s="134"/>
    </row>
    <row r="42" ht="12">
      <c r="A42" s="69"/>
    </row>
    <row r="43" ht="12">
      <c r="A43" s="69"/>
    </row>
  </sheetData>
  <sheetProtection formatRows="0" insertColumns="0" insertRows="0" autoFilter="0" pivotTables="0"/>
  <autoFilter ref="A1:G1"/>
  <mergeCells count="1">
    <mergeCell ref="A3:G3"/>
  </mergeCells>
  <printOptions horizontalCentered="1"/>
  <pageMargins left="0" right="0" top="0.5" bottom="0.75" header="0.5" footer="0.5"/>
  <pageSetup horizontalDpi="600" verticalDpi="600" orientation="landscape" paperSize="5" scale="46" r:id="rId1"/>
  <headerFooter alignWithMargins="0">
    <oddFooter>&amp;LPrinted &amp;D &amp;T&amp;C&amp;Z&amp;F&amp;A&amp;RPage &amp;P of &amp;N</oddFooter>
  </headerFooter>
</worksheet>
</file>

<file path=xl/worksheets/sheet4.xml><?xml version="1.0" encoding="utf-8"?>
<worksheet xmlns="http://schemas.openxmlformats.org/spreadsheetml/2006/main" xmlns:r="http://schemas.openxmlformats.org/officeDocument/2006/relationships">
  <sheetPr>
    <tabColor indexed="49"/>
  </sheetPr>
  <dimension ref="A1:G66"/>
  <sheetViews>
    <sheetView tabSelected="1" zoomScaleSheetLayoutView="100" zoomScalePageLayoutView="0" workbookViewId="0" topLeftCell="A1">
      <pane xSplit="5" ySplit="6" topLeftCell="G7" activePane="bottomRight" state="frozen"/>
      <selection pane="topLeft" activeCell="E80" sqref="E80"/>
      <selection pane="topRight" activeCell="E80" sqref="E80"/>
      <selection pane="bottomLeft" activeCell="E80" sqref="E80"/>
      <selection pane="bottomRight" activeCell="A4" sqref="A4"/>
    </sheetView>
  </sheetViews>
  <sheetFormatPr defaultColWidth="9.140625" defaultRowHeight="12.75"/>
  <cols>
    <col min="1" max="1" width="4.8515625" style="56" customWidth="1"/>
    <col min="2" max="2" width="12.7109375" style="57" hidden="1" customWidth="1"/>
    <col min="3" max="3" width="10.421875" style="57" bestFit="1" customWidth="1"/>
    <col min="4" max="4" width="15.28125" style="140" customWidth="1"/>
    <col min="5" max="5" width="50.7109375" style="60" customWidth="1"/>
    <col min="6" max="6" width="13.140625" style="58" hidden="1" customWidth="1"/>
    <col min="7" max="7" width="13.421875" style="131" customWidth="1"/>
    <col min="8" max="16384" width="9.140625" style="61" customWidth="1"/>
  </cols>
  <sheetData>
    <row r="1" spans="1:7" s="15" customFormat="1" ht="12">
      <c r="A1" s="16" t="s">
        <v>23</v>
      </c>
      <c r="B1" s="17" t="s">
        <v>24</v>
      </c>
      <c r="C1" s="17" t="s">
        <v>25</v>
      </c>
      <c r="D1" s="135" t="s">
        <v>26</v>
      </c>
      <c r="E1" s="21" t="s">
        <v>27</v>
      </c>
      <c r="F1" s="17" t="s">
        <v>28</v>
      </c>
      <c r="G1" s="17" t="s">
        <v>29</v>
      </c>
    </row>
    <row r="2" spans="1:7" s="4" customFormat="1" ht="20.25">
      <c r="A2" s="1" t="s">
        <v>333</v>
      </c>
      <c r="B2" s="2"/>
      <c r="C2" s="2"/>
      <c r="D2" s="136"/>
      <c r="E2" s="22"/>
      <c r="F2" s="2"/>
      <c r="G2" s="2"/>
    </row>
    <row r="3" spans="1:7" s="8" customFormat="1" ht="18">
      <c r="A3" s="160" t="s">
        <v>332</v>
      </c>
      <c r="B3" s="161"/>
      <c r="C3" s="161"/>
      <c r="D3" s="161"/>
      <c r="E3" s="161"/>
      <c r="F3" s="161"/>
      <c r="G3" s="161"/>
    </row>
    <row r="4" spans="1:7" s="8" customFormat="1" ht="18">
      <c r="A4" s="20"/>
      <c r="B4" s="5"/>
      <c r="C4" s="7"/>
      <c r="D4" s="137"/>
      <c r="E4" s="27"/>
      <c r="F4" s="6"/>
      <c r="G4" s="133"/>
    </row>
    <row r="5" spans="1:7" s="41" customFormat="1" ht="12">
      <c r="A5" s="39" t="str">
        <f>'ARRA 2009 RPO Summary'!A7</f>
        <v>Southwestern Regional Planning Agency</v>
      </c>
      <c r="B5" s="40"/>
      <c r="C5" s="40"/>
      <c r="D5" s="138"/>
      <c r="E5" s="42"/>
      <c r="F5" s="43" t="s">
        <v>124</v>
      </c>
      <c r="G5" s="130"/>
    </row>
    <row r="6" spans="1:7" s="15" customFormat="1" ht="24">
      <c r="A6" s="10" t="str">
        <f aca="true" t="shared" si="0" ref="A6:F6">A$1</f>
        <v>RPO</v>
      </c>
      <c r="B6" s="13" t="str">
        <f t="shared" si="0"/>
        <v>ARRA SOURCE</v>
      </c>
      <c r="C6" s="11" t="str">
        <f t="shared" si="0"/>
        <v>PROJ</v>
      </c>
      <c r="D6" s="139" t="str">
        <f t="shared" si="0"/>
        <v>TOWN</v>
      </c>
      <c r="E6" s="23" t="str">
        <f t="shared" si="0"/>
        <v>DESCRIPTION</v>
      </c>
      <c r="F6" s="11" t="str">
        <f t="shared" si="0"/>
        <v>PRIORITY</v>
      </c>
      <c r="G6" s="14" t="str">
        <f>G$1</f>
        <v>SCH ADV</v>
      </c>
    </row>
    <row r="7" spans="1:7" s="52" customFormat="1" ht="24">
      <c r="A7" s="46">
        <v>1</v>
      </c>
      <c r="B7" s="47" t="s">
        <v>105</v>
      </c>
      <c r="C7" s="48" t="s">
        <v>143</v>
      </c>
      <c r="D7" s="49" t="s">
        <v>144</v>
      </c>
      <c r="E7" s="50" t="s">
        <v>300</v>
      </c>
      <c r="F7" s="48">
        <v>1</v>
      </c>
      <c r="G7" s="51">
        <v>40093</v>
      </c>
    </row>
    <row r="8" spans="1:7" s="41" customFormat="1" ht="12">
      <c r="A8" s="39" t="str">
        <f>'ARRA 2009 RPO Summary'!A8</f>
        <v>Housatonic Valley Council of Elected Officials</v>
      </c>
      <c r="B8" s="40"/>
      <c r="C8" s="63"/>
      <c r="D8" s="138"/>
      <c r="E8" s="53"/>
      <c r="F8" s="43" t="s">
        <v>124</v>
      </c>
      <c r="G8" s="130"/>
    </row>
    <row r="9" spans="1:7" s="15" customFormat="1" ht="12">
      <c r="A9" s="10" t="str">
        <f aca="true" t="shared" si="1" ref="A9:G9">A$1</f>
        <v>RPO</v>
      </c>
      <c r="B9" s="11" t="str">
        <f t="shared" si="1"/>
        <v>ARRA SOURCE</v>
      </c>
      <c r="C9" s="11" t="str">
        <f t="shared" si="1"/>
        <v>PROJ</v>
      </c>
      <c r="D9" s="139" t="str">
        <f t="shared" si="1"/>
        <v>TOWN</v>
      </c>
      <c r="E9" s="23" t="str">
        <f t="shared" si="1"/>
        <v>DESCRIPTION</v>
      </c>
      <c r="F9" s="11" t="str">
        <f t="shared" si="1"/>
        <v>PRIORITY</v>
      </c>
      <c r="G9" s="11" t="str">
        <f t="shared" si="1"/>
        <v>SCH ADV</v>
      </c>
    </row>
    <row r="10" spans="1:7" s="52" customFormat="1" ht="24">
      <c r="A10" s="46">
        <v>2</v>
      </c>
      <c r="B10" s="47" t="s">
        <v>105</v>
      </c>
      <c r="C10" s="48" t="s">
        <v>164</v>
      </c>
      <c r="D10" s="49" t="s">
        <v>41</v>
      </c>
      <c r="E10" s="50" t="s">
        <v>264</v>
      </c>
      <c r="F10" s="48">
        <v>1</v>
      </c>
      <c r="G10" s="51">
        <v>40184</v>
      </c>
    </row>
    <row r="11" spans="1:7" s="41" customFormat="1" ht="12">
      <c r="A11" s="39" t="str">
        <f>'ARRA 2009 RPO Summary'!A10</f>
        <v>Litchfield Hills Council of Elected Officials</v>
      </c>
      <c r="B11" s="40"/>
      <c r="C11" s="63"/>
      <c r="D11" s="138"/>
      <c r="E11" s="53"/>
      <c r="F11" s="43" t="s">
        <v>124</v>
      </c>
      <c r="G11" s="130"/>
    </row>
    <row r="12" spans="1:7" s="15" customFormat="1" ht="12">
      <c r="A12" s="10" t="str">
        <f aca="true" t="shared" si="2" ref="A12:G12">A$1</f>
        <v>RPO</v>
      </c>
      <c r="B12" s="11" t="str">
        <f t="shared" si="2"/>
        <v>ARRA SOURCE</v>
      </c>
      <c r="C12" s="11" t="str">
        <f t="shared" si="2"/>
        <v>PROJ</v>
      </c>
      <c r="D12" s="139" t="str">
        <f t="shared" si="2"/>
        <v>TOWN</v>
      </c>
      <c r="E12" s="23" t="str">
        <f t="shared" si="2"/>
        <v>DESCRIPTION</v>
      </c>
      <c r="F12" s="11" t="str">
        <f t="shared" si="2"/>
        <v>PRIORITY</v>
      </c>
      <c r="G12" s="11" t="str">
        <f t="shared" si="2"/>
        <v>SCH ADV</v>
      </c>
    </row>
    <row r="13" spans="1:7" s="52" customFormat="1" ht="12">
      <c r="A13" s="46">
        <v>4</v>
      </c>
      <c r="B13" s="47" t="s">
        <v>105</v>
      </c>
      <c r="C13" s="48" t="s">
        <v>175</v>
      </c>
      <c r="D13" s="49" t="s">
        <v>94</v>
      </c>
      <c r="E13" s="50" t="s">
        <v>147</v>
      </c>
      <c r="F13" s="48">
        <v>1</v>
      </c>
      <c r="G13" s="51" t="s">
        <v>196</v>
      </c>
    </row>
    <row r="14" spans="1:7" s="41" customFormat="1" ht="12">
      <c r="A14" s="39" t="str">
        <f>'ARRA 2009 RPO Summary'!A13</f>
        <v>Greater Bridgeport Regional Planning Agency</v>
      </c>
      <c r="B14" s="40"/>
      <c r="C14" s="63"/>
      <c r="D14" s="138"/>
      <c r="E14" s="53"/>
      <c r="F14" s="43" t="s">
        <v>124</v>
      </c>
      <c r="G14" s="130"/>
    </row>
    <row r="15" spans="1:7" s="15" customFormat="1" ht="12">
      <c r="A15" s="10" t="str">
        <f aca="true" t="shared" si="3" ref="A15:G15">A$1</f>
        <v>RPO</v>
      </c>
      <c r="B15" s="11" t="str">
        <f t="shared" si="3"/>
        <v>ARRA SOURCE</v>
      </c>
      <c r="C15" s="11" t="str">
        <f t="shared" si="3"/>
        <v>PROJ</v>
      </c>
      <c r="D15" s="139" t="str">
        <f t="shared" si="3"/>
        <v>TOWN</v>
      </c>
      <c r="E15" s="23" t="str">
        <f t="shared" si="3"/>
        <v>DESCRIPTION</v>
      </c>
      <c r="F15" s="11" t="str">
        <f t="shared" si="3"/>
        <v>PRIORITY</v>
      </c>
      <c r="G15" s="11" t="str">
        <f t="shared" si="3"/>
        <v>SCH ADV</v>
      </c>
    </row>
    <row r="16" spans="1:7" s="52" customFormat="1" ht="12">
      <c r="A16" s="46">
        <v>7</v>
      </c>
      <c r="B16" s="47" t="s">
        <v>105</v>
      </c>
      <c r="C16" s="48" t="s">
        <v>149</v>
      </c>
      <c r="D16" s="49" t="s">
        <v>63</v>
      </c>
      <c r="E16" s="50" t="s">
        <v>133</v>
      </c>
      <c r="F16" s="48">
        <v>1</v>
      </c>
      <c r="G16" s="51">
        <v>40205</v>
      </c>
    </row>
    <row r="17" spans="1:7" s="41" customFormat="1" ht="12">
      <c r="A17" s="39" t="str">
        <f>'ARRA 2009 RPO Summary'!A15</f>
        <v>Central CT Regional Planning Agency</v>
      </c>
      <c r="B17" s="40"/>
      <c r="C17" s="63"/>
      <c r="D17" s="138"/>
      <c r="E17" s="53"/>
      <c r="F17" s="43" t="s">
        <v>124</v>
      </c>
      <c r="G17" s="130"/>
    </row>
    <row r="18" spans="1:7" s="15" customFormat="1" ht="12">
      <c r="A18" s="10" t="str">
        <f aca="true" t="shared" si="4" ref="A18:G18">A$1</f>
        <v>RPO</v>
      </c>
      <c r="B18" s="11" t="str">
        <f t="shared" si="4"/>
        <v>ARRA SOURCE</v>
      </c>
      <c r="C18" s="11" t="str">
        <f t="shared" si="4"/>
        <v>PROJ</v>
      </c>
      <c r="D18" s="139" t="str">
        <f t="shared" si="4"/>
        <v>TOWN</v>
      </c>
      <c r="E18" s="23" t="str">
        <f t="shared" si="4"/>
        <v>DESCRIPTION</v>
      </c>
      <c r="F18" s="11" t="str">
        <f t="shared" si="4"/>
        <v>PRIORITY</v>
      </c>
      <c r="G18" s="11" t="str">
        <f t="shared" si="4"/>
        <v>SCH ADV</v>
      </c>
    </row>
    <row r="19" spans="1:7" s="52" customFormat="1" ht="12">
      <c r="A19" s="46">
        <v>9</v>
      </c>
      <c r="B19" s="47" t="s">
        <v>105</v>
      </c>
      <c r="C19" s="48" t="s">
        <v>119</v>
      </c>
      <c r="D19" s="49" t="s">
        <v>66</v>
      </c>
      <c r="E19" s="50" t="s">
        <v>108</v>
      </c>
      <c r="F19" s="48">
        <v>1</v>
      </c>
      <c r="G19" s="51">
        <v>40233</v>
      </c>
    </row>
    <row r="20" spans="1:7" s="52" customFormat="1" ht="12">
      <c r="A20" s="46">
        <v>9</v>
      </c>
      <c r="B20" s="47" t="s">
        <v>105</v>
      </c>
      <c r="C20" s="48" t="s">
        <v>183</v>
      </c>
      <c r="D20" s="49" t="s">
        <v>70</v>
      </c>
      <c r="E20" s="50" t="s">
        <v>71</v>
      </c>
      <c r="F20" s="48">
        <v>1</v>
      </c>
      <c r="G20" s="51">
        <v>40184</v>
      </c>
    </row>
    <row r="21" spans="1:7" s="41" customFormat="1" ht="12">
      <c r="A21" s="39" t="str">
        <f>'ARRA 2009 RPO Summary'!A16</f>
        <v>Capitol Region Council of Governments</v>
      </c>
      <c r="B21" s="40"/>
      <c r="C21" s="63"/>
      <c r="D21" s="138"/>
      <c r="E21" s="53"/>
      <c r="F21" s="43" t="s">
        <v>124</v>
      </c>
      <c r="G21" s="130"/>
    </row>
    <row r="22" spans="1:7" s="15" customFormat="1" ht="12">
      <c r="A22" s="10" t="str">
        <f aca="true" t="shared" si="5" ref="A22:G22">A$1</f>
        <v>RPO</v>
      </c>
      <c r="B22" s="11" t="str">
        <f t="shared" si="5"/>
        <v>ARRA SOURCE</v>
      </c>
      <c r="C22" s="11" t="str">
        <f t="shared" si="5"/>
        <v>PROJ</v>
      </c>
      <c r="D22" s="139" t="str">
        <f t="shared" si="5"/>
        <v>TOWN</v>
      </c>
      <c r="E22" s="23" t="str">
        <f t="shared" si="5"/>
        <v>DESCRIPTION</v>
      </c>
      <c r="F22" s="11" t="str">
        <f t="shared" si="5"/>
        <v>PRIORITY</v>
      </c>
      <c r="G22" s="11" t="str">
        <f t="shared" si="5"/>
        <v>SCH ADV</v>
      </c>
    </row>
    <row r="23" spans="1:7" s="52" customFormat="1" ht="24">
      <c r="A23" s="46">
        <v>10</v>
      </c>
      <c r="B23" s="47" t="s">
        <v>105</v>
      </c>
      <c r="C23" s="48"/>
      <c r="D23" s="129" t="s">
        <v>219</v>
      </c>
      <c r="E23" s="50" t="s">
        <v>198</v>
      </c>
      <c r="F23" s="48">
        <v>1</v>
      </c>
      <c r="G23" s="51">
        <v>40191</v>
      </c>
    </row>
    <row r="24" spans="1:7" s="41" customFormat="1" ht="12">
      <c r="A24" s="39" t="str">
        <f>'ARRA 2009 RPO Summary'!A19</f>
        <v>Southeastern CT Council of Governments</v>
      </c>
      <c r="B24" s="40"/>
      <c r="C24" s="63"/>
      <c r="D24" s="138"/>
      <c r="E24" s="53"/>
      <c r="F24" s="43" t="s">
        <v>124</v>
      </c>
      <c r="G24" s="130"/>
    </row>
    <row r="25" spans="1:7" s="15" customFormat="1" ht="12">
      <c r="A25" s="10" t="str">
        <f aca="true" t="shared" si="6" ref="A25:G25">A$1</f>
        <v>RPO</v>
      </c>
      <c r="B25" s="11" t="str">
        <f t="shared" si="6"/>
        <v>ARRA SOURCE</v>
      </c>
      <c r="C25" s="11" t="str">
        <f t="shared" si="6"/>
        <v>PROJ</v>
      </c>
      <c r="D25" s="139" t="str">
        <f t="shared" si="6"/>
        <v>TOWN</v>
      </c>
      <c r="E25" s="23" t="str">
        <f t="shared" si="6"/>
        <v>DESCRIPTION</v>
      </c>
      <c r="F25" s="11" t="str">
        <f t="shared" si="6"/>
        <v>PRIORITY</v>
      </c>
      <c r="G25" s="11" t="str">
        <f t="shared" si="6"/>
        <v>SCH ADV</v>
      </c>
    </row>
    <row r="26" spans="1:7" s="52" customFormat="1" ht="12">
      <c r="A26" s="46">
        <v>13</v>
      </c>
      <c r="B26" s="47" t="s">
        <v>105</v>
      </c>
      <c r="C26" s="48" t="s">
        <v>163</v>
      </c>
      <c r="D26" s="49" t="s">
        <v>259</v>
      </c>
      <c r="E26" s="50" t="s">
        <v>146</v>
      </c>
      <c r="F26" s="48">
        <v>1</v>
      </c>
      <c r="G26" s="51">
        <v>39995</v>
      </c>
    </row>
    <row r="27" spans="1:7" s="41" customFormat="1" ht="12">
      <c r="A27" s="39" t="str">
        <f>'ARRA 2009 RPO Summary'!A20</f>
        <v>Windham Council of Governments</v>
      </c>
      <c r="B27" s="40"/>
      <c r="C27" s="63"/>
      <c r="D27" s="138"/>
      <c r="E27" s="53"/>
      <c r="F27" s="43" t="s">
        <v>124</v>
      </c>
      <c r="G27" s="130"/>
    </row>
    <row r="28" spans="1:7" s="15" customFormat="1" ht="12">
      <c r="A28" s="10" t="str">
        <f aca="true" t="shared" si="7" ref="A28:G28">A$1</f>
        <v>RPO</v>
      </c>
      <c r="B28" s="11" t="str">
        <f t="shared" si="7"/>
        <v>ARRA SOURCE</v>
      </c>
      <c r="C28" s="11" t="str">
        <f t="shared" si="7"/>
        <v>PROJ</v>
      </c>
      <c r="D28" s="139" t="str">
        <f t="shared" si="7"/>
        <v>TOWN</v>
      </c>
      <c r="E28" s="23" t="str">
        <f t="shared" si="7"/>
        <v>DESCRIPTION</v>
      </c>
      <c r="F28" s="11" t="str">
        <f t="shared" si="7"/>
        <v>PRIORITY</v>
      </c>
      <c r="G28" s="11" t="str">
        <f t="shared" si="7"/>
        <v>SCH ADV</v>
      </c>
    </row>
    <row r="29" spans="1:7" s="52" customFormat="1" ht="12">
      <c r="A29" s="46">
        <v>14</v>
      </c>
      <c r="B29" s="47" t="s">
        <v>105</v>
      </c>
      <c r="C29" s="48" t="s">
        <v>140</v>
      </c>
      <c r="D29" s="49" t="s">
        <v>109</v>
      </c>
      <c r="E29" s="50" t="s">
        <v>148</v>
      </c>
      <c r="F29" s="48">
        <v>1</v>
      </c>
      <c r="G29" s="51">
        <v>40184</v>
      </c>
    </row>
    <row r="31" ht="12">
      <c r="A31" s="62"/>
    </row>
    <row r="32" ht="12">
      <c r="A32" s="62"/>
    </row>
    <row r="33" ht="12">
      <c r="A33" s="58"/>
    </row>
    <row r="34" ht="12">
      <c r="A34" s="58"/>
    </row>
    <row r="35" ht="12">
      <c r="A35" s="58"/>
    </row>
    <row r="36" ht="12">
      <c r="A36" s="58"/>
    </row>
    <row r="37" ht="12">
      <c r="A37" s="58"/>
    </row>
    <row r="38" ht="12">
      <c r="A38" s="58"/>
    </row>
    <row r="39" ht="12">
      <c r="A39" s="58"/>
    </row>
    <row r="40" ht="12">
      <c r="A40" s="58"/>
    </row>
    <row r="41" ht="12">
      <c r="A41" s="58"/>
    </row>
    <row r="42" ht="12">
      <c r="A42" s="58"/>
    </row>
    <row r="43" ht="12">
      <c r="A43" s="58"/>
    </row>
    <row r="44" ht="12">
      <c r="A44" s="58"/>
    </row>
    <row r="45" ht="12">
      <c r="A45" s="58"/>
    </row>
    <row r="46" ht="12">
      <c r="A46" s="58"/>
    </row>
    <row r="47" ht="12">
      <c r="A47" s="58"/>
    </row>
    <row r="48" ht="12">
      <c r="A48" s="58"/>
    </row>
    <row r="49" ht="12">
      <c r="A49" s="58"/>
    </row>
    <row r="50" ht="12">
      <c r="A50" s="58"/>
    </row>
    <row r="51" ht="12">
      <c r="A51" s="58"/>
    </row>
    <row r="52" ht="12">
      <c r="A52" s="58"/>
    </row>
    <row r="53" ht="12">
      <c r="A53" s="58"/>
    </row>
    <row r="54" ht="12">
      <c r="A54" s="58"/>
    </row>
    <row r="55" ht="12">
      <c r="A55" s="58"/>
    </row>
    <row r="56" ht="12">
      <c r="A56" s="58"/>
    </row>
    <row r="57" ht="12">
      <c r="A57" s="58"/>
    </row>
    <row r="58" ht="12">
      <c r="A58" s="58"/>
    </row>
    <row r="59" ht="12">
      <c r="A59" s="58"/>
    </row>
    <row r="60" ht="12">
      <c r="A60" s="58"/>
    </row>
    <row r="61" ht="12">
      <c r="A61" s="58"/>
    </row>
    <row r="62" ht="12">
      <c r="A62" s="58"/>
    </row>
    <row r="63" ht="12">
      <c r="A63" s="58"/>
    </row>
    <row r="64" spans="1:4" ht="12">
      <c r="A64" s="58"/>
      <c r="D64" s="56"/>
    </row>
    <row r="65" ht="12">
      <c r="A65" s="58"/>
    </row>
    <row r="66" ht="12">
      <c r="A66" s="58"/>
    </row>
  </sheetData>
  <sheetProtection insertRows="0" autoFilter="0" pivotTables="0"/>
  <autoFilter ref="A1:G3"/>
  <mergeCells count="1">
    <mergeCell ref="A3:G3"/>
  </mergeCells>
  <printOptions horizontalCentered="1"/>
  <pageMargins left="0" right="0" top="0.5" bottom="0.75" header="0.5" footer="0.5"/>
  <pageSetup horizontalDpi="600" verticalDpi="600" orientation="landscape" paperSize="5" scale="46" r:id="rId1"/>
  <headerFooter alignWithMargins="0">
    <oddFooter>&amp;LPrinted &amp;D &amp;T&amp;C&amp;Z&amp;F&amp;A&amp;RPage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IezziCA</dc:creator>
  <cp:keywords/>
  <dc:description/>
  <cp:lastModifiedBy>jankovichrt</cp:lastModifiedBy>
  <cp:lastPrinted>2009-10-27T12:27:43Z</cp:lastPrinted>
  <dcterms:created xsi:type="dcterms:W3CDTF">2009-04-07T17:22:50Z</dcterms:created>
  <dcterms:modified xsi:type="dcterms:W3CDTF">2009-11-05T22:23:37Z</dcterms:modified>
  <cp:category/>
  <cp:version/>
  <cp:contentType/>
  <cp:contentStatus/>
</cp:coreProperties>
</file>