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N:\REVUNIT\Cannabis\"/>
    </mc:Choice>
  </mc:AlternateContent>
  <xr:revisionPtr revIDLastSave="0" documentId="13_ncr:1_{AF8BB202-4A09-4765-9E3B-46A4BE4D26D4}" xr6:coauthVersionLast="46" xr6:coauthVersionMax="46" xr10:uidLastSave="{00000000-0000-0000-0000-000000000000}"/>
  <bookViews>
    <workbookView xWindow="30612" yWindow="-108" windowWidth="30936" windowHeight="16896" xr2:uid="{CC74E515-17E2-45F6-8B8B-CAD39BF05214}"/>
  </bookViews>
  <sheets>
    <sheet name="OPM Fiscal Note Summary" sheetId="5" r:id="rId1"/>
    <sheet name="Summary" sheetId="2" r:id="rId2"/>
    <sheet name="Calcs_NYS basis" sheetId="1" r:id="rId3"/>
    <sheet name="Simple Table" sheetId="4" r:id="rId4"/>
    <sheet name="Summary Table" sheetId="3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5" l="1"/>
  <c r="A12" i="5" s="1"/>
  <c r="A15" i="5" s="1"/>
  <c r="A18" i="5" s="1"/>
  <c r="A21" i="5" s="1"/>
  <c r="A24" i="5" s="1"/>
  <c r="A27" i="5" s="1"/>
  <c r="A30" i="5" s="1"/>
  <c r="A34" i="5" s="1"/>
  <c r="K40" i="2"/>
  <c r="K39" i="2"/>
  <c r="D30" i="5"/>
  <c r="E30" i="5"/>
  <c r="F30" i="5"/>
  <c r="G30" i="5"/>
  <c r="C30" i="5"/>
  <c r="D15" i="5"/>
  <c r="E15" i="5"/>
  <c r="F15" i="5"/>
  <c r="G15" i="5"/>
  <c r="D18" i="5"/>
  <c r="E18" i="5"/>
  <c r="F18" i="5"/>
  <c r="G18" i="5"/>
  <c r="D21" i="5"/>
  <c r="E21" i="5"/>
  <c r="F21" i="5"/>
  <c r="G21" i="5"/>
  <c r="D24" i="5"/>
  <c r="E24" i="5"/>
  <c r="F24" i="5"/>
  <c r="G24" i="5"/>
  <c r="D27" i="5"/>
  <c r="E27" i="5"/>
  <c r="F27" i="5"/>
  <c r="G27" i="5"/>
  <c r="D34" i="5"/>
  <c r="E34" i="5"/>
  <c r="F34" i="5"/>
  <c r="G34" i="5"/>
  <c r="C34" i="5"/>
  <c r="C27" i="5"/>
  <c r="C24" i="5"/>
  <c r="C21" i="5"/>
  <c r="C18" i="5"/>
  <c r="C15" i="5"/>
  <c r="D12" i="5"/>
  <c r="E12" i="5"/>
  <c r="F12" i="5"/>
  <c r="G12" i="5"/>
  <c r="C12" i="5"/>
  <c r="D11" i="5"/>
  <c r="E11" i="5"/>
  <c r="F11" i="5"/>
  <c r="G11" i="5"/>
  <c r="C11" i="5"/>
  <c r="D10" i="5"/>
  <c r="E10" i="5"/>
  <c r="F10" i="5"/>
  <c r="G10" i="5"/>
  <c r="C10" i="5"/>
  <c r="M39" i="2"/>
  <c r="H15" i="4"/>
  <c r="H20" i="4" s="1"/>
  <c r="I15" i="4"/>
  <c r="I20" i="4" s="1"/>
  <c r="G15" i="4"/>
  <c r="G20" i="4" s="1"/>
  <c r="H9" i="4"/>
  <c r="I9" i="4"/>
  <c r="H10" i="4"/>
  <c r="I10" i="4"/>
  <c r="G10" i="4"/>
  <c r="G9" i="4"/>
  <c r="F29" i="4"/>
  <c r="H25" i="4"/>
  <c r="I25" i="4"/>
  <c r="H26" i="4"/>
  <c r="I26" i="4"/>
  <c r="H27" i="4"/>
  <c r="I27" i="4"/>
  <c r="G26" i="4"/>
  <c r="G27" i="4"/>
  <c r="G25" i="4"/>
  <c r="I29" i="4" l="1"/>
  <c r="H29" i="4"/>
  <c r="G29" i="4"/>
  <c r="J18" i="3" l="1"/>
  <c r="H15" i="3"/>
  <c r="H16" i="3"/>
  <c r="H17" i="3"/>
  <c r="H14" i="3"/>
  <c r="I15" i="3"/>
  <c r="I16" i="3"/>
  <c r="I17" i="3"/>
  <c r="I14" i="3"/>
  <c r="B18" i="3"/>
  <c r="B34" i="3"/>
  <c r="B35" i="3" s="1"/>
  <c r="B36" i="3" s="1"/>
  <c r="B37" i="3" s="1"/>
  <c r="B38" i="3" s="1"/>
  <c r="B39" i="3" s="1"/>
  <c r="B40" i="3" s="1"/>
  <c r="B41" i="3" s="1"/>
  <c r="L18" i="3"/>
  <c r="E18" i="3"/>
  <c r="U17" i="3"/>
  <c r="N17" i="3"/>
  <c r="Y17" i="3" s="1"/>
  <c r="M17" i="3"/>
  <c r="D17" i="3"/>
  <c r="U16" i="3"/>
  <c r="N16" i="3"/>
  <c r="N18" i="3" s="1"/>
  <c r="M16" i="3"/>
  <c r="W16" i="3" s="1"/>
  <c r="D16" i="3"/>
  <c r="F16" i="3" s="1"/>
  <c r="U15" i="3"/>
  <c r="N15" i="3"/>
  <c r="Y15" i="3" s="1"/>
  <c r="M15" i="3"/>
  <c r="W15" i="3" s="1"/>
  <c r="F15" i="3"/>
  <c r="D15" i="3"/>
  <c r="Y14" i="3"/>
  <c r="W14" i="3"/>
  <c r="U14" i="3"/>
  <c r="F14" i="3"/>
  <c r="D14" i="3"/>
  <c r="B14" i="3"/>
  <c r="B15" i="3" s="1"/>
  <c r="B16" i="3" s="1"/>
  <c r="B17" i="3" s="1"/>
  <c r="Y13" i="3"/>
  <c r="W13" i="3"/>
  <c r="U13" i="3"/>
  <c r="H13" i="3"/>
  <c r="F13" i="3"/>
  <c r="Y12" i="3"/>
  <c r="W12" i="3"/>
  <c r="Y11" i="3"/>
  <c r="W11" i="3"/>
  <c r="Y10" i="3"/>
  <c r="W10" i="3"/>
  <c r="H18" i="3" l="1"/>
  <c r="W17" i="3"/>
  <c r="W18" i="3" s="1"/>
  <c r="E22" i="3" s="1"/>
  <c r="Y16" i="3"/>
  <c r="Y18" i="3" s="1"/>
  <c r="E23" i="3" s="1"/>
  <c r="D18" i="3"/>
  <c r="Q14" i="3"/>
  <c r="S18" i="3"/>
  <c r="Q17" i="3"/>
  <c r="Q15" i="3"/>
  <c r="I18" i="3"/>
  <c r="U18" i="3"/>
  <c r="E24" i="3" s="1"/>
  <c r="Q13" i="3"/>
  <c r="M18" i="3"/>
  <c r="F17" i="3"/>
  <c r="F18" i="3" s="1"/>
  <c r="AA17" i="3" l="1"/>
  <c r="AA14" i="3"/>
  <c r="AB14" i="3" s="1"/>
  <c r="AA15" i="3"/>
  <c r="AC15" i="3" s="1"/>
  <c r="AC17" i="3"/>
  <c r="AB17" i="3"/>
  <c r="AC14" i="3"/>
  <c r="O18" i="3"/>
  <c r="AA13" i="3"/>
  <c r="Q16" i="3"/>
  <c r="AB15" i="3" l="1"/>
  <c r="AA16" i="3"/>
  <c r="AA18" i="3" s="1"/>
  <c r="Q18" i="3"/>
  <c r="E21" i="3" s="1"/>
  <c r="E25" i="3" s="1"/>
  <c r="AC13" i="3"/>
  <c r="AB13" i="3"/>
  <c r="AB16" i="3" l="1"/>
  <c r="AC16" i="3"/>
  <c r="F25" i="3"/>
  <c r="F23" i="3"/>
  <c r="F24" i="3"/>
  <c r="F22" i="3"/>
  <c r="F21" i="3"/>
  <c r="K2" i="2" l="1"/>
  <c r="K9" i="2" s="1"/>
  <c r="C7" i="2"/>
  <c r="D7" i="2"/>
  <c r="E7" i="2"/>
  <c r="F7" i="2"/>
  <c r="G7" i="2"/>
  <c r="C8" i="2"/>
  <c r="K8" i="2" s="1"/>
  <c r="D8" i="2"/>
  <c r="E8" i="2"/>
  <c r="F8" i="2"/>
  <c r="N8" i="2" s="1"/>
  <c r="G8" i="2"/>
  <c r="O8" i="2" s="1"/>
  <c r="C9" i="2"/>
  <c r="D9" i="2"/>
  <c r="D13" i="2" s="1"/>
  <c r="E9" i="2"/>
  <c r="E13" i="2" s="1"/>
  <c r="F9" i="2"/>
  <c r="G9" i="2"/>
  <c r="C10" i="2"/>
  <c r="K10" i="2" s="1"/>
  <c r="D10" i="2"/>
  <c r="L10" i="2" s="1"/>
  <c r="E10" i="2"/>
  <c r="M10" i="2" s="1"/>
  <c r="F10" i="2"/>
  <c r="N10" i="2" s="1"/>
  <c r="G10" i="2"/>
  <c r="O10" i="2" s="1"/>
  <c r="H21" i="2"/>
  <c r="H22" i="2"/>
  <c r="H23" i="2"/>
  <c r="C24" i="2"/>
  <c r="D24" i="2"/>
  <c r="E24" i="2"/>
  <c r="F24" i="2"/>
  <c r="G24" i="2"/>
  <c r="H26" i="2"/>
  <c r="H27" i="2" s="1"/>
  <c r="C27" i="2"/>
  <c r="D27" i="2"/>
  <c r="E27" i="2"/>
  <c r="F27" i="2"/>
  <c r="G27" i="2"/>
  <c r="H32" i="2"/>
  <c r="H10" i="2" s="1"/>
  <c r="C33" i="2"/>
  <c r="D33" i="2"/>
  <c r="E33" i="2"/>
  <c r="F33" i="2"/>
  <c r="G33" i="2"/>
  <c r="H35" i="2"/>
  <c r="H36" i="2"/>
  <c r="C37" i="2"/>
  <c r="D37" i="2"/>
  <c r="E37" i="2"/>
  <c r="F37" i="2"/>
  <c r="G37" i="2"/>
  <c r="F13" i="2" l="1"/>
  <c r="D12" i="2"/>
  <c r="L8" i="2"/>
  <c r="D11" i="2"/>
  <c r="C11" i="2"/>
  <c r="E12" i="2"/>
  <c r="M8" i="2"/>
  <c r="K32" i="2"/>
  <c r="P32" i="2" s="1"/>
  <c r="H37" i="2"/>
  <c r="H33" i="2"/>
  <c r="C38" i="2"/>
  <c r="G11" i="2"/>
  <c r="F12" i="2"/>
  <c r="E11" i="2"/>
  <c r="G38" i="2"/>
  <c r="H8" i="2"/>
  <c r="F38" i="2"/>
  <c r="H24" i="2"/>
  <c r="E38" i="2"/>
  <c r="G12" i="2"/>
  <c r="F11" i="2"/>
  <c r="H9" i="2"/>
  <c r="D38" i="2"/>
  <c r="G13" i="2"/>
  <c r="H7" i="2"/>
  <c r="H38" i="2" l="1"/>
  <c r="H11" i="2"/>
  <c r="L43" i="2" l="1"/>
  <c r="M43" i="2"/>
  <c r="N43" i="2"/>
  <c r="O43" i="2"/>
  <c r="P43" i="2"/>
  <c r="L35" i="2"/>
  <c r="L47" i="2" l="1"/>
  <c r="L48" i="2"/>
  <c r="L50" i="2"/>
  <c r="M50" i="2"/>
  <c r="N50" i="2"/>
  <c r="O50" i="2"/>
  <c r="K50" i="2"/>
  <c r="K48" i="2"/>
  <c r="K47" i="2"/>
  <c r="L29" i="2"/>
  <c r="L30" i="2" s="1"/>
  <c r="L46" i="2" s="1"/>
  <c r="M29" i="2"/>
  <c r="M30" i="2" s="1"/>
  <c r="M46" i="2" s="1"/>
  <c r="N29" i="2"/>
  <c r="N30" i="2" s="1"/>
  <c r="N46" i="2" s="1"/>
  <c r="O29" i="2"/>
  <c r="O30" i="2" s="1"/>
  <c r="O46" i="2" s="1"/>
  <c r="K29" i="2"/>
  <c r="P29" i="2" l="1"/>
  <c r="K30" i="2"/>
  <c r="P30" i="2" l="1"/>
  <c r="P46" i="2" s="1"/>
  <c r="K46" i="2"/>
  <c r="P37" i="2"/>
  <c r="P26" i="2"/>
  <c r="P27" i="2" s="1"/>
  <c r="P45" i="2" s="1"/>
  <c r="L38" i="2"/>
  <c r="M38" i="2"/>
  <c r="N38" i="2"/>
  <c r="O38" i="2"/>
  <c r="K38" i="2"/>
  <c r="L27" i="2"/>
  <c r="L45" i="2" s="1"/>
  <c r="M27" i="2"/>
  <c r="M45" i="2" s="1"/>
  <c r="N27" i="2"/>
  <c r="N45" i="2" s="1"/>
  <c r="O27" i="2"/>
  <c r="O45" i="2" s="1"/>
  <c r="K27" i="2"/>
  <c r="K45" i="2" s="1"/>
  <c r="K21" i="1"/>
  <c r="K22" i="1" s="1"/>
  <c r="K24" i="1" s="1"/>
  <c r="K26" i="1" s="1"/>
  <c r="J21" i="1"/>
  <c r="J22" i="1" s="1"/>
  <c r="J24" i="1" s="1"/>
  <c r="J26" i="1" s="1"/>
  <c r="I21" i="1"/>
  <c r="I24" i="1"/>
  <c r="P38" i="2" l="1"/>
  <c r="P50" i="2"/>
  <c r="K25" i="1"/>
  <c r="K11" i="2" l="1"/>
  <c r="L60" i="2" l="1"/>
  <c r="O22" i="2" l="1"/>
  <c r="L61" i="2" l="1"/>
  <c r="K24" i="2"/>
  <c r="L22" i="2"/>
  <c r="I29" i="1"/>
  <c r="L18" i="1"/>
  <c r="N22" i="2"/>
  <c r="P10" i="2"/>
  <c r="M17" i="1"/>
  <c r="K44" i="2" l="1"/>
  <c r="K43" i="2"/>
  <c r="K35" i="2"/>
  <c r="P8" i="2"/>
  <c r="M22" i="2"/>
  <c r="P22" i="2" s="1"/>
  <c r="L21" i="1"/>
  <c r="L22" i="1" s="1"/>
  <c r="L24" i="1" s="1"/>
  <c r="M18" i="1"/>
  <c r="M21" i="1" s="1"/>
  <c r="M22" i="1" s="1"/>
  <c r="M24" i="1" s="1"/>
  <c r="K49" i="2" l="1"/>
  <c r="K51" i="2" s="1"/>
  <c r="K52" i="2" s="1"/>
  <c r="L26" i="1"/>
  <c r="B15" i="1"/>
  <c r="E11" i="1" s="1"/>
  <c r="F11" i="1" l="1"/>
  <c r="L25" i="1"/>
  <c r="C11" i="1"/>
  <c r="I28" i="1"/>
  <c r="M28" i="1"/>
  <c r="M26" i="1"/>
  <c r="M25" i="1"/>
  <c r="D11" i="1"/>
  <c r="J28" i="1"/>
  <c r="K28" i="1"/>
  <c r="L28" i="1"/>
  <c r="B16" i="1"/>
  <c r="O2" i="2" l="1"/>
  <c r="O9" i="2" s="1"/>
  <c r="O11" i="2" s="1"/>
  <c r="M2" i="2"/>
  <c r="M9" i="2" s="1"/>
  <c r="L2" i="2"/>
  <c r="L9" i="2" s="1"/>
  <c r="L23" i="2" s="1"/>
  <c r="L24" i="2" s="1"/>
  <c r="J25" i="1"/>
  <c r="O34" i="2" l="1"/>
  <c r="O48" i="2" s="1"/>
  <c r="O23" i="2"/>
  <c r="O33" i="2"/>
  <c r="O47" i="2" s="1"/>
  <c r="L39" i="2"/>
  <c r="L44" i="2"/>
  <c r="L49" i="2" s="1"/>
  <c r="M23" i="2"/>
  <c r="M24" i="2" s="1"/>
  <c r="M33" i="2"/>
  <c r="M34" i="2"/>
  <c r="M48" i="2" s="1"/>
  <c r="L11" i="2"/>
  <c r="M11" i="2"/>
  <c r="N2" i="2"/>
  <c r="N9" i="2" s="1"/>
  <c r="O35" i="2" l="1"/>
  <c r="M47" i="2"/>
  <c r="M35" i="2"/>
  <c r="L51" i="2"/>
  <c r="L52" i="2" s="1"/>
  <c r="M44" i="2"/>
  <c r="M49" i="2" s="1"/>
  <c r="N34" i="2"/>
  <c r="N48" i="2" s="1"/>
  <c r="N33" i="2"/>
  <c r="N23" i="2"/>
  <c r="N24" i="2" s="1"/>
  <c r="K29" i="1"/>
  <c r="J29" i="1"/>
  <c r="L40" i="2"/>
  <c r="O24" i="2"/>
  <c r="P9" i="2"/>
  <c r="P11" i="2" s="1"/>
  <c r="N11" i="2"/>
  <c r="P34" i="2" l="1"/>
  <c r="P48" i="2" s="1"/>
  <c r="M51" i="2"/>
  <c r="N47" i="2"/>
  <c r="N35" i="2"/>
  <c r="N44" i="2"/>
  <c r="N49" i="2" s="1"/>
  <c r="O39" i="2"/>
  <c r="O44" i="2"/>
  <c r="O49" i="2" s="1"/>
  <c r="M40" i="2"/>
  <c r="L29" i="1"/>
  <c r="P33" i="2"/>
  <c r="P35" i="2" s="1"/>
  <c r="P23" i="2"/>
  <c r="P24" i="2"/>
  <c r="N51" i="2" l="1"/>
  <c r="O51" i="2"/>
  <c r="O52" i="2" s="1"/>
  <c r="M52" i="2"/>
  <c r="P47" i="2"/>
  <c r="P39" i="2"/>
  <c r="P40" i="2" s="1"/>
  <c r="P44" i="2"/>
  <c r="P49" i="2" s="1"/>
  <c r="P51" i="2" s="1"/>
  <c r="P52" i="2" s="1"/>
  <c r="N39" i="2"/>
  <c r="N40" i="2" s="1"/>
  <c r="M29" i="1"/>
  <c r="O40" i="2"/>
  <c r="N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tc={606E4C86-6B5B-4501-A833-4E0444457479}</author>
    <author>tc={65A94613-BFD6-4BC0-A229-B67A6549FBDF}</author>
    <author>tc={009D87D8-2D9D-4F11-858A-EF577AA6702F}</author>
  </authors>
  <commentList>
    <comment ref="B11" authorId="0" shapeId="0" xr:uid="{606E4C86-6B5B-4501-A833-4E0444457479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minimal sales in year 1</t>
      </text>
    </comment>
    <comment ref="I17" authorId="1" shapeId="0" xr:uid="{65A94613-BFD6-4BC0-A229-B67A6549FBDF}">
      <text>
        <t>[Threaded comment]
Your version of Excel allows you to read this threaded comment; however, any edits to it will get removed if the file is opened in a newer version of Excel. Learn more: https://go.microsoft.com/fwlink/?linkid=870924
Comment:
    Licensing fees in first year, per NYS Budget</t>
      </text>
    </comment>
    <comment ref="J17" authorId="2" shapeId="0" xr:uid="{009D87D8-2D9D-4F11-858A-EF577AA6702F}">
      <text>
        <t>[Threaded comment]
Your version of Excel allows you to read this threaded comment; however, any edits to it will get removed if the file is opened in a newer version of Excel. Learn more: https://go.microsoft.com/fwlink/?linkid=870924
Comment:
    Along with
the second year of license fees, the State’s THC-based and retail excise taxes on the sale of adultuse cannabis products are projected to generate $115 million combined.</t>
      </text>
    </comment>
  </commentList>
</comments>
</file>

<file path=xl/sharedStrings.xml><?xml version="1.0" encoding="utf-8"?>
<sst xmlns="http://schemas.openxmlformats.org/spreadsheetml/2006/main" count="360" uniqueCount="199">
  <si>
    <t>SB 888 (potency tax proposal)</t>
  </si>
  <si>
    <t>See NYS rec'l marijuana law</t>
  </si>
  <si>
    <t>Cannabis plant material</t>
  </si>
  <si>
    <t>Cannabis edible product</t>
  </si>
  <si>
    <t>Other Cannabis</t>
  </si>
  <si>
    <t>per milligram THC</t>
  </si>
  <si>
    <t>Potency Tax</t>
  </si>
  <si>
    <t>General Fund</t>
  </si>
  <si>
    <t>FY 22</t>
  </si>
  <si>
    <t>FY 23</t>
  </si>
  <si>
    <t>FY 24</t>
  </si>
  <si>
    <t>FY 29</t>
  </si>
  <si>
    <t>1. Potency Tax</t>
  </si>
  <si>
    <t>2. Local 3% Tax</t>
  </si>
  <si>
    <t>Tax on Gross Receipts</t>
  </si>
  <si>
    <t>NYS Compare</t>
  </si>
  <si>
    <t>Cannabis flowers</t>
  </si>
  <si>
    <t>Cannabis concentrate</t>
  </si>
  <si>
    <t>Sales tax (retail)</t>
  </si>
  <si>
    <t>Local sales tax (retail)</t>
  </si>
  <si>
    <t>Registration</t>
  </si>
  <si>
    <t>biennial fee</t>
  </si>
  <si>
    <t>https://www.osc.state.ny.us/reports/budget/review-enacted-budget-state-fiscal-year-2021-22?utm_source=twitter.com&amp;utm_medium=social&amp;utm_term=state+budget&amp;utm_content=20210502&amp;utm_campaign=fiscal+oversight#economy-and-revenues</t>
  </si>
  <si>
    <t>Collections from taxes and fees (except local) into the Cannabis Revenue Fund</t>
  </si>
  <si>
    <t>FY 25</t>
  </si>
  <si>
    <t>Local Sales Tax</t>
  </si>
  <si>
    <t>https://www.budget.ny.gov/pubs/archive/fy22/en/fy22en-fp.pdf</t>
  </si>
  <si>
    <t>3. Sales Tax</t>
  </si>
  <si>
    <t>Source:</t>
  </si>
  <si>
    <t>Note</t>
  </si>
  <si>
    <t>Total Fiscal Impact</t>
  </si>
  <si>
    <t>Rate</t>
  </si>
  <si>
    <t>FY 26</t>
  </si>
  <si>
    <t>Total</t>
  </si>
  <si>
    <t>License</t>
  </si>
  <si>
    <t>Sales Tax</t>
  </si>
  <si>
    <t>Excise Tax</t>
  </si>
  <si>
    <t>Total GF</t>
  </si>
  <si>
    <t>Special Transportation Fund</t>
  </si>
  <si>
    <t xml:space="preserve">Sales Tax </t>
  </si>
  <si>
    <t>Transfer from 6.35%</t>
  </si>
  <si>
    <t>Total STF</t>
  </si>
  <si>
    <t>Municipal</t>
  </si>
  <si>
    <t>Local Excise Tax</t>
  </si>
  <si>
    <t>Total Muni</t>
  </si>
  <si>
    <t>GRAND TOTAL</t>
  </si>
  <si>
    <t>$1.25 per gram of flower product, $0.50 per gram of trim product and $0.28 per gram wet cannabis 
30% remains in GF after FY 24; the remainder transfers to other accounts (see below)</t>
  </si>
  <si>
    <t xml:space="preserve">Other Non-appropriated </t>
  </si>
  <si>
    <t>Cannabis Equity  Account</t>
  </si>
  <si>
    <t>55% of State Excise Tax transferred in</t>
  </si>
  <si>
    <t>Prevention and Recovery Services Account</t>
  </si>
  <si>
    <t>15% of State Excise Tax transferred in</t>
  </si>
  <si>
    <t xml:space="preserve">Total Other </t>
  </si>
  <si>
    <t>Base Sales</t>
  </si>
  <si>
    <t>Est. State sales Tax (retail)</t>
  </si>
  <si>
    <t>Licenses</t>
  </si>
  <si>
    <t>CT Est (based on NYS)</t>
  </si>
  <si>
    <t>CT pop</t>
  </si>
  <si>
    <t>NY pop</t>
  </si>
  <si>
    <t>Ratio</t>
  </si>
  <si>
    <t>sSB 888 (Jud) Summary</t>
  </si>
  <si>
    <t>By Fund</t>
  </si>
  <si>
    <t>Same as Gov</t>
  </si>
  <si>
    <t>Method 1: NYS</t>
  </si>
  <si>
    <t>NYS Budget/OFA calcs</t>
  </si>
  <si>
    <t>Pro-rate NYS total to CT</t>
  </si>
  <si>
    <t>HD plan compare</t>
  </si>
  <si>
    <t>State Excise Tax on Adult Use Cannabis</t>
  </si>
  <si>
    <t>check</t>
  </si>
  <si>
    <t>OFA Calcs:</t>
  </si>
  <si>
    <t>NYS Estimates</t>
  </si>
  <si>
    <t>Est. Potency Tax (NYS)</t>
  </si>
  <si>
    <t>Total by Tax type</t>
  </si>
  <si>
    <t>FY 24-25</t>
  </si>
  <si>
    <t>FY 26-28</t>
  </si>
  <si>
    <t>Fund/Account</t>
  </si>
  <si>
    <t>Tax Type</t>
  </si>
  <si>
    <t>Total Municipal</t>
  </si>
  <si>
    <t xml:space="preserve">Total Other Accounts </t>
  </si>
  <si>
    <t>Municipal Revenue Sharing Account</t>
  </si>
  <si>
    <t>Total MRSA</t>
  </si>
  <si>
    <t>State Cannabis Tax</t>
  </si>
  <si>
    <t>Local Cannabis Tax</t>
  </si>
  <si>
    <t>6.35% Sales Tax</t>
  </si>
  <si>
    <t xml:space="preserve">Municipal </t>
  </si>
  <si>
    <t>Social Equity and Innovation Account - State Cannabis Tax</t>
  </si>
  <si>
    <t>Prevention and Recovery Services Account - State Cannabis Tax</t>
  </si>
  <si>
    <t>Municipal Cannabis Tax</t>
  </si>
  <si>
    <t>Total State Impact</t>
  </si>
  <si>
    <t>Social Equity and Innovation Fund</t>
  </si>
  <si>
    <t>Prevention and Recovery Services Fund</t>
  </si>
  <si>
    <t>Total - State and Municipal Impact</t>
  </si>
  <si>
    <t>Cannabis Regulatory and Investment Account</t>
  </si>
  <si>
    <t>All fees (sec 30)</t>
  </si>
  <si>
    <t>sub section c of section 34</t>
  </si>
  <si>
    <t>Sec 125</t>
  </si>
  <si>
    <t>Social equity and innovation account - FY 22</t>
  </si>
  <si>
    <t>fees - secs 26, 145, 149</t>
  </si>
  <si>
    <t>12 and 13 of sec 34</t>
  </si>
  <si>
    <t>background check</t>
  </si>
  <si>
    <t>license fees</t>
  </si>
  <si>
    <t>excise tax</t>
  </si>
  <si>
    <t>sales tax</t>
  </si>
  <si>
    <t>conversion fees</t>
  </si>
  <si>
    <t>-</t>
  </si>
  <si>
    <t>SB 888 (Jud/Gov):</t>
  </si>
  <si>
    <t>*growth based on SB 888 estimates</t>
  </si>
  <si>
    <t>Cannabis Tax Distribution</t>
  </si>
  <si>
    <t>SB 1201 Potency Tax Approach</t>
  </si>
  <si>
    <t>Cannabis regulatory acct- FY 22</t>
  </si>
  <si>
    <t>Chapter 219</t>
  </si>
  <si>
    <t>Projected Cannabis Revenue Collections</t>
  </si>
  <si>
    <t>As of June 7, 2021</t>
  </si>
  <si>
    <t>(in millions)</t>
  </si>
  <si>
    <t>STF</t>
  </si>
  <si>
    <t>Muni</t>
  </si>
  <si>
    <t>Equity</t>
  </si>
  <si>
    <t>Prevention</t>
  </si>
  <si>
    <t>License/Lottery</t>
  </si>
  <si>
    <t>Sales &amp; Use Tax</t>
  </si>
  <si>
    <t>Cannabis THC Tax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</si>
  <si>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</si>
  <si>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</si>
  <si>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</si>
  <si>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</si>
  <si>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</si>
  <si>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</si>
  <si>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</si>
  <si>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</si>
  <si>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</si>
  <si>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</si>
  <si>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</si>
  <si>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</si>
  <si>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</si>
  <si>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</si>
  <si>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</si>
  <si>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</si>
  <si>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Net</t>
  </si>
  <si>
    <t>Transpo.</t>
  </si>
  <si>
    <t>THC</t>
  </si>
  <si>
    <t>60-75%</t>
  </si>
  <si>
    <t>Fiscal</t>
  </si>
  <si>
    <t>Cannabis</t>
  </si>
  <si>
    <t>Sales &amp;</t>
  </si>
  <si>
    <t>GF</t>
  </si>
  <si>
    <t>Excise</t>
  </si>
  <si>
    <t>Pevention</t>
  </si>
  <si>
    <t>Sales</t>
  </si>
  <si>
    <t>Grand</t>
  </si>
  <si>
    <t>Year</t>
  </si>
  <si>
    <t>Equity Acct.</t>
  </si>
  <si>
    <t>Use Tax</t>
  </si>
  <si>
    <t>Deduction</t>
  </si>
  <si>
    <t>Tax</t>
  </si>
  <si>
    <t>Account</t>
  </si>
  <si>
    <t>Revenue</t>
  </si>
  <si>
    <t>Percent</t>
  </si>
  <si>
    <t>Over First 8 Years (in millions)</t>
  </si>
  <si>
    <t>Off Budget Transfer Percent</t>
  </si>
  <si>
    <t>State</t>
  </si>
  <si>
    <t>Prevent.</t>
  </si>
  <si>
    <t>FY</t>
  </si>
  <si>
    <t>Prevent</t>
  </si>
  <si>
    <t>Analyst Notes:</t>
  </si>
  <si>
    <t>FY 2022 represents a May 2022 start date (1/6 of total excise tax collections) for medical facilities to sell recreational cannabis.</t>
  </si>
  <si>
    <t>FY 2023 is assumed to have a full Year 1 collections, with sales of $196.3 Million.</t>
  </si>
  <si>
    <t>FY 2024 and FY 2025 represent the growth of the industry as more retail facilities open, FY 2025 is assumed to be a full market.</t>
  </si>
  <si>
    <t>FY 2026-2029 assumes a 2.5% growth to account for inflation and further industry growth.</t>
  </si>
  <si>
    <t>State Excise tax: $1.25 per gram of flower product, $0.50 per gram of trim product and 6.35% sales tax (approx. 16% tax)</t>
  </si>
  <si>
    <t>Municpal Excise tax: 3.0% gross receipts tax on cannabis products</t>
  </si>
  <si>
    <t>Cannabis Equity Account will excise divert starting in FY 2024 at 55% growing to 80% by FY 2029.</t>
  </si>
  <si>
    <t>Prevention Account will divert excise tax starting in FY 2024 at 15% growing to 20% by FY 2029.</t>
  </si>
  <si>
    <t>All converstion fees ($5M for growers, $750K for dispencaries) will divert revenue to the Cannabis Equity Account.</t>
  </si>
  <si>
    <t>Sales and Use Tax</t>
  </si>
  <si>
    <t>Miscellaneous Tax</t>
  </si>
  <si>
    <t>Sales Tax on Cannabis Products</t>
  </si>
  <si>
    <t>PA</t>
  </si>
  <si>
    <t>Sec.</t>
  </si>
  <si>
    <t>Legislative Proposals</t>
  </si>
  <si>
    <t>Var.</t>
  </si>
  <si>
    <t>P.A. 21-1</t>
  </si>
  <si>
    <t>P.A. 21-2</t>
  </si>
  <si>
    <t>THC Tax on Cannabis Products</t>
  </si>
  <si>
    <t>Other Non-Appropriated Funds</t>
  </si>
  <si>
    <t>License, Permit and Fee</t>
  </si>
  <si>
    <t>P.A. 21-3</t>
  </si>
  <si>
    <t>Social Equity and Innovation Account</t>
  </si>
  <si>
    <t>Totals</t>
  </si>
  <si>
    <t>State Cannabis Excise Tax</t>
  </si>
  <si>
    <t>Total General Fund</t>
  </si>
  <si>
    <t>License Revenue</t>
  </si>
  <si>
    <t>FY 2022</t>
  </si>
  <si>
    <t>FY 2023</t>
  </si>
  <si>
    <t>FY 2024</t>
  </si>
  <si>
    <t>FY 2025</t>
  </si>
  <si>
    <t>FY 2026</t>
  </si>
  <si>
    <t>Grand Total All Funds (State)</t>
  </si>
  <si>
    <t>Public Act 21-1 June Special Session</t>
  </si>
  <si>
    <t>Office of Fiscal Analysis Cannabis Fiscal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</si>
</sst>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_(* #,##0.0_);_(* \(#,##0.0\);_(* &quot;-&quot;?_);_(@_)"/>
    <numFmt numFmtId="168" formatCode="_(* #,##0_);_(* \(#,##0\);_(* &quot;-&quot;??_);_(@_)"/>
    <numFmt numFmtId="169" formatCode="0.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u val="doub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B4DCF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15">
    <xf numFmtId="0" fontId="0" fillId="0" borderId="0" xfId="0"/>
    <xf numFmtId="164" fontId="0" fillId="0" borderId="0" xfId="2" applyNumberFormat="1" applyFont="1"/>
    <xf numFmtId="0" fontId="2" fillId="0" borderId="0" xfId="0" applyFont="1"/>
    <xf numFmtId="164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7" xfId="0" applyFill="1" applyBorder="1"/>
    <xf numFmtId="165" fontId="0" fillId="4" borderId="8" xfId="1" applyNumberFormat="1" applyFont="1" applyFill="1" applyBorder="1"/>
    <xf numFmtId="165" fontId="0" fillId="4" borderId="9" xfId="1" applyNumberFormat="1" applyFont="1" applyFill="1" applyBorder="1"/>
    <xf numFmtId="0" fontId="0" fillId="4" borderId="3" xfId="0" applyFill="1" applyBorder="1"/>
    <xf numFmtId="165" fontId="2" fillId="0" borderId="0" xfId="1" applyNumberFormat="1" applyFont="1"/>
    <xf numFmtId="165" fontId="0" fillId="5" borderId="0" xfId="1" applyNumberFormat="1" applyFont="1" applyFill="1"/>
    <xf numFmtId="168" fontId="0" fillId="5" borderId="0" xfId="1" applyNumberFormat="1" applyFont="1" applyFill="1"/>
    <xf numFmtId="0" fontId="0" fillId="6" borderId="0" xfId="0" applyFill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9" fontId="3" fillId="0" borderId="1" xfId="0" applyNumberFormat="1" applyFont="1" applyBorder="1"/>
    <xf numFmtId="43" fontId="3" fillId="0" borderId="1" xfId="1" applyFont="1" applyBorder="1"/>
    <xf numFmtId="0" fontId="4" fillId="0" borderId="0" xfId="0" applyFont="1"/>
    <xf numFmtId="0" fontId="4" fillId="0" borderId="1" xfId="0" applyFont="1" applyFill="1" applyBorder="1"/>
    <xf numFmtId="0" fontId="3" fillId="0" borderId="1" xfId="0" applyFont="1" applyFill="1" applyBorder="1"/>
    <xf numFmtId="165" fontId="3" fillId="0" borderId="1" xfId="1" applyNumberFormat="1" applyFont="1" applyFill="1" applyBorder="1"/>
    <xf numFmtId="0" fontId="4" fillId="0" borderId="1" xfId="0" applyFont="1" applyFill="1" applyBorder="1" applyAlignment="1">
      <alignment horizontal="right"/>
    </xf>
    <xf numFmtId="165" fontId="4" fillId="0" borderId="1" xfId="0" applyNumberFormat="1" applyFont="1" applyFill="1" applyBorder="1"/>
    <xf numFmtId="165" fontId="4" fillId="0" borderId="1" xfId="1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65" fontId="3" fillId="0" borderId="0" xfId="0" applyNumberFormat="1" applyFont="1"/>
    <xf numFmtId="167" fontId="3" fillId="0" borderId="0" xfId="0" applyNumberFormat="1" applyFont="1"/>
    <xf numFmtId="165" fontId="4" fillId="0" borderId="0" xfId="0" applyNumberFormat="1" applyFont="1"/>
    <xf numFmtId="165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165" fontId="3" fillId="0" borderId="0" xfId="1" applyNumberFormat="1" applyFont="1"/>
    <xf numFmtId="43" fontId="3" fillId="0" borderId="0" xfId="0" applyNumberFormat="1" applyFont="1"/>
    <xf numFmtId="0" fontId="0" fillId="5" borderId="0" xfId="0" applyFill="1"/>
    <xf numFmtId="0" fontId="4" fillId="2" borderId="0" xfId="0" applyFont="1" applyFill="1"/>
    <xf numFmtId="0" fontId="5" fillId="3" borderId="2" xfId="0" applyFont="1" applyFill="1" applyBorder="1"/>
    <xf numFmtId="165" fontId="4" fillId="0" borderId="0" xfId="1" applyNumberFormat="1" applyFont="1"/>
    <xf numFmtId="0" fontId="6" fillId="3" borderId="2" xfId="0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165" fontId="5" fillId="0" borderId="2" xfId="1" applyNumberFormat="1" applyFont="1" applyFill="1" applyBorder="1"/>
    <xf numFmtId="10" fontId="5" fillId="0" borderId="2" xfId="0" applyNumberFormat="1" applyFont="1" applyFill="1" applyBorder="1"/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right"/>
    </xf>
    <xf numFmtId="165" fontId="6" fillId="0" borderId="2" xfId="0" applyNumberFormat="1" applyFont="1" applyFill="1" applyBorder="1"/>
    <xf numFmtId="166" fontId="5" fillId="0" borderId="2" xfId="0" applyNumberFormat="1" applyFont="1" applyFill="1" applyBorder="1"/>
    <xf numFmtId="0" fontId="5" fillId="0" borderId="2" xfId="0" applyFont="1" applyFill="1" applyBorder="1" applyAlignment="1">
      <alignment wrapText="1"/>
    </xf>
    <xf numFmtId="9" fontId="5" fillId="0" borderId="2" xfId="0" applyNumberFormat="1" applyFont="1" applyFill="1" applyBorder="1"/>
    <xf numFmtId="164" fontId="5" fillId="0" borderId="2" xfId="2" applyNumberFormat="1" applyFont="1" applyFill="1" applyBorder="1"/>
    <xf numFmtId="165" fontId="5" fillId="0" borderId="2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165" fontId="6" fillId="0" borderId="0" xfId="0" applyNumberFormat="1" applyFont="1" applyFill="1" applyBorder="1"/>
    <xf numFmtId="164" fontId="3" fillId="0" borderId="0" xfId="2" applyNumberFormat="1" applyFont="1"/>
    <xf numFmtId="0" fontId="3" fillId="7" borderId="0" xfId="0" applyFont="1" applyFill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9" fontId="0" fillId="0" borderId="0" xfId="0" applyNumberFormat="1"/>
    <xf numFmtId="166" fontId="0" fillId="0" borderId="0" xfId="3" applyNumberFormat="1" applyFont="1" applyFill="1"/>
    <xf numFmtId="166" fontId="0" fillId="0" borderId="0" xfId="3" applyNumberFormat="1" applyFont="1"/>
    <xf numFmtId="166" fontId="2" fillId="0" borderId="0" xfId="0" applyNumberFormat="1" applyFont="1"/>
    <xf numFmtId="165" fontId="0" fillId="0" borderId="0" xfId="1" applyNumberFormat="1" applyFont="1" applyFill="1"/>
    <xf numFmtId="165" fontId="0" fillId="0" borderId="0" xfId="0" applyNumberFormat="1"/>
    <xf numFmtId="165" fontId="1" fillId="0" borderId="0" xfId="1" applyNumberFormat="1" applyFont="1"/>
    <xf numFmtId="165" fontId="2" fillId="0" borderId="0" xfId="0" applyNumberFormat="1" applyFont="1"/>
    <xf numFmtId="165" fontId="8" fillId="0" borderId="0" xfId="1" applyNumberFormat="1" applyFont="1" applyFill="1"/>
    <xf numFmtId="165" fontId="8" fillId="0" borderId="0" xfId="1" applyNumberFormat="1" applyFont="1"/>
    <xf numFmtId="165" fontId="8" fillId="0" borderId="0" xfId="0" applyNumberFormat="1" applyFont="1"/>
    <xf numFmtId="0" fontId="8" fillId="0" borderId="0" xfId="0" applyFont="1"/>
    <xf numFmtId="165" fontId="9" fillId="0" borderId="0" xfId="0" applyNumberFormat="1" applyFont="1"/>
    <xf numFmtId="166" fontId="2" fillId="0" borderId="0" xfId="3" applyNumberFormat="1" applyFont="1" applyFill="1"/>
    <xf numFmtId="0" fontId="7" fillId="0" borderId="0" xfId="0" applyFont="1"/>
    <xf numFmtId="166" fontId="0" fillId="0" borderId="0" xfId="0" applyNumberFormat="1"/>
    <xf numFmtId="44" fontId="0" fillId="0" borderId="0" xfId="0" applyNumberFormat="1"/>
    <xf numFmtId="164" fontId="7" fillId="0" borderId="0" xfId="2" applyNumberFormat="1" applyFont="1" applyAlignment="1">
      <alignment horizontal="center"/>
    </xf>
    <xf numFmtId="43" fontId="0" fillId="0" borderId="0" xfId="0" applyNumberFormat="1"/>
    <xf numFmtId="9" fontId="0" fillId="0" borderId="0" xfId="1" applyNumberFormat="1" applyFont="1" applyAlignment="1">
      <alignment horizontal="center"/>
    </xf>
    <xf numFmtId="164" fontId="7" fillId="0" borderId="0" xfId="2" applyNumberFormat="1" applyFont="1"/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Fill="1" applyBorder="1"/>
    <xf numFmtId="0" fontId="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4" applyFont="1"/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 applyFill="1" applyBorder="1"/>
    <xf numFmtId="166" fontId="0" fillId="0" borderId="0" xfId="0" applyNumberFormat="1" applyFont="1"/>
    <xf numFmtId="166" fontId="15" fillId="0" borderId="0" xfId="3" applyNumberFormat="1" applyFont="1"/>
    <xf numFmtId="169" fontId="0" fillId="0" borderId="0" xfId="0" applyNumberFormat="1" applyAlignment="1">
      <alignment horizontal="centerContinuous"/>
    </xf>
    <xf numFmtId="169" fontId="2" fillId="0" borderId="0" xfId="0" applyNumberFormat="1" applyFont="1" applyAlignment="1">
      <alignment horizontal="centerContinuous"/>
    </xf>
  </cellXfs>
  <cellStyles count="5">
    <cellStyle name="Comma" xfId="1" builtinId="3"/>
    <cellStyle name="Currency" xfId="3" builtinId="4"/>
    <cellStyle name="Normal" xfId="0" builtinId="0"/>
    <cellStyle name="Normal 2" xfId="4" xr:uid="{B5ED7DEC-88F8-401D-81D3-35D7CA2C4967}"/>
    <cellStyle name="Percent" xfId="2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nnabis%20Revenue%20Summary%20Table%20(Tax%20and%20Licen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Budget ( SB 1201)"/>
      <sheetName val="Final Budget (SB 888)"/>
      <sheetName val="OPM June 5 Proposal"/>
      <sheetName val="May 26, 2021 Proposal"/>
      <sheetName val="May 24, 2021 Proposal"/>
      <sheetName val="Balance Calculator"/>
      <sheetName val="Expenditures by Agency"/>
      <sheetName val="Committee Summary Table"/>
      <sheetName val="Governor Summary Table"/>
      <sheetName val="Condensed"/>
      <sheetName val="Ebony Calculation"/>
      <sheetName val="THC Calc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">
          <cell r="H26">
            <v>5.88947368421052</v>
          </cell>
          <cell r="I26">
            <v>11.226315789473682</v>
          </cell>
          <cell r="J26">
            <v>17.368421052631579</v>
          </cell>
          <cell r="K26">
            <v>17.802631578947366</v>
          </cell>
        </row>
        <row r="28">
          <cell r="H28">
            <v>12.466052631578934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isnieski, Evelyn" id="{0675F0EF-11CE-4A6D-9A54-CA40E6C52C74}" userId="S::Evelyn.Wisnieski@cga.ct.gov::464c6fdc-c04d-487a-9c85-f647f04977db" providerId="AD"/>
</personList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1-06-02T01:25:04.07" personId="{0675F0EF-11CE-4A6D-9A54-CA40E6C52C74}" id="{606E4C86-6B5B-4501-A833-4E0444457479}">
    <text>Estimate minimal sales in year 1</text>
  </threadedComment>
  <threadedComment ref="I17" dT="2021-06-01T19:19:52.90" personId="{0675F0EF-11CE-4A6D-9A54-CA40E6C52C74}" id="{65A94613-BFD6-4BC0-A229-B67A6549FBDF}">
    <text>Licensing fees in first year, per NYS Budget</text>
  </threadedComment>
  <threadedComment ref="J17" dT="2021-06-01T19:20:01.21" personId="{0675F0EF-11CE-4A6D-9A54-CA40E6C52C74}" id="{009D87D8-2D9D-4F11-858A-EF577AA6702F}">
    <text>Along with
the second year of license fees, the State’s THC-based and retail excise taxes on the sale of adultuse cannabis products are projected to generate $115 million combined.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2BE9-DF56-483D-B867-63E19FEE1777}">
  <dimension ref="A3:G34"/>
  <sheetViews>
    <sheetView tabSelected="1" workbookViewId="0">
      <selection activeCell="D15" sqref="D15"/>
    </sheetView>
  </sheetViews>
  <sheetFormatPr defaultRowHeight="14.4" x14ac:dyDescent="0.3"/>
  <cols>
    <col min="1" max="1" width="3.5546875" style="80" bestFit="1" customWidth="1"/>
    <col min="2" max="2" width="31.88671875" bestFit="1" customWidth="1"/>
  </cols>
  <sheetData>
    <row r="3" spans="1:7" x14ac:dyDescent="0.3">
      <c r="A3" s="114" t="s">
        <v>198</v>
      </c>
      <c r="B3" s="69"/>
      <c r="C3" s="69"/>
      <c r="D3" s="69"/>
      <c r="E3" s="69"/>
      <c r="F3" s="69"/>
      <c r="G3" s="69"/>
    </row>
    <row r="4" spans="1:7" x14ac:dyDescent="0.3">
      <c r="A4" s="113" t="s">
        <v>197</v>
      </c>
      <c r="B4" s="69"/>
      <c r="C4" s="69"/>
      <c r="D4" s="69"/>
      <c r="E4" s="69"/>
      <c r="F4" s="69"/>
      <c r="G4" s="69"/>
    </row>
    <row r="5" spans="1:7" x14ac:dyDescent="0.3">
      <c r="A5" s="113" t="s">
        <v>113</v>
      </c>
      <c r="B5" s="69"/>
      <c r="C5" s="69"/>
      <c r="D5" s="69"/>
      <c r="E5" s="69"/>
      <c r="F5" s="69"/>
      <c r="G5" s="69"/>
    </row>
    <row r="8" spans="1:7" x14ac:dyDescent="0.3">
      <c r="C8" s="79" t="s">
        <v>191</v>
      </c>
      <c r="D8" s="79" t="s">
        <v>192</v>
      </c>
      <c r="E8" s="79" t="s">
        <v>193</v>
      </c>
      <c r="F8" s="79" t="s">
        <v>194</v>
      </c>
      <c r="G8" s="79" t="s">
        <v>195</v>
      </c>
    </row>
    <row r="9" spans="1:7" x14ac:dyDescent="0.3">
      <c r="B9" s="2" t="s">
        <v>7</v>
      </c>
    </row>
    <row r="10" spans="1:7" x14ac:dyDescent="0.3">
      <c r="A10" s="80">
        <v>1</v>
      </c>
      <c r="B10" t="s">
        <v>173</v>
      </c>
      <c r="C10" s="82">
        <f>Summary!K22</f>
        <v>0</v>
      </c>
      <c r="D10" s="82">
        <f>Summary!L22</f>
        <v>10.50389594736842</v>
      </c>
      <c r="E10" s="82">
        <f>Summary!M22</f>
        <v>20.022171631578942</v>
      </c>
      <c r="F10" s="82">
        <f>Summary!N22</f>
        <v>30.976636842105261</v>
      </c>
      <c r="G10" s="82">
        <f>Summary!O22</f>
        <v>31.751052763157887</v>
      </c>
    </row>
    <row r="11" spans="1:7" ht="16.2" x14ac:dyDescent="0.45">
      <c r="A11" s="80">
        <f>A10+1</f>
        <v>2</v>
      </c>
      <c r="B11" t="s">
        <v>188</v>
      </c>
      <c r="C11" s="89">
        <f>Summary!K23</f>
        <v>0</v>
      </c>
      <c r="D11" s="89">
        <f>Summary!L23</f>
        <v>7.9273136246786642</v>
      </c>
      <c r="E11" s="89">
        <f>Summary!M23</f>
        <v>1.4434125964010285</v>
      </c>
      <c r="F11" s="89">
        <f>Summary!N23</f>
        <v>2.5492458755003091</v>
      </c>
      <c r="G11" s="89">
        <f>Summary!O23</f>
        <v>1.751149206013471</v>
      </c>
    </row>
    <row r="12" spans="1:7" x14ac:dyDescent="0.3">
      <c r="A12" s="80">
        <f>A11+1</f>
        <v>3</v>
      </c>
      <c r="B12" t="s">
        <v>189</v>
      </c>
      <c r="C12" s="82">
        <f>SUM(C10:C11)</f>
        <v>0</v>
      </c>
      <c r="D12" s="82">
        <f t="shared" ref="D12:G12" si="0">SUM(D10:D11)</f>
        <v>18.431209572047084</v>
      </c>
      <c r="E12" s="82">
        <f t="shared" si="0"/>
        <v>21.465584227979971</v>
      </c>
      <c r="F12" s="82">
        <f t="shared" si="0"/>
        <v>33.525882717605569</v>
      </c>
      <c r="G12" s="82">
        <f t="shared" si="0"/>
        <v>33.50220196917136</v>
      </c>
    </row>
    <row r="13" spans="1:7" x14ac:dyDescent="0.3">
      <c r="C13" s="5"/>
      <c r="D13" s="5"/>
      <c r="E13" s="5"/>
      <c r="F13" s="5"/>
      <c r="G13" s="5"/>
    </row>
    <row r="14" spans="1:7" x14ac:dyDescent="0.3">
      <c r="B14" s="2" t="s">
        <v>38</v>
      </c>
      <c r="C14" s="5"/>
      <c r="D14" s="5"/>
      <c r="E14" s="5"/>
      <c r="F14" s="5"/>
      <c r="G14" s="5"/>
    </row>
    <row r="15" spans="1:7" x14ac:dyDescent="0.3">
      <c r="A15" s="80">
        <f>A12+1</f>
        <v>4</v>
      </c>
      <c r="B15" t="s">
        <v>173</v>
      </c>
      <c r="C15" s="82">
        <f>Summary!K26</f>
        <v>0</v>
      </c>
      <c r="D15" s="82">
        <f>Summary!L26</f>
        <v>0.98107834210526323</v>
      </c>
      <c r="E15" s="82">
        <f>Summary!M26</f>
        <v>1.8700983947368419</v>
      </c>
      <c r="F15" s="82">
        <f>Summary!N26</f>
        <v>2.8932605263157898</v>
      </c>
      <c r="G15" s="82">
        <f>Summary!O26</f>
        <v>2.9655920394736839</v>
      </c>
    </row>
    <row r="16" spans="1:7" x14ac:dyDescent="0.3">
      <c r="C16" s="5"/>
      <c r="D16" s="5"/>
      <c r="E16" s="5"/>
      <c r="F16" s="5"/>
      <c r="G16" s="5"/>
    </row>
    <row r="17" spans="1:7" x14ac:dyDescent="0.3">
      <c r="B17" s="2" t="s">
        <v>79</v>
      </c>
      <c r="C17" s="5"/>
      <c r="D17" s="5"/>
      <c r="E17" s="5"/>
      <c r="F17" s="5"/>
      <c r="G17" s="5"/>
    </row>
    <row r="18" spans="1:7" x14ac:dyDescent="0.3">
      <c r="A18" s="80">
        <f>A15+1</f>
        <v>5</v>
      </c>
      <c r="B18" t="s">
        <v>173</v>
      </c>
      <c r="C18" s="82">
        <f>Summary!K29</f>
        <v>0</v>
      </c>
      <c r="D18" s="82">
        <f>Summary!L29</f>
        <v>0.98107834210526323</v>
      </c>
      <c r="E18" s="82">
        <f>Summary!M29</f>
        <v>1.8700983947368419</v>
      </c>
      <c r="F18" s="82">
        <f>Summary!N29</f>
        <v>2.8932605263157898</v>
      </c>
      <c r="G18" s="82">
        <f>Summary!O29</f>
        <v>2.9655920394736839</v>
      </c>
    </row>
    <row r="19" spans="1:7" x14ac:dyDescent="0.3">
      <c r="C19" s="5"/>
      <c r="D19" s="5"/>
      <c r="E19" s="5"/>
      <c r="F19" s="5"/>
      <c r="G19" s="5"/>
    </row>
    <row r="20" spans="1:7" x14ac:dyDescent="0.3">
      <c r="B20" s="2" t="s">
        <v>92</v>
      </c>
      <c r="C20" s="5"/>
      <c r="D20" s="5"/>
      <c r="E20" s="5"/>
      <c r="F20" s="5"/>
      <c r="G20" s="5"/>
    </row>
    <row r="21" spans="1:7" x14ac:dyDescent="0.3">
      <c r="A21" s="80">
        <f>A18+1</f>
        <v>6</v>
      </c>
      <c r="B21" t="s">
        <v>190</v>
      </c>
      <c r="C21" s="82">
        <f>Summary!K32</f>
        <v>3.0776754385964908</v>
      </c>
      <c r="D21" s="82">
        <f>Summary!L32</f>
        <v>0</v>
      </c>
      <c r="E21" s="82">
        <f>Summary!M32</f>
        <v>0</v>
      </c>
      <c r="F21" s="82">
        <f>Summary!N32</f>
        <v>0</v>
      </c>
      <c r="G21" s="82">
        <f>Summary!O32</f>
        <v>0</v>
      </c>
    </row>
    <row r="22" spans="1:7" x14ac:dyDescent="0.3">
      <c r="C22" s="5"/>
      <c r="D22" s="5"/>
      <c r="E22" s="5"/>
      <c r="F22" s="5"/>
      <c r="G22" s="5"/>
    </row>
    <row r="23" spans="1:7" x14ac:dyDescent="0.3">
      <c r="B23" s="2" t="s">
        <v>186</v>
      </c>
      <c r="C23" s="5"/>
      <c r="D23" s="5"/>
      <c r="E23" s="5"/>
      <c r="F23" s="5"/>
      <c r="G23" s="5"/>
    </row>
    <row r="24" spans="1:7" x14ac:dyDescent="0.3">
      <c r="A24" s="80">
        <f>A21+1</f>
        <v>7</v>
      </c>
      <c r="B24" t="s">
        <v>188</v>
      </c>
      <c r="C24" s="82">
        <f>Summary!K33</f>
        <v>0</v>
      </c>
      <c r="D24" s="82">
        <f>Summary!L33</f>
        <v>0</v>
      </c>
      <c r="E24" s="82">
        <f>Summary!M33</f>
        <v>5.7736503856041139</v>
      </c>
      <c r="F24" s="82">
        <f>Summary!N33</f>
        <v>10.196983502001236</v>
      </c>
      <c r="G24" s="82">
        <f>Summary!O33</f>
        <v>11.382469839087562</v>
      </c>
    </row>
    <row r="25" spans="1:7" x14ac:dyDescent="0.3">
      <c r="C25" s="5"/>
      <c r="D25" s="5"/>
      <c r="E25" s="5"/>
      <c r="F25" s="5"/>
      <c r="G25" s="5"/>
    </row>
    <row r="26" spans="1:7" x14ac:dyDescent="0.3">
      <c r="B26" s="2" t="s">
        <v>50</v>
      </c>
      <c r="C26" s="5"/>
      <c r="D26" s="5"/>
      <c r="E26" s="5"/>
      <c r="F26" s="5"/>
      <c r="G26" s="5"/>
    </row>
    <row r="27" spans="1:7" x14ac:dyDescent="0.3">
      <c r="A27" s="80">
        <f>A24+1</f>
        <v>8</v>
      </c>
      <c r="B27" t="s">
        <v>188</v>
      </c>
      <c r="C27" s="82">
        <f>Summary!K34</f>
        <v>0</v>
      </c>
      <c r="D27" s="82">
        <f>Summary!L34</f>
        <v>0</v>
      </c>
      <c r="E27" s="82">
        <f>Summary!M34</f>
        <v>2.4056876606683808</v>
      </c>
      <c r="F27" s="82">
        <f>Summary!N34</f>
        <v>4.2487431258338484</v>
      </c>
      <c r="G27" s="82">
        <f>Summary!O34</f>
        <v>4.3778730150336775</v>
      </c>
    </row>
    <row r="28" spans="1:7" x14ac:dyDescent="0.3">
      <c r="C28" s="5"/>
      <c r="D28" s="5"/>
      <c r="E28" s="5"/>
      <c r="F28" s="5"/>
      <c r="G28" s="5"/>
    </row>
    <row r="29" spans="1:7" x14ac:dyDescent="0.3">
      <c r="C29" s="5"/>
      <c r="D29" s="5"/>
      <c r="E29" s="5"/>
      <c r="F29" s="5"/>
      <c r="G29" s="5"/>
    </row>
    <row r="30" spans="1:7" ht="16.2" x14ac:dyDescent="0.45">
      <c r="A30" s="80">
        <f>A27+1</f>
        <v>9</v>
      </c>
      <c r="B30" s="2" t="s">
        <v>196</v>
      </c>
      <c r="C30" s="112">
        <f>C27+C24+C21+C18+C15+C12</f>
        <v>3.0776754385964908</v>
      </c>
      <c r="D30" s="112">
        <f t="shared" ref="D30:G30" si="1">D27+D24+D21+D18+D15+D12</f>
        <v>20.393366256257611</v>
      </c>
      <c r="E30" s="112">
        <f t="shared" si="1"/>
        <v>33.385119063726151</v>
      </c>
      <c r="F30" s="112">
        <f t="shared" si="1"/>
        <v>53.758130398072232</v>
      </c>
      <c r="G30" s="112">
        <f t="shared" si="1"/>
        <v>55.193728902239968</v>
      </c>
    </row>
    <row r="31" spans="1:7" x14ac:dyDescent="0.3">
      <c r="C31" s="5"/>
      <c r="D31" s="5"/>
      <c r="E31" s="5"/>
      <c r="F31" s="5"/>
      <c r="G31" s="5"/>
    </row>
    <row r="32" spans="1:7" x14ac:dyDescent="0.3">
      <c r="C32" s="5"/>
      <c r="D32" s="5"/>
      <c r="E32" s="5"/>
      <c r="F32" s="5"/>
      <c r="G32" s="5"/>
    </row>
    <row r="33" spans="1:7" x14ac:dyDescent="0.3">
      <c r="B33" s="2" t="s">
        <v>84</v>
      </c>
      <c r="C33" s="5"/>
      <c r="D33" s="5"/>
      <c r="E33" s="5"/>
      <c r="F33" s="5"/>
      <c r="G33" s="5"/>
    </row>
    <row r="34" spans="1:7" x14ac:dyDescent="0.3">
      <c r="A34" s="80">
        <f>A30+1</f>
        <v>10</v>
      </c>
      <c r="B34" t="s">
        <v>82</v>
      </c>
      <c r="C34" s="5">
        <f>Summary!K37</f>
        <v>1</v>
      </c>
      <c r="D34" s="5">
        <f>Summary!L37</f>
        <v>5.9</v>
      </c>
      <c r="E34" s="5">
        <f>Summary!M37</f>
        <v>11.2</v>
      </c>
      <c r="F34" s="5">
        <f>Summary!N37</f>
        <v>17.399999999999999</v>
      </c>
      <c r="G34" s="5">
        <f>Summary!O37</f>
        <v>18.2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308F-4801-430E-A079-DDE2128D1837}">
  <dimension ref="A1:Q65"/>
  <sheetViews>
    <sheetView topLeftCell="A19" workbookViewId="0">
      <selection activeCell="J7" sqref="J7:O7"/>
    </sheetView>
  </sheetViews>
  <sheetFormatPr defaultColWidth="9.109375" defaultRowHeight="14.4" x14ac:dyDescent="0.3"/>
  <cols>
    <col min="1" max="1" width="25.88671875" style="17" bestFit="1" customWidth="1"/>
    <col min="2" max="2" width="15.88671875" style="17" customWidth="1"/>
    <col min="3" max="8" width="9.109375" style="17"/>
    <col min="9" max="9" width="0.5546875" style="67" customWidth="1"/>
    <col min="10" max="10" width="46" style="17" customWidth="1"/>
    <col min="11" max="11" width="10.33203125" style="17" bestFit="1" customWidth="1"/>
    <col min="12" max="13" width="9.109375" style="17"/>
    <col min="14" max="16" width="9.109375" style="17" customWidth="1"/>
    <col min="17" max="16384" width="9.109375" style="17"/>
  </cols>
  <sheetData>
    <row r="1" spans="1:17" ht="16.5" x14ac:dyDescent="0.3">
      <c r="A1" s="22" t="s">
        <v>105</v>
      </c>
      <c r="J1" s="22" t="s">
        <v>108</v>
      </c>
      <c r="K1" s="17" t="s">
        <v>8</v>
      </c>
      <c r="L1" s="17" t="s">
        <v>9</v>
      </c>
      <c r="M1" s="17" t="s">
        <v>10</v>
      </c>
      <c r="N1" s="17" t="s">
        <v>24</v>
      </c>
      <c r="O1" s="17" t="s">
        <v>32</v>
      </c>
    </row>
    <row r="2" spans="1:17" ht="16.5" x14ac:dyDescent="0.3">
      <c r="J2" s="17" t="s">
        <v>63</v>
      </c>
      <c r="K2" s="42">
        <f>'Calcs_NYS basis'!B11</f>
        <v>1</v>
      </c>
      <c r="L2" s="42">
        <f>'Calcs_NYS basis'!C11</f>
        <v>7.9273136246786642</v>
      </c>
      <c r="M2" s="42">
        <f>'Calcs_NYS basis'!D11</f>
        <v>9.6227506426735232</v>
      </c>
      <c r="N2" s="42">
        <f>'Calcs_NYS basis'!E11</f>
        <v>16.994972503335394</v>
      </c>
      <c r="O2" s="42">
        <f>'Calcs_NYS basis'!F11</f>
        <v>17.51149206013471</v>
      </c>
    </row>
    <row r="5" spans="1:17" ht="16.5" x14ac:dyDescent="0.3">
      <c r="A5" s="17" t="s">
        <v>72</v>
      </c>
    </row>
    <row r="6" spans="1:17" ht="16.5" x14ac:dyDescent="0.3">
      <c r="A6" s="45" t="s">
        <v>60</v>
      </c>
      <c r="B6" s="46" t="s">
        <v>31</v>
      </c>
      <c r="C6" s="46" t="s">
        <v>8</v>
      </c>
      <c r="D6" s="46" t="s">
        <v>9</v>
      </c>
      <c r="E6" s="46" t="s">
        <v>10</v>
      </c>
      <c r="F6" s="46" t="s">
        <v>24</v>
      </c>
      <c r="G6" s="46" t="s">
        <v>32</v>
      </c>
      <c r="H6" s="46" t="s">
        <v>33</v>
      </c>
      <c r="J6" s="23" t="s">
        <v>76</v>
      </c>
      <c r="K6" s="23" t="s">
        <v>8</v>
      </c>
      <c r="L6" s="23" t="s">
        <v>9</v>
      </c>
      <c r="M6" s="23" t="s">
        <v>10</v>
      </c>
      <c r="N6" s="23" t="s">
        <v>24</v>
      </c>
      <c r="O6" s="23" t="s">
        <v>32</v>
      </c>
      <c r="P6" s="23" t="s">
        <v>33</v>
      </c>
    </row>
    <row r="7" spans="1:17" ht="16.5" x14ac:dyDescent="0.3">
      <c r="A7" s="17" t="s">
        <v>34</v>
      </c>
      <c r="C7" s="42">
        <f t="shared" ref="C7:H7" si="0">C21</f>
        <v>4.8</v>
      </c>
      <c r="D7" s="42">
        <f t="shared" si="0"/>
        <v>2.2000000000000002</v>
      </c>
      <c r="E7" s="42">
        <f t="shared" si="0"/>
        <v>2</v>
      </c>
      <c r="F7" s="42">
        <f t="shared" si="0"/>
        <v>2</v>
      </c>
      <c r="G7" s="42">
        <f t="shared" si="0"/>
        <v>2</v>
      </c>
      <c r="H7" s="42">
        <f t="shared" si="0"/>
        <v>13</v>
      </c>
      <c r="J7" s="24" t="s">
        <v>34</v>
      </c>
      <c r="K7" s="24"/>
      <c r="L7" s="24"/>
      <c r="M7" s="24"/>
      <c r="N7" s="24"/>
      <c r="O7" s="24"/>
      <c r="P7" s="24"/>
    </row>
    <row r="8" spans="1:17" ht="16.5" x14ac:dyDescent="0.3">
      <c r="A8" s="17" t="s">
        <v>35</v>
      </c>
      <c r="C8" s="42">
        <f t="shared" ref="C8:H8" si="1">C22+C26</f>
        <v>2.0776754385964908</v>
      </c>
      <c r="D8" s="42">
        <f t="shared" si="1"/>
        <v>12.466052631578947</v>
      </c>
      <c r="E8" s="42">
        <f t="shared" si="1"/>
        <v>23.762368421052628</v>
      </c>
      <c r="F8" s="42">
        <f t="shared" si="1"/>
        <v>36.763157894736842</v>
      </c>
      <c r="G8" s="42">
        <f t="shared" si="1"/>
        <v>37.682236842105254</v>
      </c>
      <c r="H8" s="42">
        <f t="shared" si="1"/>
        <v>112.75149122807017</v>
      </c>
      <c r="J8" s="24" t="s">
        <v>83</v>
      </c>
      <c r="K8" s="25">
        <f>C8</f>
        <v>2.0776754385964908</v>
      </c>
      <c r="L8" s="25">
        <f t="shared" ref="L8:O8" si="2">D8</f>
        <v>12.466052631578947</v>
      </c>
      <c r="M8" s="25">
        <f t="shared" si="2"/>
        <v>23.762368421052628</v>
      </c>
      <c r="N8" s="25">
        <f t="shared" si="2"/>
        <v>36.763157894736842</v>
      </c>
      <c r="O8" s="25">
        <f t="shared" si="2"/>
        <v>37.682236842105254</v>
      </c>
      <c r="P8" s="25">
        <f t="shared" ref="P8:P10" si="3">SUM(K8:O8)</f>
        <v>112.75149122807017</v>
      </c>
    </row>
    <row r="9" spans="1:17" ht="16.5" x14ac:dyDescent="0.3">
      <c r="A9" s="17" t="s">
        <v>36</v>
      </c>
      <c r="C9" s="42">
        <f t="shared" ref="C9:H9" si="4">C23+C35+C36</f>
        <v>3.2</v>
      </c>
      <c r="D9" s="42">
        <f t="shared" si="4"/>
        <v>18.899999999999999</v>
      </c>
      <c r="E9" s="42">
        <f t="shared" si="4"/>
        <v>36.055657894736875</v>
      </c>
      <c r="F9" s="42">
        <f t="shared" si="4"/>
        <v>55.934210526315795</v>
      </c>
      <c r="G9" s="42">
        <f t="shared" si="4"/>
        <v>57.332565789473684</v>
      </c>
      <c r="H9" s="42">
        <f t="shared" si="4"/>
        <v>171.42243421052635</v>
      </c>
      <c r="J9" s="24" t="s">
        <v>81</v>
      </c>
      <c r="K9" s="25">
        <f>K2</f>
        <v>1</v>
      </c>
      <c r="L9" s="25">
        <f>L2</f>
        <v>7.9273136246786642</v>
      </c>
      <c r="M9" s="25">
        <f>M2</f>
        <v>9.6227506426735232</v>
      </c>
      <c r="N9" s="25">
        <f>N2</f>
        <v>16.994972503335394</v>
      </c>
      <c r="O9" s="25">
        <f>O2</f>
        <v>17.51149206013471</v>
      </c>
      <c r="P9" s="25">
        <f t="shared" si="3"/>
        <v>53.056528830822288</v>
      </c>
      <c r="Q9" s="32"/>
    </row>
    <row r="10" spans="1:17" ht="16.5" x14ac:dyDescent="0.3">
      <c r="A10" s="17" t="s">
        <v>43</v>
      </c>
      <c r="C10" s="42">
        <f t="shared" ref="C10:H10" si="5">C32</f>
        <v>1</v>
      </c>
      <c r="D10" s="42">
        <f t="shared" si="5"/>
        <v>5.9</v>
      </c>
      <c r="E10" s="42">
        <f t="shared" si="5"/>
        <v>11.2</v>
      </c>
      <c r="F10" s="42">
        <f t="shared" si="5"/>
        <v>17.399999999999999</v>
      </c>
      <c r="G10" s="42">
        <f t="shared" si="5"/>
        <v>18.2</v>
      </c>
      <c r="H10" s="42">
        <f t="shared" si="5"/>
        <v>53.7</v>
      </c>
      <c r="J10" s="24" t="s">
        <v>82</v>
      </c>
      <c r="K10" s="25">
        <f>C10</f>
        <v>1</v>
      </c>
      <c r="L10" s="25">
        <f t="shared" ref="L10:O10" si="6">D10</f>
        <v>5.9</v>
      </c>
      <c r="M10" s="25">
        <f t="shared" si="6"/>
        <v>11.2</v>
      </c>
      <c r="N10" s="25">
        <f t="shared" si="6"/>
        <v>17.399999999999999</v>
      </c>
      <c r="O10" s="25">
        <f t="shared" si="6"/>
        <v>18.2</v>
      </c>
      <c r="P10" s="25">
        <f t="shared" si="3"/>
        <v>53.7</v>
      </c>
    </row>
    <row r="11" spans="1:17" ht="16.5" x14ac:dyDescent="0.3">
      <c r="A11" s="22" t="s">
        <v>33</v>
      </c>
      <c r="B11" s="22"/>
      <c r="C11" s="47">
        <f>SUM(C7:C10)</f>
        <v>11.07767543859649</v>
      </c>
      <c r="D11" s="47">
        <f t="shared" ref="D11:H11" si="7">SUM(D7:D10)</f>
        <v>39.46605263157894</v>
      </c>
      <c r="E11" s="47">
        <f t="shared" si="7"/>
        <v>73.018026315789498</v>
      </c>
      <c r="F11" s="47">
        <f t="shared" si="7"/>
        <v>112.09736842105264</v>
      </c>
      <c r="G11" s="47">
        <f t="shared" si="7"/>
        <v>115.21480263157893</v>
      </c>
      <c r="H11" s="47">
        <f t="shared" si="7"/>
        <v>350.87392543859647</v>
      </c>
      <c r="J11" s="23" t="s">
        <v>33</v>
      </c>
      <c r="K11" s="28">
        <f>SUM(K7:K10)</f>
        <v>4.0776754385964908</v>
      </c>
      <c r="L11" s="28">
        <f t="shared" ref="L11:P11" si="8">SUM(L7:L10)</f>
        <v>26.293366256257613</v>
      </c>
      <c r="M11" s="28">
        <f t="shared" si="8"/>
        <v>44.585119063726154</v>
      </c>
      <c r="N11" s="28">
        <f t="shared" si="8"/>
        <v>71.158130398072245</v>
      </c>
      <c r="O11" s="28">
        <f>SUM(O7:O10)</f>
        <v>73.393728902239971</v>
      </c>
      <c r="P11" s="28">
        <f t="shared" si="8"/>
        <v>219.50802005889244</v>
      </c>
    </row>
    <row r="12" spans="1:17" ht="16.5" x14ac:dyDescent="0.3">
      <c r="D12" s="66">
        <f t="shared" ref="D12:G13" si="9">D8/C8-1</f>
        <v>5.0000000000000009</v>
      </c>
      <c r="E12" s="66">
        <f t="shared" si="9"/>
        <v>0.90616621983914181</v>
      </c>
      <c r="F12" s="66">
        <f t="shared" si="9"/>
        <v>0.54711673699015506</v>
      </c>
      <c r="G12" s="66">
        <f t="shared" si="9"/>
        <v>2.4999999999999689E-2</v>
      </c>
    </row>
    <row r="13" spans="1:17" ht="16.5" x14ac:dyDescent="0.3">
      <c r="D13" s="66">
        <f t="shared" si="9"/>
        <v>4.9062499999999991</v>
      </c>
      <c r="E13" s="66">
        <f t="shared" si="9"/>
        <v>0.90770676691729513</v>
      </c>
      <c r="F13" s="66">
        <f>F9/E9-1</f>
        <v>0.55132963291402426</v>
      </c>
      <c r="G13" s="66">
        <f t="shared" si="9"/>
        <v>2.4999999999999911E-2</v>
      </c>
      <c r="J13" s="32"/>
      <c r="K13" s="32"/>
      <c r="L13" s="32"/>
      <c r="M13" s="32"/>
      <c r="N13" s="32"/>
      <c r="O13" s="32"/>
      <c r="P13" s="32"/>
    </row>
    <row r="14" spans="1:17" ht="16.5" x14ac:dyDescent="0.3">
      <c r="D14" s="66"/>
      <c r="E14" s="66"/>
      <c r="F14" s="66"/>
      <c r="G14" s="66"/>
      <c r="J14" s="32"/>
      <c r="K14" s="32"/>
      <c r="L14" s="32"/>
      <c r="M14" s="32"/>
      <c r="N14" s="32"/>
      <c r="O14" s="32"/>
      <c r="P14" s="32"/>
    </row>
    <row r="15" spans="1:17" ht="16.5" x14ac:dyDescent="0.3">
      <c r="D15" s="66"/>
      <c r="E15" s="66"/>
      <c r="F15" s="66"/>
      <c r="G15" s="66"/>
      <c r="J15" s="32"/>
      <c r="K15" s="32"/>
      <c r="L15" s="32"/>
      <c r="M15" s="32"/>
      <c r="N15" s="32"/>
      <c r="O15" s="32"/>
      <c r="P15" s="32"/>
    </row>
    <row r="16" spans="1:17" ht="16.5" x14ac:dyDescent="0.3">
      <c r="D16" s="66"/>
      <c r="E16" s="66"/>
      <c r="F16" s="66"/>
      <c r="G16" s="66"/>
      <c r="J16" s="32"/>
      <c r="K16" s="32"/>
      <c r="L16" s="32"/>
      <c r="M16" s="32"/>
      <c r="N16" s="32"/>
      <c r="O16" s="32"/>
      <c r="P16" s="32"/>
    </row>
    <row r="17" spans="1:16" ht="16.5" x14ac:dyDescent="0.3">
      <c r="D17" s="66"/>
      <c r="E17" s="66"/>
      <c r="F17" s="66"/>
      <c r="G17" s="66"/>
      <c r="J17" s="32"/>
      <c r="K17" s="32"/>
      <c r="L17" s="32"/>
      <c r="M17" s="32"/>
      <c r="N17" s="32"/>
      <c r="O17" s="32"/>
      <c r="P17" s="32"/>
    </row>
    <row r="18" spans="1:16" ht="16.5" x14ac:dyDescent="0.3">
      <c r="A18" s="17" t="s">
        <v>61</v>
      </c>
      <c r="J18" s="32"/>
      <c r="K18" s="32"/>
      <c r="L18" s="32"/>
      <c r="M18" s="32"/>
      <c r="N18" s="32"/>
      <c r="O18" s="32"/>
      <c r="P18" s="32"/>
    </row>
    <row r="19" spans="1:16" ht="16.5" x14ac:dyDescent="0.3">
      <c r="A19" s="48" t="s">
        <v>61</v>
      </c>
      <c r="B19" s="46" t="s">
        <v>31</v>
      </c>
      <c r="C19" s="46" t="s">
        <v>8</v>
      </c>
      <c r="D19" s="46" t="s">
        <v>9</v>
      </c>
      <c r="E19" s="46" t="s">
        <v>10</v>
      </c>
      <c r="F19" s="46" t="s">
        <v>24</v>
      </c>
      <c r="G19" s="46" t="s">
        <v>32</v>
      </c>
      <c r="H19" s="46" t="s">
        <v>33</v>
      </c>
      <c r="J19" s="23" t="s">
        <v>75</v>
      </c>
      <c r="K19" s="23" t="s">
        <v>8</v>
      </c>
      <c r="L19" s="23" t="s">
        <v>9</v>
      </c>
      <c r="M19" s="23" t="s">
        <v>10</v>
      </c>
      <c r="N19" s="23" t="s">
        <v>24</v>
      </c>
      <c r="O19" s="23" t="s">
        <v>32</v>
      </c>
      <c r="P19" s="23" t="s">
        <v>33</v>
      </c>
    </row>
    <row r="20" spans="1:16" ht="16.5" x14ac:dyDescent="0.3">
      <c r="A20" s="49" t="s">
        <v>7</v>
      </c>
      <c r="B20" s="50"/>
      <c r="C20" s="50"/>
      <c r="D20" s="50"/>
      <c r="E20" s="50"/>
      <c r="F20" s="50"/>
      <c r="G20" s="50"/>
      <c r="H20" s="50"/>
      <c r="J20" s="23" t="s">
        <v>7</v>
      </c>
      <c r="K20" s="24"/>
      <c r="L20" s="24"/>
      <c r="M20" s="24"/>
      <c r="N20" s="24"/>
      <c r="O20" s="24"/>
      <c r="P20" s="24"/>
    </row>
    <row r="21" spans="1:16" ht="16.5" hidden="1" x14ac:dyDescent="0.3">
      <c r="A21" s="50" t="s">
        <v>34</v>
      </c>
      <c r="B21" s="50"/>
      <c r="C21" s="51">
        <v>4.8</v>
      </c>
      <c r="D21" s="51">
        <v>2.2000000000000002</v>
      </c>
      <c r="E21" s="51">
        <v>2</v>
      </c>
      <c r="F21" s="51">
        <v>2</v>
      </c>
      <c r="G21" s="51">
        <v>2</v>
      </c>
      <c r="H21" s="51">
        <f>SUM(C21:G21)</f>
        <v>13</v>
      </c>
      <c r="J21" s="24" t="s">
        <v>34</v>
      </c>
      <c r="K21" s="24"/>
      <c r="L21" s="24"/>
      <c r="M21" s="24"/>
      <c r="N21" s="24"/>
      <c r="O21" s="24"/>
      <c r="P21" s="24"/>
    </row>
    <row r="22" spans="1:16" ht="16.5" x14ac:dyDescent="0.3">
      <c r="A22" s="50" t="s">
        <v>35</v>
      </c>
      <c r="B22" s="52">
        <v>6.3500000000000001E-2</v>
      </c>
      <c r="C22" s="51">
        <v>1.914162381578947</v>
      </c>
      <c r="D22" s="51">
        <v>11.484974289473683</v>
      </c>
      <c r="E22" s="51">
        <v>21.892270026315785</v>
      </c>
      <c r="F22" s="51">
        <v>33.86989736842105</v>
      </c>
      <c r="G22" s="51">
        <v>34.716644802631571</v>
      </c>
      <c r="H22" s="51">
        <f t="shared" ref="H22:H23" si="10">SUM(C22:G22)</f>
        <v>103.87794886842104</v>
      </c>
      <c r="J22" s="24" t="s">
        <v>83</v>
      </c>
      <c r="K22" s="25">
        <v>0</v>
      </c>
      <c r="L22" s="25">
        <f t="shared" ref="L22:O22" si="11">L8-L26-L29</f>
        <v>10.50389594736842</v>
      </c>
      <c r="M22" s="25">
        <f t="shared" si="11"/>
        <v>20.022171631578942</v>
      </c>
      <c r="N22" s="25">
        <f t="shared" si="11"/>
        <v>30.976636842105261</v>
      </c>
      <c r="O22" s="25">
        <f t="shared" si="11"/>
        <v>31.751052763157887</v>
      </c>
      <c r="P22" s="25">
        <f t="shared" ref="P22:P23" si="12">SUM(K22:O22)</f>
        <v>93.253757184210514</v>
      </c>
    </row>
    <row r="23" spans="1:16" ht="16.5" x14ac:dyDescent="0.3">
      <c r="A23" s="50" t="s">
        <v>36</v>
      </c>
      <c r="B23" s="53" t="s">
        <v>46</v>
      </c>
      <c r="C23" s="51">
        <v>3.2</v>
      </c>
      <c r="D23" s="51">
        <v>18.899999999999999</v>
      </c>
      <c r="E23" s="51">
        <v>10.816697368421051</v>
      </c>
      <c r="F23" s="51">
        <v>16.780263157894737</v>
      </c>
      <c r="G23" s="51">
        <v>17.199769736842104</v>
      </c>
      <c r="H23" s="51">
        <f t="shared" si="10"/>
        <v>66.896730263157892</v>
      </c>
      <c r="J23" s="24" t="s">
        <v>81</v>
      </c>
      <c r="K23" s="25">
        <v>0</v>
      </c>
      <c r="L23" s="25">
        <f>L9</f>
        <v>7.9273136246786642</v>
      </c>
      <c r="M23" s="25">
        <f>M9*'Calcs_NYS basis'!D21</f>
        <v>1.4434125964010285</v>
      </c>
      <c r="N23" s="25">
        <f>N9*'Calcs_NYS basis'!D21</f>
        <v>2.5492458755003091</v>
      </c>
      <c r="O23" s="25">
        <f>O9*'Calcs_NYS basis'!E21</f>
        <v>1.751149206013471</v>
      </c>
      <c r="P23" s="25">
        <f t="shared" si="12"/>
        <v>13.671121302593473</v>
      </c>
    </row>
    <row r="24" spans="1:16" ht="16.5" x14ac:dyDescent="0.3">
      <c r="A24" s="54" t="s">
        <v>37</v>
      </c>
      <c r="B24" s="49"/>
      <c r="C24" s="55">
        <f>SUM(C21:C23)</f>
        <v>9.9141623815789472</v>
      </c>
      <c r="D24" s="55">
        <f t="shared" ref="D24:H24" si="13">SUM(D21:D23)</f>
        <v>32.584974289473678</v>
      </c>
      <c r="E24" s="55">
        <f t="shared" si="13"/>
        <v>34.708967394736838</v>
      </c>
      <c r="F24" s="55">
        <f t="shared" si="13"/>
        <v>52.650160526315787</v>
      </c>
      <c r="G24" s="55">
        <f t="shared" si="13"/>
        <v>53.916414539473678</v>
      </c>
      <c r="H24" s="55">
        <f t="shared" si="13"/>
        <v>183.77467913157892</v>
      </c>
      <c r="J24" s="26" t="s">
        <v>37</v>
      </c>
      <c r="K24" s="27">
        <f>SUM(K21:K23)</f>
        <v>0</v>
      </c>
      <c r="L24" s="27">
        <f t="shared" ref="L24:O24" si="14">SUM(L21:L23)</f>
        <v>18.431209572047084</v>
      </c>
      <c r="M24" s="27">
        <f t="shared" si="14"/>
        <v>21.465584227979971</v>
      </c>
      <c r="N24" s="27">
        <f t="shared" si="14"/>
        <v>33.525882717605569</v>
      </c>
      <c r="O24" s="27">
        <f t="shared" si="14"/>
        <v>33.50220196917136</v>
      </c>
      <c r="P24" s="28">
        <f>SUM(K24:O24)</f>
        <v>106.92487848680398</v>
      </c>
    </row>
    <row r="25" spans="1:16" ht="16.5" x14ac:dyDescent="0.3">
      <c r="A25" s="49" t="s">
        <v>38</v>
      </c>
      <c r="B25" s="50"/>
      <c r="C25" s="50"/>
      <c r="D25" s="50"/>
      <c r="E25" s="50"/>
      <c r="F25" s="50"/>
      <c r="G25" s="50"/>
      <c r="H25" s="56"/>
      <c r="J25" s="23" t="s">
        <v>38</v>
      </c>
      <c r="K25" s="24"/>
      <c r="L25" s="24"/>
      <c r="M25" s="24"/>
      <c r="N25" s="24"/>
      <c r="O25" s="24"/>
      <c r="P25" s="29"/>
    </row>
    <row r="26" spans="1:16" ht="33" x14ac:dyDescent="0.3">
      <c r="A26" s="50" t="s">
        <v>39</v>
      </c>
      <c r="B26" s="57" t="s">
        <v>40</v>
      </c>
      <c r="C26" s="51">
        <v>0.16351305701754384</v>
      </c>
      <c r="D26" s="51">
        <v>0.98107834210526323</v>
      </c>
      <c r="E26" s="51">
        <v>1.8700983947368419</v>
      </c>
      <c r="F26" s="51">
        <v>2.8932605263157898</v>
      </c>
      <c r="G26" s="51">
        <v>2.9655920394736839</v>
      </c>
      <c r="H26" s="51">
        <f>SUM(C26:G26)</f>
        <v>8.8735423596491216</v>
      </c>
      <c r="J26" s="24" t="s">
        <v>83</v>
      </c>
      <c r="K26" s="25">
        <v>0</v>
      </c>
      <c r="L26" s="25">
        <v>0.98107834210526323</v>
      </c>
      <c r="M26" s="25">
        <v>1.8700983947368419</v>
      </c>
      <c r="N26" s="25">
        <v>2.8932605263157898</v>
      </c>
      <c r="O26" s="25">
        <v>2.9655920394736839</v>
      </c>
      <c r="P26" s="25">
        <f>SUM(K26:O26)</f>
        <v>8.7100293026315789</v>
      </c>
    </row>
    <row r="27" spans="1:16" ht="16.5" x14ac:dyDescent="0.3">
      <c r="A27" s="54" t="s">
        <v>41</v>
      </c>
      <c r="B27" s="49"/>
      <c r="C27" s="55">
        <f>SUM(C26)</f>
        <v>0.16351305701754384</v>
      </c>
      <c r="D27" s="55">
        <f t="shared" ref="D27:G27" si="15">SUM(D26)</f>
        <v>0.98107834210526323</v>
      </c>
      <c r="E27" s="55">
        <f t="shared" si="15"/>
        <v>1.8700983947368419</v>
      </c>
      <c r="F27" s="55">
        <f t="shared" si="15"/>
        <v>2.8932605263157898</v>
      </c>
      <c r="G27" s="55">
        <f t="shared" si="15"/>
        <v>2.9655920394736839</v>
      </c>
      <c r="H27" s="55">
        <f>SUM(H26)</f>
        <v>8.8735423596491216</v>
      </c>
      <c r="J27" s="26" t="s">
        <v>41</v>
      </c>
      <c r="K27" s="27">
        <f>K26</f>
        <v>0</v>
      </c>
      <c r="L27" s="27">
        <f t="shared" ref="L27:P27" si="16">L26</f>
        <v>0.98107834210526323</v>
      </c>
      <c r="M27" s="27">
        <f t="shared" si="16"/>
        <v>1.8700983947368419</v>
      </c>
      <c r="N27" s="27">
        <f t="shared" si="16"/>
        <v>2.8932605263157898</v>
      </c>
      <c r="O27" s="27">
        <f t="shared" si="16"/>
        <v>2.9655920394736839</v>
      </c>
      <c r="P27" s="27">
        <f t="shared" si="16"/>
        <v>8.7100293026315789</v>
      </c>
    </row>
    <row r="28" spans="1:16" ht="16.5" x14ac:dyDescent="0.3">
      <c r="A28" s="54"/>
      <c r="B28" s="49"/>
      <c r="C28" s="55"/>
      <c r="D28" s="55"/>
      <c r="E28" s="55"/>
      <c r="F28" s="55"/>
      <c r="G28" s="55"/>
      <c r="H28" s="55"/>
      <c r="J28" s="31" t="s">
        <v>79</v>
      </c>
      <c r="K28" s="27"/>
      <c r="L28" s="27"/>
      <c r="M28" s="27"/>
      <c r="N28" s="27"/>
      <c r="O28" s="27"/>
      <c r="P28" s="27"/>
    </row>
    <row r="29" spans="1:16" ht="16.5" x14ac:dyDescent="0.3">
      <c r="A29" s="54"/>
      <c r="B29" s="49"/>
      <c r="C29" s="55"/>
      <c r="D29" s="55"/>
      <c r="E29" s="55"/>
      <c r="F29" s="55"/>
      <c r="G29" s="55"/>
      <c r="H29" s="55"/>
      <c r="J29" s="24" t="s">
        <v>83</v>
      </c>
      <c r="K29" s="30">
        <f>K26</f>
        <v>0</v>
      </c>
      <c r="L29" s="30">
        <f t="shared" ref="L29:O29" si="17">L26</f>
        <v>0.98107834210526323</v>
      </c>
      <c r="M29" s="30">
        <f t="shared" si="17"/>
        <v>1.8700983947368419</v>
      </c>
      <c r="N29" s="30">
        <f t="shared" si="17"/>
        <v>2.8932605263157898</v>
      </c>
      <c r="O29" s="30">
        <f t="shared" si="17"/>
        <v>2.9655920394736839</v>
      </c>
      <c r="P29" s="27">
        <f>SUM(K29:O29)</f>
        <v>8.7100293026315789</v>
      </c>
    </row>
    <row r="30" spans="1:16" ht="16.5" x14ac:dyDescent="0.3">
      <c r="A30" s="54"/>
      <c r="B30" s="49"/>
      <c r="C30" s="55"/>
      <c r="D30" s="55"/>
      <c r="E30" s="55"/>
      <c r="F30" s="55"/>
      <c r="G30" s="55"/>
      <c r="H30" s="55"/>
      <c r="J30" s="26" t="s">
        <v>80</v>
      </c>
      <c r="K30" s="27">
        <f>K29</f>
        <v>0</v>
      </c>
      <c r="L30" s="27">
        <f t="shared" ref="L30:O30" si="18">L29</f>
        <v>0.98107834210526323</v>
      </c>
      <c r="M30" s="27">
        <f t="shared" si="18"/>
        <v>1.8700983947368419</v>
      </c>
      <c r="N30" s="27">
        <f t="shared" si="18"/>
        <v>2.8932605263157898</v>
      </c>
      <c r="O30" s="27">
        <f t="shared" si="18"/>
        <v>2.9655920394736839</v>
      </c>
      <c r="P30" s="27">
        <f>SUM(K30:O30)</f>
        <v>8.7100293026315789</v>
      </c>
    </row>
    <row r="31" spans="1:16" ht="16.5" x14ac:dyDescent="0.3">
      <c r="A31" s="49" t="s">
        <v>42</v>
      </c>
      <c r="B31" s="58"/>
      <c r="C31" s="50"/>
      <c r="D31" s="50"/>
      <c r="E31" s="50"/>
      <c r="F31" s="50"/>
      <c r="G31" s="50"/>
      <c r="H31" s="50"/>
      <c r="J31" s="31" t="s">
        <v>47</v>
      </c>
      <c r="K31" s="27"/>
      <c r="L31" s="27"/>
      <c r="M31" s="27"/>
      <c r="N31" s="27"/>
      <c r="O31" s="27"/>
      <c r="P31" s="27"/>
    </row>
    <row r="32" spans="1:16" ht="16.5" x14ac:dyDescent="0.3">
      <c r="A32" s="50" t="s">
        <v>43</v>
      </c>
      <c r="B32" s="59">
        <v>0.03</v>
      </c>
      <c r="C32" s="51">
        <v>1</v>
      </c>
      <c r="D32" s="51">
        <v>5.9</v>
      </c>
      <c r="E32" s="51">
        <v>11.2</v>
      </c>
      <c r="F32" s="51">
        <v>17.399999999999999</v>
      </c>
      <c r="G32" s="51">
        <v>18.2</v>
      </c>
      <c r="H32" s="60">
        <f>SUM(C32:G32)</f>
        <v>53.7</v>
      </c>
      <c r="J32" s="34" t="s">
        <v>92</v>
      </c>
      <c r="K32" s="30">
        <f>K9+K8</f>
        <v>3.0776754385964908</v>
      </c>
      <c r="L32" s="30">
        <v>0</v>
      </c>
      <c r="M32" s="30">
        <v>0</v>
      </c>
      <c r="N32" s="30">
        <v>0</v>
      </c>
      <c r="O32" s="30">
        <v>0</v>
      </c>
      <c r="P32" s="30">
        <f>SUM(K32:O32)</f>
        <v>3.0776754385964908</v>
      </c>
    </row>
    <row r="33" spans="1:16" ht="28.8" x14ac:dyDescent="0.3">
      <c r="A33" s="54" t="s">
        <v>44</v>
      </c>
      <c r="B33" s="49"/>
      <c r="C33" s="55">
        <f>C32</f>
        <v>1</v>
      </c>
      <c r="D33" s="55">
        <f t="shared" ref="D33:H33" si="19">D32</f>
        <v>5.9</v>
      </c>
      <c r="E33" s="55">
        <f t="shared" si="19"/>
        <v>11.2</v>
      </c>
      <c r="F33" s="55">
        <f t="shared" si="19"/>
        <v>17.399999999999999</v>
      </c>
      <c r="G33" s="55">
        <f t="shared" si="19"/>
        <v>18.2</v>
      </c>
      <c r="H33" s="55">
        <f t="shared" si="19"/>
        <v>53.7</v>
      </c>
      <c r="J33" s="33" t="s">
        <v>85</v>
      </c>
      <c r="K33" s="27">
        <v>0</v>
      </c>
      <c r="L33" s="27">
        <v>0</v>
      </c>
      <c r="M33" s="30">
        <f>M9*'Calcs_NYS basis'!D22</f>
        <v>5.7736503856041139</v>
      </c>
      <c r="N33" s="30">
        <f>N9*'Calcs_NYS basis'!D22</f>
        <v>10.196983502001236</v>
      </c>
      <c r="O33" s="30">
        <f>O9*'Calcs_NYS basis'!E22</f>
        <v>11.382469839087562</v>
      </c>
      <c r="P33" s="30">
        <f>SUM(M33:O33)</f>
        <v>27.353103726692915</v>
      </c>
    </row>
    <row r="34" spans="1:16" ht="28.8" x14ac:dyDescent="0.3">
      <c r="A34" s="61" t="s">
        <v>47</v>
      </c>
      <c r="B34" s="49"/>
      <c r="C34" s="55"/>
      <c r="D34" s="55"/>
      <c r="E34" s="55"/>
      <c r="F34" s="55"/>
      <c r="G34" s="55"/>
      <c r="H34" s="55"/>
      <c r="J34" s="33" t="s">
        <v>86</v>
      </c>
      <c r="K34" s="27">
        <v>0</v>
      </c>
      <c r="L34" s="27">
        <v>0</v>
      </c>
      <c r="M34" s="30">
        <f>M9*'Calcs_NYS basis'!D23</f>
        <v>2.4056876606683808</v>
      </c>
      <c r="N34" s="30">
        <f>N9*'Calcs_NYS basis'!D23</f>
        <v>4.2487431258338484</v>
      </c>
      <c r="O34" s="30">
        <f>O9*'Calcs_NYS basis'!E23</f>
        <v>4.3778730150336775</v>
      </c>
      <c r="P34" s="30">
        <f>SUM(M34:O34)</f>
        <v>11.032303801535907</v>
      </c>
    </row>
    <row r="35" spans="1:16" x14ac:dyDescent="0.3">
      <c r="A35" s="62" t="s">
        <v>48</v>
      </c>
      <c r="B35" s="53" t="s">
        <v>49</v>
      </c>
      <c r="C35" s="55">
        <v>0</v>
      </c>
      <c r="D35" s="55">
        <v>0</v>
      </c>
      <c r="E35" s="60">
        <v>19.830611842105299</v>
      </c>
      <c r="F35" s="60">
        <v>30.763815789473689</v>
      </c>
      <c r="G35" s="60">
        <v>31.532911184210526</v>
      </c>
      <c r="H35" s="60">
        <f>SUM(C35:G35)</f>
        <v>82.127338815789514</v>
      </c>
      <c r="J35" s="26" t="s">
        <v>78</v>
      </c>
      <c r="K35" s="27">
        <f>SUM(K32:K34)</f>
        <v>3.0776754385964908</v>
      </c>
      <c r="L35" s="27">
        <f t="shared" ref="L35:O35" si="20">SUM(L32:L34)</f>
        <v>0</v>
      </c>
      <c r="M35" s="27">
        <f t="shared" si="20"/>
        <v>8.1793380462724947</v>
      </c>
      <c r="N35" s="27">
        <f t="shared" si="20"/>
        <v>14.445726627835086</v>
      </c>
      <c r="O35" s="27">
        <f t="shared" si="20"/>
        <v>15.760342854121241</v>
      </c>
      <c r="P35" s="27">
        <f>SUM(P32:P34)</f>
        <v>41.463082966825311</v>
      </c>
    </row>
    <row r="36" spans="1:16" ht="28.8" x14ac:dyDescent="0.3">
      <c r="A36" s="62" t="s">
        <v>50</v>
      </c>
      <c r="B36" s="53" t="s">
        <v>51</v>
      </c>
      <c r="C36" s="55">
        <v>0</v>
      </c>
      <c r="D36" s="55">
        <v>0</v>
      </c>
      <c r="E36" s="60">
        <v>5.4083486842105257</v>
      </c>
      <c r="F36" s="60">
        <v>8.3901315789473685</v>
      </c>
      <c r="G36" s="60">
        <v>8.5998848684210518</v>
      </c>
      <c r="H36" s="60">
        <f>SUM(C36:G36)</f>
        <v>22.398365131578949</v>
      </c>
      <c r="J36" s="23" t="s">
        <v>84</v>
      </c>
      <c r="K36" s="24"/>
      <c r="L36" s="24"/>
      <c r="M36" s="24"/>
      <c r="N36" s="24"/>
      <c r="O36" s="24"/>
      <c r="P36" s="24"/>
    </row>
    <row r="37" spans="1:16" x14ac:dyDescent="0.3">
      <c r="A37" s="54" t="s">
        <v>52</v>
      </c>
      <c r="B37" s="49"/>
      <c r="C37" s="55">
        <f>SUM(C35:C36)</f>
        <v>0</v>
      </c>
      <c r="D37" s="55">
        <f t="shared" ref="D37:H37" si="21">SUM(D35:D36)</f>
        <v>0</v>
      </c>
      <c r="E37" s="55">
        <f t="shared" si="21"/>
        <v>25.238960526315825</v>
      </c>
      <c r="F37" s="55">
        <f t="shared" si="21"/>
        <v>39.153947368421058</v>
      </c>
      <c r="G37" s="55">
        <f t="shared" si="21"/>
        <v>40.132796052631576</v>
      </c>
      <c r="H37" s="55">
        <f t="shared" si="21"/>
        <v>104.52570394736847</v>
      </c>
      <c r="J37" s="34" t="s">
        <v>82</v>
      </c>
      <c r="K37" s="25">
        <v>1</v>
      </c>
      <c r="L37" s="25">
        <v>5.9</v>
      </c>
      <c r="M37" s="25">
        <v>11.2</v>
      </c>
      <c r="N37" s="25">
        <v>17.399999999999999</v>
      </c>
      <c r="O37" s="25">
        <v>18.2</v>
      </c>
      <c r="P37" s="30">
        <f>SUM(K37:O37)</f>
        <v>53.7</v>
      </c>
    </row>
    <row r="38" spans="1:16" x14ac:dyDescent="0.3">
      <c r="A38" s="54" t="s">
        <v>45</v>
      </c>
      <c r="B38" s="49"/>
      <c r="C38" s="55">
        <f>SUM(C24,C27,C33,C37)</f>
        <v>11.077675438596492</v>
      </c>
      <c r="D38" s="55">
        <f t="shared" ref="D38:H38" si="22">SUM(D24,D27,D33,D37)</f>
        <v>39.46605263157894</v>
      </c>
      <c r="E38" s="55">
        <f t="shared" si="22"/>
        <v>73.018026315789498</v>
      </c>
      <c r="F38" s="55">
        <f t="shared" si="22"/>
        <v>112.09736842105264</v>
      </c>
      <c r="G38" s="55">
        <f t="shared" si="22"/>
        <v>115.21480263157893</v>
      </c>
      <c r="H38" s="55">
        <f t="shared" si="22"/>
        <v>350.87392543859653</v>
      </c>
      <c r="J38" s="26" t="s">
        <v>77</v>
      </c>
      <c r="K38" s="27">
        <f>K37</f>
        <v>1</v>
      </c>
      <c r="L38" s="27">
        <f t="shared" ref="L38:O38" si="23">L37</f>
        <v>5.9</v>
      </c>
      <c r="M38" s="27">
        <f t="shared" si="23"/>
        <v>11.2</v>
      </c>
      <c r="N38" s="27">
        <f t="shared" si="23"/>
        <v>17.399999999999999</v>
      </c>
      <c r="O38" s="27">
        <f t="shared" si="23"/>
        <v>18.2</v>
      </c>
      <c r="P38" s="27">
        <f>P37</f>
        <v>53.7</v>
      </c>
    </row>
    <row r="39" spans="1:16" x14ac:dyDescent="0.3">
      <c r="A39" s="63"/>
      <c r="B39" s="64"/>
      <c r="C39" s="65"/>
      <c r="D39" s="65"/>
      <c r="E39" s="65"/>
      <c r="F39" s="65"/>
      <c r="G39" s="65"/>
      <c r="H39" s="65"/>
      <c r="J39" s="26" t="s">
        <v>45</v>
      </c>
      <c r="K39" s="27">
        <f>K24+K27+K38+K35+K30</f>
        <v>4.0776754385964908</v>
      </c>
      <c r="L39" s="27">
        <f t="shared" ref="L39:P39" si="24">L24+L27+L38+L35+L30</f>
        <v>26.293366256257613</v>
      </c>
      <c r="M39" s="27">
        <f>M24+M27+M38+M35+M30</f>
        <v>44.585119063726154</v>
      </c>
      <c r="N39" s="27">
        <f t="shared" si="24"/>
        <v>71.158130398072231</v>
      </c>
      <c r="O39" s="27">
        <f t="shared" si="24"/>
        <v>73.393728902239957</v>
      </c>
      <c r="P39" s="27">
        <f t="shared" si="24"/>
        <v>219.50802005889244</v>
      </c>
    </row>
    <row r="40" spans="1:16" x14ac:dyDescent="0.3">
      <c r="J40" s="17" t="s">
        <v>68</v>
      </c>
      <c r="K40" s="36">
        <f>K39-K11</f>
        <v>0</v>
      </c>
      <c r="L40" s="36">
        <f t="shared" ref="K40:O40" si="25">L39-L11</f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43">
        <f>P39-P11</f>
        <v>0</v>
      </c>
    </row>
    <row r="42" spans="1:16" x14ac:dyDescent="0.3">
      <c r="J42" s="18" t="s">
        <v>75</v>
      </c>
      <c r="K42" s="18" t="s">
        <v>8</v>
      </c>
      <c r="L42" s="18" t="s">
        <v>9</v>
      </c>
      <c r="M42" s="18" t="s">
        <v>10</v>
      </c>
      <c r="N42" s="18" t="s">
        <v>24</v>
      </c>
      <c r="O42" s="18" t="s">
        <v>32</v>
      </c>
      <c r="P42" s="22" t="s">
        <v>33</v>
      </c>
    </row>
    <row r="43" spans="1:16" x14ac:dyDescent="0.3">
      <c r="J43" s="19" t="s">
        <v>92</v>
      </c>
      <c r="K43" s="38">
        <f t="shared" ref="K43:P43" si="26">K32</f>
        <v>3.0776754385964908</v>
      </c>
      <c r="L43" s="38">
        <f t="shared" si="26"/>
        <v>0</v>
      </c>
      <c r="M43" s="38">
        <f t="shared" si="26"/>
        <v>0</v>
      </c>
      <c r="N43" s="38">
        <f t="shared" si="26"/>
        <v>0</v>
      </c>
      <c r="O43" s="38">
        <f t="shared" si="26"/>
        <v>0</v>
      </c>
      <c r="P43" s="38">
        <f t="shared" si="26"/>
        <v>3.0776754385964908</v>
      </c>
    </row>
    <row r="44" spans="1:16" x14ac:dyDescent="0.3">
      <c r="J44" s="19" t="s">
        <v>7</v>
      </c>
      <c r="K44" s="38">
        <f t="shared" ref="K44:P44" si="27">K24</f>
        <v>0</v>
      </c>
      <c r="L44" s="38">
        <f t="shared" si="27"/>
        <v>18.431209572047084</v>
      </c>
      <c r="M44" s="38">
        <f t="shared" si="27"/>
        <v>21.465584227979971</v>
      </c>
      <c r="N44" s="38">
        <f t="shared" si="27"/>
        <v>33.525882717605569</v>
      </c>
      <c r="O44" s="38">
        <f t="shared" si="27"/>
        <v>33.50220196917136</v>
      </c>
      <c r="P44" s="35">
        <f t="shared" si="27"/>
        <v>106.92487848680398</v>
      </c>
    </row>
    <row r="45" spans="1:16" x14ac:dyDescent="0.3">
      <c r="J45" s="19" t="s">
        <v>38</v>
      </c>
      <c r="K45" s="38">
        <f t="shared" ref="K45:P45" si="28">K27</f>
        <v>0</v>
      </c>
      <c r="L45" s="38">
        <f t="shared" si="28"/>
        <v>0.98107834210526323</v>
      </c>
      <c r="M45" s="38">
        <f t="shared" si="28"/>
        <v>1.8700983947368419</v>
      </c>
      <c r="N45" s="38">
        <f t="shared" si="28"/>
        <v>2.8932605263157898</v>
      </c>
      <c r="O45" s="38">
        <f t="shared" si="28"/>
        <v>2.9655920394736839</v>
      </c>
      <c r="P45" s="35">
        <f t="shared" si="28"/>
        <v>8.7100293026315789</v>
      </c>
    </row>
    <row r="46" spans="1:16" x14ac:dyDescent="0.3">
      <c r="J46" s="19" t="s">
        <v>79</v>
      </c>
      <c r="K46" s="38">
        <f t="shared" ref="K46:P46" si="29">K30</f>
        <v>0</v>
      </c>
      <c r="L46" s="38">
        <f t="shared" si="29"/>
        <v>0.98107834210526323</v>
      </c>
      <c r="M46" s="38">
        <f t="shared" si="29"/>
        <v>1.8700983947368419</v>
      </c>
      <c r="N46" s="38">
        <f t="shared" si="29"/>
        <v>2.8932605263157898</v>
      </c>
      <c r="O46" s="38">
        <f t="shared" si="29"/>
        <v>2.9655920394736839</v>
      </c>
      <c r="P46" s="35">
        <f t="shared" si="29"/>
        <v>8.7100293026315789</v>
      </c>
    </row>
    <row r="47" spans="1:16" x14ac:dyDescent="0.3">
      <c r="J47" s="19" t="s">
        <v>89</v>
      </c>
      <c r="K47" s="38">
        <f t="shared" ref="K47:P48" si="30">K33</f>
        <v>0</v>
      </c>
      <c r="L47" s="38">
        <f t="shared" si="30"/>
        <v>0</v>
      </c>
      <c r="M47" s="38">
        <f t="shared" si="30"/>
        <v>5.7736503856041139</v>
      </c>
      <c r="N47" s="38">
        <f t="shared" si="30"/>
        <v>10.196983502001236</v>
      </c>
      <c r="O47" s="38">
        <f t="shared" si="30"/>
        <v>11.382469839087562</v>
      </c>
      <c r="P47" s="35">
        <f t="shared" si="30"/>
        <v>27.353103726692915</v>
      </c>
    </row>
    <row r="48" spans="1:16" x14ac:dyDescent="0.3">
      <c r="J48" s="19" t="s">
        <v>90</v>
      </c>
      <c r="K48" s="38">
        <f t="shared" si="30"/>
        <v>0</v>
      </c>
      <c r="L48" s="38">
        <f t="shared" si="30"/>
        <v>0</v>
      </c>
      <c r="M48" s="38">
        <f t="shared" si="30"/>
        <v>2.4056876606683808</v>
      </c>
      <c r="N48" s="38">
        <f t="shared" si="30"/>
        <v>4.2487431258338484</v>
      </c>
      <c r="O48" s="38">
        <f t="shared" si="30"/>
        <v>4.3778730150336775</v>
      </c>
      <c r="P48" s="35">
        <f t="shared" si="30"/>
        <v>11.032303801535907</v>
      </c>
    </row>
    <row r="49" spans="10:16" x14ac:dyDescent="0.3">
      <c r="J49" s="39" t="s">
        <v>88</v>
      </c>
      <c r="K49" s="40">
        <f>SUM(K43:K48)</f>
        <v>3.0776754385964908</v>
      </c>
      <c r="L49" s="40">
        <f t="shared" ref="L49:O49" si="31">SUM(L43:L48)</f>
        <v>20.393366256257611</v>
      </c>
      <c r="M49" s="40">
        <f t="shared" si="31"/>
        <v>33.385119063726151</v>
      </c>
      <c r="N49" s="40">
        <f t="shared" si="31"/>
        <v>53.75813039807224</v>
      </c>
      <c r="O49" s="40">
        <f t="shared" si="31"/>
        <v>55.193728902239968</v>
      </c>
      <c r="P49" s="37">
        <f>SUM(P43:P48)</f>
        <v>165.80802005889245</v>
      </c>
    </row>
    <row r="50" spans="10:16" x14ac:dyDescent="0.3">
      <c r="J50" s="19" t="s">
        <v>87</v>
      </c>
      <c r="K50" s="38">
        <f t="shared" ref="K50:P50" si="32">K37</f>
        <v>1</v>
      </c>
      <c r="L50" s="38">
        <f t="shared" si="32"/>
        <v>5.9</v>
      </c>
      <c r="M50" s="38">
        <f t="shared" si="32"/>
        <v>11.2</v>
      </c>
      <c r="N50" s="38">
        <f t="shared" si="32"/>
        <v>17.399999999999999</v>
      </c>
      <c r="O50" s="38">
        <f t="shared" si="32"/>
        <v>18.2</v>
      </c>
      <c r="P50" s="35">
        <f t="shared" si="32"/>
        <v>53.7</v>
      </c>
    </row>
    <row r="51" spans="10:16" x14ac:dyDescent="0.3">
      <c r="J51" s="41" t="s">
        <v>91</v>
      </c>
      <c r="K51" s="40">
        <f>SUM(K49:K50)</f>
        <v>4.0776754385964908</v>
      </c>
      <c r="L51" s="40">
        <f t="shared" ref="L51:O51" si="33">SUM(L49:L50)</f>
        <v>26.293366256257613</v>
      </c>
      <c r="M51" s="40">
        <f t="shared" si="33"/>
        <v>44.585119063726154</v>
      </c>
      <c r="N51" s="40">
        <f t="shared" si="33"/>
        <v>71.158130398072245</v>
      </c>
      <c r="O51" s="40">
        <f t="shared" si="33"/>
        <v>73.393728902239971</v>
      </c>
      <c r="P51" s="37">
        <f>SUM(P49:P50)</f>
        <v>219.50802005889244</v>
      </c>
    </row>
    <row r="52" spans="10:16" x14ac:dyDescent="0.3">
      <c r="J52" s="17" t="s">
        <v>68</v>
      </c>
      <c r="K52" s="36">
        <f t="shared" ref="K52:O52" si="34">K51-K39</f>
        <v>0</v>
      </c>
      <c r="L52" s="36">
        <f t="shared" si="34"/>
        <v>0</v>
      </c>
      <c r="M52" s="36">
        <f t="shared" si="34"/>
        <v>0</v>
      </c>
      <c r="N52" s="36">
        <f t="shared" si="34"/>
        <v>0</v>
      </c>
      <c r="O52" s="36">
        <f t="shared" si="34"/>
        <v>0</v>
      </c>
      <c r="P52" s="43">
        <f>P51-P39</f>
        <v>0</v>
      </c>
    </row>
    <row r="57" spans="10:16" x14ac:dyDescent="0.3">
      <c r="J57" s="19" t="s">
        <v>109</v>
      </c>
      <c r="K57" s="19"/>
    </row>
    <row r="58" spans="10:16" x14ac:dyDescent="0.3">
      <c r="J58" s="19" t="s">
        <v>93</v>
      </c>
      <c r="K58" s="19" t="s">
        <v>99</v>
      </c>
      <c r="L58" s="17" t="s">
        <v>104</v>
      </c>
    </row>
    <row r="59" spans="10:16" x14ac:dyDescent="0.3">
      <c r="J59" s="19" t="s">
        <v>94</v>
      </c>
      <c r="K59" s="19" t="s">
        <v>100</v>
      </c>
      <c r="L59" s="17">
        <v>2</v>
      </c>
    </row>
    <row r="60" spans="10:16" x14ac:dyDescent="0.3">
      <c r="J60" s="19" t="s">
        <v>95</v>
      </c>
      <c r="K60" s="19" t="s">
        <v>101</v>
      </c>
      <c r="L60" s="35">
        <f>K9</f>
        <v>1</v>
      </c>
    </row>
    <row r="61" spans="10:16" x14ac:dyDescent="0.3">
      <c r="J61" s="19" t="s">
        <v>110</v>
      </c>
      <c r="K61" s="19" t="s">
        <v>102</v>
      </c>
      <c r="L61" s="35">
        <f>K8</f>
        <v>2.0776754385964908</v>
      </c>
    </row>
    <row r="62" spans="10:16" x14ac:dyDescent="0.3">
      <c r="J62" s="19"/>
      <c r="K62" s="19"/>
    </row>
    <row r="63" spans="10:16" x14ac:dyDescent="0.3">
      <c r="J63" s="19" t="s">
        <v>96</v>
      </c>
      <c r="K63" s="19"/>
    </row>
    <row r="64" spans="10:16" x14ac:dyDescent="0.3">
      <c r="J64" s="19" t="s">
        <v>97</v>
      </c>
      <c r="K64" s="19" t="s">
        <v>103</v>
      </c>
    </row>
    <row r="65" spans="10:11" x14ac:dyDescent="0.3">
      <c r="J65" s="19" t="s">
        <v>98</v>
      </c>
      <c r="K65" s="19" t="s">
        <v>103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E487-138B-469D-98D6-65FDE7DF9A2C}">
  <dimension ref="A1:O30"/>
  <sheetViews>
    <sheetView workbookViewId="0">
      <selection activeCell="A19" sqref="A19:F23"/>
    </sheetView>
  </sheetViews>
  <sheetFormatPr defaultRowHeight="14.4" x14ac:dyDescent="0.3"/>
  <cols>
    <col min="1" max="1" width="38.5546875" bestFit="1" customWidth="1"/>
    <col min="3" max="3" width="16.88671875" bestFit="1" customWidth="1"/>
    <col min="7" max="7" width="1.5546875" style="16" customWidth="1"/>
    <col min="8" max="8" width="30.109375" customWidth="1"/>
    <col min="9" max="11" width="9.33203125" bestFit="1" customWidth="1"/>
    <col min="12" max="12" width="9.5546875" bestFit="1" customWidth="1"/>
    <col min="13" max="13" width="14.5546875" customWidth="1"/>
    <col min="14" max="14" width="17.44140625" bestFit="1" customWidth="1"/>
  </cols>
  <sheetData>
    <row r="1" spans="1:15" x14ac:dyDescent="0.3">
      <c r="A1" s="2" t="s">
        <v>0</v>
      </c>
      <c r="H1" t="s">
        <v>1</v>
      </c>
    </row>
    <row r="2" spans="1:15" x14ac:dyDescent="0.3">
      <c r="H2" t="s">
        <v>22</v>
      </c>
    </row>
    <row r="3" spans="1:15" x14ac:dyDescent="0.3">
      <c r="H3" t="s">
        <v>26</v>
      </c>
    </row>
    <row r="5" spans="1:15" x14ac:dyDescent="0.3">
      <c r="A5" s="2" t="s">
        <v>12</v>
      </c>
      <c r="H5" s="2" t="s">
        <v>15</v>
      </c>
    </row>
    <row r="6" spans="1:15" x14ac:dyDescent="0.3">
      <c r="A6" t="s">
        <v>2</v>
      </c>
      <c r="B6">
        <v>6.2500000000000003E-3</v>
      </c>
      <c r="C6" t="s">
        <v>5</v>
      </c>
      <c r="H6" t="s">
        <v>16</v>
      </c>
      <c r="I6">
        <v>5.0000000000000001E-3</v>
      </c>
      <c r="J6" t="s">
        <v>5</v>
      </c>
    </row>
    <row r="7" spans="1:15" x14ac:dyDescent="0.3">
      <c r="A7" t="s">
        <v>3</v>
      </c>
      <c r="B7">
        <v>2.75E-2</v>
      </c>
      <c r="C7" t="s">
        <v>5</v>
      </c>
      <c r="H7" t="s">
        <v>3</v>
      </c>
      <c r="I7">
        <v>0.03</v>
      </c>
      <c r="J7" t="s">
        <v>5</v>
      </c>
    </row>
    <row r="8" spans="1:15" x14ac:dyDescent="0.3">
      <c r="A8" t="s">
        <v>4</v>
      </c>
      <c r="B8">
        <v>8.9999999999999993E-3</v>
      </c>
      <c r="C8" t="s">
        <v>5</v>
      </c>
      <c r="H8" t="s">
        <v>17</v>
      </c>
      <c r="I8">
        <v>8.0000000000000002E-3</v>
      </c>
      <c r="J8" t="s">
        <v>5</v>
      </c>
    </row>
    <row r="9" spans="1:15" ht="15" thickBot="1" x14ac:dyDescent="0.35"/>
    <row r="10" spans="1:15" x14ac:dyDescent="0.3">
      <c r="A10" s="6" t="s">
        <v>56</v>
      </c>
      <c r="B10" s="7" t="s">
        <v>8</v>
      </c>
      <c r="C10" s="7" t="s">
        <v>9</v>
      </c>
      <c r="D10" s="7" t="s">
        <v>10</v>
      </c>
      <c r="E10" s="7" t="s">
        <v>24</v>
      </c>
      <c r="F10" s="8" t="s">
        <v>32</v>
      </c>
      <c r="H10" t="s">
        <v>18</v>
      </c>
      <c r="I10" s="3">
        <v>0.09</v>
      </c>
    </row>
    <row r="11" spans="1:15" ht="15" thickBot="1" x14ac:dyDescent="0.35">
      <c r="A11" s="9" t="s">
        <v>6</v>
      </c>
      <c r="B11" s="10">
        <v>1</v>
      </c>
      <c r="C11" s="10">
        <f>$B$15*J24</f>
        <v>7.9273136246786642</v>
      </c>
      <c r="D11" s="10">
        <f>$B$15*K24</f>
        <v>9.6227506426735232</v>
      </c>
      <c r="E11" s="10">
        <f>$B$15*L24</f>
        <v>16.994972503335394</v>
      </c>
      <c r="F11" s="11">
        <f>$B$15*M24</f>
        <v>17.51149206013471</v>
      </c>
      <c r="H11" t="s">
        <v>19</v>
      </c>
      <c r="I11" s="1">
        <v>0.04</v>
      </c>
    </row>
    <row r="12" spans="1:15" x14ac:dyDescent="0.3">
      <c r="H12" t="s">
        <v>20</v>
      </c>
      <c r="I12">
        <v>600</v>
      </c>
      <c r="J12" t="s">
        <v>21</v>
      </c>
    </row>
    <row r="13" spans="1:15" x14ac:dyDescent="0.3">
      <c r="A13" t="s">
        <v>57</v>
      </c>
      <c r="B13">
        <v>3.5649999999999999</v>
      </c>
      <c r="H13" t="s">
        <v>23</v>
      </c>
    </row>
    <row r="14" spans="1:15" x14ac:dyDescent="0.3">
      <c r="A14" t="s">
        <v>58</v>
      </c>
      <c r="B14">
        <v>19.45</v>
      </c>
    </row>
    <row r="15" spans="1:15" x14ac:dyDescent="0.3">
      <c r="A15" t="s">
        <v>59</v>
      </c>
      <c r="B15">
        <f>B13/B14</f>
        <v>0.18329048843187662</v>
      </c>
    </row>
    <row r="16" spans="1:15" x14ac:dyDescent="0.3">
      <c r="B16">
        <f>B15*245</f>
        <v>44.90616966580977</v>
      </c>
      <c r="H16" s="2" t="s">
        <v>70</v>
      </c>
      <c r="I16" t="s">
        <v>8</v>
      </c>
      <c r="J16" t="s">
        <v>9</v>
      </c>
      <c r="K16" t="s">
        <v>10</v>
      </c>
      <c r="L16" t="s">
        <v>24</v>
      </c>
      <c r="M16" t="s">
        <v>32</v>
      </c>
      <c r="N16" t="s">
        <v>29</v>
      </c>
      <c r="O16" t="s">
        <v>28</v>
      </c>
    </row>
    <row r="17" spans="1:15" x14ac:dyDescent="0.3">
      <c r="H17" t="s">
        <v>67</v>
      </c>
      <c r="I17">
        <v>20</v>
      </c>
      <c r="J17">
        <v>115</v>
      </c>
      <c r="K17">
        <v>158</v>
      </c>
      <c r="L17">
        <v>245</v>
      </c>
      <c r="M17" s="14">
        <f>L17*(Summary!G12+1)</f>
        <v>251.12499999999991</v>
      </c>
      <c r="N17" t="s">
        <v>30</v>
      </c>
      <c r="O17" t="s">
        <v>64</v>
      </c>
    </row>
    <row r="18" spans="1:15" x14ac:dyDescent="0.3">
      <c r="A18" s="2" t="s">
        <v>107</v>
      </c>
      <c r="H18" t="s">
        <v>25</v>
      </c>
      <c r="I18">
        <v>6.5</v>
      </c>
      <c r="J18">
        <v>23</v>
      </c>
      <c r="K18">
        <v>38</v>
      </c>
      <c r="L18" s="15">
        <f>K18*(Summary!F12+1)</f>
        <v>58.790436005625892</v>
      </c>
      <c r="M18" s="15">
        <f>L18*(Summary!G12+1)</f>
        <v>60.26019690576652</v>
      </c>
      <c r="O18" t="s">
        <v>64</v>
      </c>
    </row>
    <row r="19" spans="1:15" x14ac:dyDescent="0.3">
      <c r="A19" s="18" t="s">
        <v>75</v>
      </c>
      <c r="B19" s="18" t="s">
        <v>8</v>
      </c>
      <c r="C19" s="18" t="s">
        <v>9</v>
      </c>
      <c r="D19" s="18" t="s">
        <v>73</v>
      </c>
      <c r="E19" s="18" t="s">
        <v>74</v>
      </c>
      <c r="F19" s="18" t="s">
        <v>11</v>
      </c>
      <c r="L19" s="44" t="s">
        <v>106</v>
      </c>
      <c r="M19" s="44"/>
      <c r="N19" s="44"/>
    </row>
    <row r="20" spans="1:15" x14ac:dyDescent="0.3">
      <c r="A20" s="19" t="s">
        <v>92</v>
      </c>
      <c r="B20" s="20">
        <v>1</v>
      </c>
      <c r="C20" s="21">
        <v>0</v>
      </c>
      <c r="D20" s="21">
        <v>0</v>
      </c>
      <c r="E20" s="21">
        <v>0</v>
      </c>
      <c r="F20" s="21">
        <v>0</v>
      </c>
      <c r="H20" s="2" t="s">
        <v>69</v>
      </c>
      <c r="J20" s="1"/>
    </row>
    <row r="21" spans="1:15" x14ac:dyDescent="0.3">
      <c r="A21" s="19" t="s">
        <v>7</v>
      </c>
      <c r="B21" s="21">
        <v>0</v>
      </c>
      <c r="C21" s="20">
        <v>1</v>
      </c>
      <c r="D21" s="20">
        <v>0.15</v>
      </c>
      <c r="E21" s="20">
        <v>0.1</v>
      </c>
      <c r="F21" s="21">
        <v>0</v>
      </c>
      <c r="H21" t="s">
        <v>53</v>
      </c>
      <c r="I21" s="5">
        <f>I18/0.04</f>
        <v>162.5</v>
      </c>
      <c r="J21" s="5">
        <f>J18/0.04</f>
        <v>575</v>
      </c>
      <c r="K21" s="5">
        <f>K18/0.04</f>
        <v>950</v>
      </c>
      <c r="L21" s="5">
        <f>L18/0.04</f>
        <v>1469.7609001406472</v>
      </c>
      <c r="M21" s="5">
        <f>M18/0.04</f>
        <v>1506.5049226441629</v>
      </c>
    </row>
    <row r="22" spans="1:15" x14ac:dyDescent="0.3">
      <c r="A22" s="19" t="s">
        <v>89</v>
      </c>
      <c r="B22" s="21">
        <v>0</v>
      </c>
      <c r="C22" s="21">
        <v>0</v>
      </c>
      <c r="D22" s="20">
        <v>0.6</v>
      </c>
      <c r="E22" s="20">
        <v>0.65</v>
      </c>
      <c r="F22" s="20">
        <v>0.75</v>
      </c>
      <c r="H22" t="s">
        <v>54</v>
      </c>
      <c r="I22" s="5">
        <v>0</v>
      </c>
      <c r="J22" s="5">
        <f>J21*0.09</f>
        <v>51.75</v>
      </c>
      <c r="K22" s="5">
        <f>K21*0.09</f>
        <v>85.5</v>
      </c>
      <c r="L22" s="5">
        <f>L21*0.09</f>
        <v>132.27848101265823</v>
      </c>
      <c r="M22" s="5">
        <f t="shared" ref="M22" si="0">M21*0.09</f>
        <v>135.58544303797464</v>
      </c>
    </row>
    <row r="23" spans="1:15" x14ac:dyDescent="0.3">
      <c r="A23" s="19" t="s">
        <v>90</v>
      </c>
      <c r="B23" s="21">
        <v>0</v>
      </c>
      <c r="C23" s="21">
        <v>0</v>
      </c>
      <c r="D23" s="20">
        <v>0.25</v>
      </c>
      <c r="E23" s="20">
        <v>0.25</v>
      </c>
      <c r="F23" s="20">
        <v>0.25</v>
      </c>
      <c r="H23" t="s">
        <v>55</v>
      </c>
      <c r="I23" s="5">
        <v>20</v>
      </c>
      <c r="J23" s="5">
        <v>20</v>
      </c>
      <c r="K23" s="5">
        <v>20</v>
      </c>
      <c r="L23" s="5">
        <v>20</v>
      </c>
      <c r="M23" s="5">
        <v>20</v>
      </c>
    </row>
    <row r="24" spans="1:15" x14ac:dyDescent="0.3">
      <c r="H24" t="s">
        <v>71</v>
      </c>
      <c r="I24" s="5">
        <f>I17-I22-I23</f>
        <v>0</v>
      </c>
      <c r="J24" s="5">
        <f>J17-J22-J23</f>
        <v>43.25</v>
      </c>
      <c r="K24" s="5">
        <f>K17-K22-K23</f>
        <v>52.5</v>
      </c>
      <c r="L24" s="5">
        <f>L17-L22-L23</f>
        <v>92.721518987341767</v>
      </c>
      <c r="M24" s="5">
        <f>M17-M22-M23</f>
        <v>95.539556962025273</v>
      </c>
    </row>
    <row r="25" spans="1:15" x14ac:dyDescent="0.3">
      <c r="H25" s="2" t="s">
        <v>33</v>
      </c>
      <c r="I25" s="13"/>
      <c r="J25" s="13">
        <f>SUM(J22:J24)</f>
        <v>115</v>
      </c>
      <c r="K25" s="13">
        <f>SUM(K22:K24)</f>
        <v>158</v>
      </c>
      <c r="L25" s="13">
        <f>SUM(L22:L24)</f>
        <v>245</v>
      </c>
      <c r="M25" s="13">
        <f>SUM(M22:M24)</f>
        <v>251.12499999999991</v>
      </c>
    </row>
    <row r="26" spans="1:15" ht="15" thickBot="1" x14ac:dyDescent="0.35">
      <c r="A26" s="2" t="s">
        <v>13</v>
      </c>
      <c r="I26" s="5"/>
      <c r="J26" s="5">
        <f>J24/SUM(J22:J24)</f>
        <v>0.37608695652173912</v>
      </c>
      <c r="K26" s="5">
        <f>K24/SUM(K22:K24)</f>
        <v>0.33227848101265822</v>
      </c>
      <c r="L26" s="5">
        <f t="shared" ref="L26:M26" si="1">L24/SUM(L22:L24)</f>
        <v>0.37845517954017049</v>
      </c>
      <c r="M26" s="5">
        <f t="shared" si="1"/>
        <v>0.38044621985873689</v>
      </c>
    </row>
    <row r="27" spans="1:15" ht="15" thickBot="1" x14ac:dyDescent="0.35">
      <c r="A27" t="s">
        <v>14</v>
      </c>
      <c r="B27" s="1">
        <v>0.03</v>
      </c>
      <c r="C27" s="12" t="s">
        <v>62</v>
      </c>
    </row>
    <row r="28" spans="1:15" x14ac:dyDescent="0.3">
      <c r="H28" t="s">
        <v>65</v>
      </c>
      <c r="I28" s="5">
        <f>I17*$B$15</f>
        <v>3.6658097686375326</v>
      </c>
      <c r="J28" s="5">
        <f>J17*$B$15</f>
        <v>21.078406169665811</v>
      </c>
      <c r="K28" s="5">
        <f>K17*$B$15</f>
        <v>28.959897172236506</v>
      </c>
      <c r="L28" s="5">
        <f>L17*$B$15</f>
        <v>44.90616966580977</v>
      </c>
      <c r="M28" s="5">
        <f>M17*$B$15</f>
        <v>46.028823907454999</v>
      </c>
    </row>
    <row r="29" spans="1:15" ht="15" thickBot="1" x14ac:dyDescent="0.35">
      <c r="H29" t="s">
        <v>66</v>
      </c>
      <c r="I29" s="5">
        <f>Summary!K11</f>
        <v>4.0776754385964908</v>
      </c>
      <c r="J29" s="5">
        <f>Summary!L11</f>
        <v>26.293366256257613</v>
      </c>
      <c r="K29" s="5">
        <f>Summary!M11</f>
        <v>44.585119063726154</v>
      </c>
      <c r="L29" s="5">
        <f>Summary!N11</f>
        <v>71.158130398072245</v>
      </c>
      <c r="M29" s="5">
        <f>Summary!O11</f>
        <v>73.393728902239971</v>
      </c>
    </row>
    <row r="30" spans="1:15" ht="15" thickBot="1" x14ac:dyDescent="0.35">
      <c r="A30" s="2" t="s">
        <v>27</v>
      </c>
      <c r="B30" s="4">
        <v>6.3500000000000001E-2</v>
      </c>
      <c r="C30" s="12" t="s">
        <v>62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92BF-C3E2-46A7-8819-0867787BCDB2}">
  <dimension ref="B7:I29"/>
  <sheetViews>
    <sheetView workbookViewId="0">
      <selection activeCell="T16" sqref="T16"/>
    </sheetView>
  </sheetViews>
  <sheetFormatPr defaultRowHeight="14.4" x14ac:dyDescent="0.3"/>
  <cols>
    <col min="1" max="1" width="8.88671875" style="104"/>
    <col min="2" max="2" width="21.77734375" style="104" customWidth="1"/>
    <col min="3" max="3" width="8.44140625" style="104" bestFit="1" customWidth="1"/>
    <col min="4" max="4" width="8.88671875" style="104"/>
    <col min="5" max="5" width="40.6640625" style="104" bestFit="1" customWidth="1"/>
    <col min="6" max="16384" width="8.88671875" style="104"/>
  </cols>
  <sheetData>
    <row r="7" spans="2:9" x14ac:dyDescent="0.3">
      <c r="B7" s="103" t="s">
        <v>7</v>
      </c>
      <c r="F7" s="109" t="s">
        <v>141</v>
      </c>
      <c r="G7" s="109" t="s">
        <v>141</v>
      </c>
      <c r="H7" s="109" t="s">
        <v>141</v>
      </c>
      <c r="I7" s="109" t="s">
        <v>141</v>
      </c>
    </row>
    <row r="8" spans="2:9" x14ac:dyDescent="0.3">
      <c r="B8" s="105" t="s">
        <v>76</v>
      </c>
      <c r="C8" s="106" t="s">
        <v>176</v>
      </c>
      <c r="D8" s="106" t="s">
        <v>177</v>
      </c>
      <c r="E8" s="107" t="s">
        <v>178</v>
      </c>
      <c r="F8" s="102">
        <v>2021</v>
      </c>
      <c r="G8" s="102">
        <v>2022</v>
      </c>
      <c r="H8" s="102">
        <v>2023</v>
      </c>
      <c r="I8" s="102">
        <v>2024</v>
      </c>
    </row>
    <row r="9" spans="2:9" x14ac:dyDescent="0.3">
      <c r="B9" s="104" t="s">
        <v>173</v>
      </c>
      <c r="C9" s="108" t="s">
        <v>180</v>
      </c>
      <c r="D9" s="108" t="s">
        <v>179</v>
      </c>
      <c r="E9" s="104" t="s">
        <v>175</v>
      </c>
      <c r="F9" s="82">
        <v>0</v>
      </c>
      <c r="G9" s="82">
        <f>Summary!K22</f>
        <v>0</v>
      </c>
      <c r="H9" s="82">
        <f>Summary!L22</f>
        <v>10.50389594736842</v>
      </c>
      <c r="I9" s="82">
        <f>Summary!M22</f>
        <v>20.022171631578942</v>
      </c>
    </row>
    <row r="10" spans="2:9" x14ac:dyDescent="0.3">
      <c r="B10" s="104" t="s">
        <v>174</v>
      </c>
      <c r="C10" s="108" t="s">
        <v>181</v>
      </c>
      <c r="D10" s="108" t="s">
        <v>179</v>
      </c>
      <c r="E10" s="104" t="s">
        <v>182</v>
      </c>
      <c r="F10" s="5">
        <v>0</v>
      </c>
      <c r="G10" s="5">
        <f>Summary!K23</f>
        <v>0</v>
      </c>
      <c r="H10" s="5">
        <f>Summary!L23</f>
        <v>7.9273136246786642</v>
      </c>
      <c r="I10" s="5">
        <f>Summary!M23</f>
        <v>1.4434125964010285</v>
      </c>
    </row>
    <row r="11" spans="2:9" x14ac:dyDescent="0.3">
      <c r="F11" s="5"/>
      <c r="G11" s="5"/>
      <c r="H11" s="5"/>
      <c r="I11" s="5"/>
    </row>
    <row r="12" spans="2:9" x14ac:dyDescent="0.3">
      <c r="F12" s="5"/>
      <c r="G12" s="5"/>
      <c r="H12" s="5"/>
      <c r="I12" s="5"/>
    </row>
    <row r="13" spans="2:9" x14ac:dyDescent="0.3">
      <c r="B13" s="103" t="s">
        <v>38</v>
      </c>
      <c r="F13" s="5"/>
      <c r="G13" s="5"/>
      <c r="H13" s="5"/>
      <c r="I13" s="5"/>
    </row>
    <row r="14" spans="2:9" x14ac:dyDescent="0.3">
      <c r="B14" s="105" t="s">
        <v>76</v>
      </c>
      <c r="C14" s="106" t="s">
        <v>176</v>
      </c>
      <c r="D14" s="106" t="s">
        <v>177</v>
      </c>
      <c r="E14" s="107" t="s">
        <v>178</v>
      </c>
      <c r="F14" s="5"/>
      <c r="G14" s="5"/>
      <c r="H14" s="5"/>
      <c r="I14" s="5"/>
    </row>
    <row r="15" spans="2:9" x14ac:dyDescent="0.3">
      <c r="B15" s="104" t="s">
        <v>173</v>
      </c>
      <c r="C15" s="108" t="s">
        <v>180</v>
      </c>
      <c r="D15" s="108" t="s">
        <v>179</v>
      </c>
      <c r="E15" s="104" t="s">
        <v>175</v>
      </c>
      <c r="F15" s="5">
        <v>0</v>
      </c>
      <c r="G15" s="5">
        <f>Summary!K26</f>
        <v>0</v>
      </c>
      <c r="H15" s="5">
        <f>Summary!L26</f>
        <v>0.98107834210526323</v>
      </c>
      <c r="I15" s="5">
        <f>Summary!M26</f>
        <v>1.8700983947368419</v>
      </c>
    </row>
    <row r="16" spans="2:9" x14ac:dyDescent="0.3">
      <c r="F16" s="5"/>
      <c r="G16" s="5"/>
      <c r="H16" s="5"/>
      <c r="I16" s="5"/>
    </row>
    <row r="17" spans="2:9" x14ac:dyDescent="0.3">
      <c r="F17" s="5"/>
      <c r="G17" s="5"/>
      <c r="H17" s="5"/>
      <c r="I17" s="5"/>
    </row>
    <row r="18" spans="2:9" x14ac:dyDescent="0.3">
      <c r="B18" s="103" t="s">
        <v>79</v>
      </c>
      <c r="F18" s="5"/>
      <c r="G18" s="5"/>
      <c r="H18" s="5"/>
      <c r="I18" s="5"/>
    </row>
    <row r="19" spans="2:9" x14ac:dyDescent="0.3">
      <c r="B19" s="105" t="s">
        <v>76</v>
      </c>
      <c r="C19" s="106" t="s">
        <v>176</v>
      </c>
      <c r="D19" s="106" t="s">
        <v>177</v>
      </c>
      <c r="E19" s="107" t="s">
        <v>178</v>
      </c>
      <c r="F19" s="5"/>
      <c r="G19" s="5"/>
      <c r="H19" s="5"/>
      <c r="I19" s="5"/>
    </row>
    <row r="20" spans="2:9" x14ac:dyDescent="0.3">
      <c r="B20" s="104" t="s">
        <v>173</v>
      </c>
      <c r="C20" s="108" t="s">
        <v>180</v>
      </c>
      <c r="D20" s="108" t="s">
        <v>179</v>
      </c>
      <c r="E20" s="104" t="s">
        <v>175</v>
      </c>
      <c r="F20" s="5">
        <v>0</v>
      </c>
      <c r="G20" s="5">
        <f>G15</f>
        <v>0</v>
      </c>
      <c r="H20" s="5">
        <f t="shared" ref="H20:I20" si="0">H15</f>
        <v>0.98107834210526323</v>
      </c>
      <c r="I20" s="5">
        <f t="shared" si="0"/>
        <v>1.8700983947368419</v>
      </c>
    </row>
    <row r="21" spans="2:9" x14ac:dyDescent="0.3">
      <c r="F21" s="5"/>
      <c r="G21" s="5"/>
      <c r="H21" s="5"/>
      <c r="I21" s="5"/>
    </row>
    <row r="22" spans="2:9" x14ac:dyDescent="0.3">
      <c r="F22" s="5"/>
      <c r="G22" s="5"/>
      <c r="H22" s="5"/>
      <c r="I22" s="5"/>
    </row>
    <row r="23" spans="2:9" x14ac:dyDescent="0.3">
      <c r="B23" s="103" t="s">
        <v>183</v>
      </c>
      <c r="F23" s="5"/>
      <c r="G23" s="5"/>
      <c r="H23" s="5"/>
      <c r="I23" s="5"/>
    </row>
    <row r="24" spans="2:9" x14ac:dyDescent="0.3">
      <c r="B24" s="105" t="s">
        <v>76</v>
      </c>
      <c r="C24" s="106" t="s">
        <v>176</v>
      </c>
      <c r="D24" s="106" t="s">
        <v>177</v>
      </c>
      <c r="E24" s="107" t="s">
        <v>178</v>
      </c>
      <c r="F24" s="5"/>
      <c r="G24" s="5"/>
      <c r="H24" s="5"/>
      <c r="I24" s="5"/>
    </row>
    <row r="25" spans="2:9" x14ac:dyDescent="0.3">
      <c r="B25" s="104" t="s">
        <v>184</v>
      </c>
      <c r="C25" s="108" t="s">
        <v>180</v>
      </c>
      <c r="D25" s="108" t="s">
        <v>179</v>
      </c>
      <c r="E25" s="104" t="s">
        <v>92</v>
      </c>
      <c r="F25" s="5">
        <v>0</v>
      </c>
      <c r="G25" s="5">
        <f>Summary!K32</f>
        <v>3.0776754385964908</v>
      </c>
      <c r="H25" s="5">
        <f>Summary!L32</f>
        <v>0</v>
      </c>
      <c r="I25" s="5">
        <f>Summary!M32</f>
        <v>0</v>
      </c>
    </row>
    <row r="26" spans="2:9" x14ac:dyDescent="0.3">
      <c r="B26" s="110" t="s">
        <v>174</v>
      </c>
      <c r="C26" s="108" t="s">
        <v>181</v>
      </c>
      <c r="D26" s="108" t="s">
        <v>179</v>
      </c>
      <c r="E26" s="104" t="s">
        <v>186</v>
      </c>
      <c r="F26" s="5">
        <v>0</v>
      </c>
      <c r="G26" s="5">
        <f>Summary!K33</f>
        <v>0</v>
      </c>
      <c r="H26" s="5">
        <f>Summary!L33</f>
        <v>0</v>
      </c>
      <c r="I26" s="5">
        <f>Summary!M33</f>
        <v>5.7736503856041139</v>
      </c>
    </row>
    <row r="27" spans="2:9" x14ac:dyDescent="0.3">
      <c r="B27" s="110" t="s">
        <v>174</v>
      </c>
      <c r="C27" s="108" t="s">
        <v>185</v>
      </c>
      <c r="D27" s="108" t="s">
        <v>179</v>
      </c>
      <c r="E27" s="104" t="s">
        <v>50</v>
      </c>
      <c r="F27" s="5">
        <v>0</v>
      </c>
      <c r="G27" s="5">
        <f>Summary!K34</f>
        <v>0</v>
      </c>
      <c r="H27" s="5">
        <f>Summary!L34</f>
        <v>0</v>
      </c>
      <c r="I27" s="5">
        <f>Summary!M34</f>
        <v>2.4056876606683808</v>
      </c>
    </row>
    <row r="29" spans="2:9" x14ac:dyDescent="0.3">
      <c r="B29" s="104" t="s">
        <v>187</v>
      </c>
      <c r="F29" s="111">
        <f>SUM(F9:F27)</f>
        <v>0</v>
      </c>
      <c r="G29" s="111">
        <f t="shared" ref="G29:I29" si="1">SUM(G9:G27)</f>
        <v>3.0776754385964908</v>
      </c>
      <c r="H29" s="111">
        <f t="shared" si="1"/>
        <v>20.393366256257611</v>
      </c>
      <c r="I29" s="111">
        <f t="shared" si="1"/>
        <v>33.385119063726151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E6F0-28AB-4F90-B8DB-576AD18A4F56}">
  <dimension ref="B3:AI50"/>
  <sheetViews>
    <sheetView topLeftCell="C1" workbookViewId="0">
      <selection activeCell="Q17" sqref="Q17"/>
    </sheetView>
  </sheetViews>
  <sheetFormatPr defaultRowHeight="14.4" x14ac:dyDescent="0.3"/>
  <cols>
    <col min="1" max="2" width="3.88671875" customWidth="1"/>
    <col min="3" max="3" width="5.88671875" customWidth="1"/>
    <col min="5" max="5" width="10.5546875" bestFit="1" customWidth="1"/>
    <col min="7" max="7" width="1.6640625" customWidth="1"/>
    <col min="9" max="9" width="10.109375" bestFit="1" customWidth="1"/>
    <col min="11" max="11" width="1.6640625" customWidth="1"/>
    <col min="13" max="13" width="11.33203125" bestFit="1" customWidth="1"/>
    <col min="14" max="14" width="11.33203125" customWidth="1"/>
    <col min="16" max="16" width="1.6640625" customWidth="1"/>
    <col min="18" max="18" width="1.6640625" customWidth="1"/>
    <col min="20" max="20" width="1.6640625" customWidth="1"/>
    <col min="22" max="22" width="1.6640625" customWidth="1"/>
    <col min="23" max="23" width="10.5546875" bestFit="1" customWidth="1"/>
    <col min="24" max="24" width="1.6640625" customWidth="1"/>
    <col min="25" max="25" width="10.88671875" bestFit="1" customWidth="1"/>
    <col min="26" max="26" width="2.6640625" customWidth="1"/>
    <col min="28" max="29" width="0" hidden="1" customWidth="1"/>
  </cols>
  <sheetData>
    <row r="3" spans="2:35" x14ac:dyDescent="0.3">
      <c r="C3" s="68" t="s">
        <v>111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2:35" x14ac:dyDescent="0.3">
      <c r="C4" s="69" t="s">
        <v>112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2:35" x14ac:dyDescent="0.3">
      <c r="C5" s="69" t="s">
        <v>113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7" spans="2:35" x14ac:dyDescent="0.3">
      <c r="D7" s="70" t="s">
        <v>7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2"/>
      <c r="S7" s="71" t="s">
        <v>114</v>
      </c>
      <c r="T7" s="2"/>
      <c r="U7" s="71" t="s">
        <v>115</v>
      </c>
      <c r="V7" s="2"/>
      <c r="W7" s="71" t="s">
        <v>116</v>
      </c>
      <c r="X7" s="72"/>
      <c r="Y7" s="71" t="s">
        <v>117</v>
      </c>
      <c r="Z7" s="69"/>
    </row>
    <row r="8" spans="2:35" x14ac:dyDescent="0.3">
      <c r="D8" s="73" t="s">
        <v>118</v>
      </c>
      <c r="E8" s="73"/>
      <c r="F8" s="73"/>
      <c r="H8" s="73" t="s">
        <v>119</v>
      </c>
      <c r="I8" s="73"/>
      <c r="J8" s="73"/>
      <c r="L8" s="74" t="s">
        <v>120</v>
      </c>
      <c r="M8" s="74"/>
      <c r="N8" s="74"/>
      <c r="O8" s="74"/>
      <c r="P8" s="69"/>
    </row>
    <row r="9" spans="2:35" x14ac:dyDescent="0.3">
      <c r="D9" s="72" t="s">
        <v>121</v>
      </c>
      <c r="E9" s="72" t="s">
        <v>122</v>
      </c>
      <c r="F9" s="72" t="s">
        <v>123</v>
      </c>
      <c r="H9" s="72" t="s">
        <v>124</v>
      </c>
      <c r="I9" s="72" t="s">
        <v>125</v>
      </c>
      <c r="J9" s="72" t="s">
        <v>126</v>
      </c>
      <c r="L9" s="72" t="s">
        <v>127</v>
      </c>
      <c r="M9" s="72" t="s">
        <v>128</v>
      </c>
      <c r="N9" s="72" t="s">
        <v>129</v>
      </c>
      <c r="O9" s="72" t="s">
        <v>130</v>
      </c>
      <c r="P9" s="69"/>
      <c r="Q9" s="72" t="s">
        <v>131</v>
      </c>
      <c r="S9" s="72" t="s">
        <v>132</v>
      </c>
      <c r="U9" s="72" t="s">
        <v>133</v>
      </c>
      <c r="W9" s="72" t="s">
        <v>134</v>
      </c>
      <c r="Y9" s="72" t="s">
        <v>135</v>
      </c>
      <c r="AA9" s="72" t="s">
        <v>136</v>
      </c>
    </row>
    <row r="10" spans="2:35" x14ac:dyDescent="0.3">
      <c r="F10" s="75" t="s">
        <v>137</v>
      </c>
      <c r="H10" s="76">
        <v>6.3500000000000001E-2</v>
      </c>
      <c r="I10" s="75" t="s">
        <v>138</v>
      </c>
      <c r="J10" s="75" t="s">
        <v>33</v>
      </c>
      <c r="K10" s="75"/>
      <c r="L10" s="69" t="s">
        <v>139</v>
      </c>
      <c r="M10" s="77" t="s">
        <v>140</v>
      </c>
      <c r="N10" s="77">
        <v>0.25</v>
      </c>
      <c r="O10" s="75" t="s">
        <v>137</v>
      </c>
      <c r="U10" s="78">
        <v>0.03</v>
      </c>
      <c r="V10" s="78"/>
      <c r="W10" s="77" t="str">
        <f>M10</f>
        <v>60-75%</v>
      </c>
      <c r="X10" s="77"/>
      <c r="Y10" s="77">
        <f>N10</f>
        <v>0.25</v>
      </c>
    </row>
    <row r="11" spans="2:35" x14ac:dyDescent="0.3">
      <c r="C11" s="75" t="s">
        <v>141</v>
      </c>
      <c r="D11" s="75" t="s">
        <v>33</v>
      </c>
      <c r="E11" s="75" t="s">
        <v>142</v>
      </c>
      <c r="F11" s="75" t="s">
        <v>37</v>
      </c>
      <c r="G11" s="75"/>
      <c r="H11" s="75" t="s">
        <v>143</v>
      </c>
      <c r="I11" s="75" t="s">
        <v>35</v>
      </c>
      <c r="J11" s="75" t="s">
        <v>144</v>
      </c>
      <c r="K11" s="75"/>
      <c r="L11" s="75" t="s">
        <v>145</v>
      </c>
      <c r="M11" s="75" t="s">
        <v>142</v>
      </c>
      <c r="N11" s="75" t="s">
        <v>146</v>
      </c>
      <c r="O11" s="75" t="s">
        <v>37</v>
      </c>
      <c r="P11" s="75"/>
      <c r="Q11" s="75" t="s">
        <v>33</v>
      </c>
      <c r="S11" s="75" t="s">
        <v>41</v>
      </c>
      <c r="U11" s="75" t="s">
        <v>147</v>
      </c>
      <c r="V11" s="75"/>
      <c r="W11" s="75" t="str">
        <f>M11</f>
        <v>Cannabis</v>
      </c>
      <c r="X11" s="75"/>
      <c r="Y11" s="75" t="str">
        <f>N11</f>
        <v>Pevention</v>
      </c>
      <c r="AA11" s="75" t="s">
        <v>148</v>
      </c>
      <c r="AB11" s="75" t="s">
        <v>115</v>
      </c>
    </row>
    <row r="12" spans="2:35" x14ac:dyDescent="0.3">
      <c r="C12" s="79" t="s">
        <v>149</v>
      </c>
      <c r="D12" s="79" t="s">
        <v>34</v>
      </c>
      <c r="E12" s="79" t="s">
        <v>150</v>
      </c>
      <c r="F12" s="79" t="s">
        <v>34</v>
      </c>
      <c r="G12" s="79"/>
      <c r="H12" s="79" t="s">
        <v>151</v>
      </c>
      <c r="I12" s="79" t="s">
        <v>152</v>
      </c>
      <c r="J12" s="79" t="s">
        <v>35</v>
      </c>
      <c r="K12" s="79"/>
      <c r="L12" s="79" t="s">
        <v>153</v>
      </c>
      <c r="M12" s="79" t="s">
        <v>150</v>
      </c>
      <c r="N12" s="79" t="s">
        <v>154</v>
      </c>
      <c r="O12" s="79" t="s">
        <v>145</v>
      </c>
      <c r="P12" s="79"/>
      <c r="Q12" s="79" t="s">
        <v>144</v>
      </c>
      <c r="S12" s="79" t="s">
        <v>155</v>
      </c>
      <c r="U12" s="79" t="s">
        <v>153</v>
      </c>
      <c r="V12" s="79"/>
      <c r="W12" s="79" t="str">
        <f>M12</f>
        <v>Equity Acct.</v>
      </c>
      <c r="X12" s="79"/>
      <c r="Y12" s="79" t="str">
        <f>N12</f>
        <v>Account</v>
      </c>
      <c r="Z12" s="79"/>
      <c r="AA12" s="79" t="s">
        <v>33</v>
      </c>
      <c r="AB12" s="79" t="s">
        <v>156</v>
      </c>
    </row>
    <row r="13" spans="2:35" x14ac:dyDescent="0.3">
      <c r="B13" s="80">
        <v>1</v>
      </c>
      <c r="C13" s="75">
        <v>2022</v>
      </c>
      <c r="D13" s="81">
        <v>29.056000000000001</v>
      </c>
      <c r="E13" s="81">
        <v>-28.25</v>
      </c>
      <c r="F13" s="81">
        <f>SUM(D13:E13)</f>
        <v>0.80600000000000094</v>
      </c>
      <c r="G13" s="81"/>
      <c r="H13" s="82">
        <f>'[1]Ebony Calculation'!H28*(1/6)</f>
        <v>2.0776754385964891</v>
      </c>
      <c r="I13" s="82">
        <v>0</v>
      </c>
      <c r="J13" s="82">
        <v>0</v>
      </c>
      <c r="K13" s="82"/>
      <c r="L13" s="82">
        <v>5.27</v>
      </c>
      <c r="M13" s="82">
        <v>0</v>
      </c>
      <c r="N13" s="82">
        <v>0</v>
      </c>
      <c r="O13" s="82">
        <v>0</v>
      </c>
      <c r="P13" s="82"/>
      <c r="Q13" s="82">
        <f>O13+J13+F13</f>
        <v>0.80600000000000094</v>
      </c>
      <c r="R13" s="82"/>
      <c r="S13" s="82">
        <v>0</v>
      </c>
      <c r="T13" s="82"/>
      <c r="U13" s="82">
        <f>'[1]Ebony Calculation'!H26*(1/6)</f>
        <v>0.98157894736842</v>
      </c>
      <c r="V13" s="82"/>
      <c r="W13" s="82">
        <f>(M13+E13)*-1</f>
        <v>28.25</v>
      </c>
      <c r="X13" s="82"/>
      <c r="Y13" s="82">
        <f>N13*-1</f>
        <v>0</v>
      </c>
      <c r="Z13" s="82"/>
      <c r="AA13" s="83">
        <f>Y13+Q13+S13+U13+W13</f>
        <v>30.03757894736842</v>
      </c>
      <c r="AB13" s="1">
        <f>U13/AA13</f>
        <v>3.2678364294550302E-2</v>
      </c>
      <c r="AC13" s="5">
        <f>AA13-U13</f>
        <v>29.056000000000001</v>
      </c>
      <c r="AE13" s="25">
        <v>0</v>
      </c>
      <c r="AF13">
        <v>7.9273136246786642</v>
      </c>
      <c r="AG13">
        <v>1.4434125964010285</v>
      </c>
      <c r="AH13">
        <v>2.5492458755003091</v>
      </c>
      <c r="AI13">
        <v>1.751149206013471</v>
      </c>
    </row>
    <row r="14" spans="2:35" x14ac:dyDescent="0.3">
      <c r="B14" s="80">
        <f>B13+1</f>
        <v>2</v>
      </c>
      <c r="C14" s="75">
        <v>2023</v>
      </c>
      <c r="D14" s="84">
        <f>2.2*0.75</f>
        <v>1.6500000000000001</v>
      </c>
      <c r="E14" s="84">
        <v>0</v>
      </c>
      <c r="F14" s="84">
        <f>SUM(D14:E14)</f>
        <v>1.6500000000000001</v>
      </c>
      <c r="G14" s="84"/>
      <c r="H14" s="5">
        <f>J14-I14</f>
        <v>11.484974289473683</v>
      </c>
      <c r="I14" s="5">
        <f>S14*-1</f>
        <v>-0.98107834210526323</v>
      </c>
      <c r="J14" s="5">
        <v>10.50389594736842</v>
      </c>
      <c r="K14" s="5"/>
      <c r="L14" s="5">
        <v>19.100000000000001</v>
      </c>
      <c r="M14" s="85">
        <v>0</v>
      </c>
      <c r="N14" s="85">
        <v>0</v>
      </c>
      <c r="O14" s="85">
        <v>7.9273136246786642</v>
      </c>
      <c r="P14" s="85"/>
      <c r="Q14" s="85">
        <f>O14+J14+F14</f>
        <v>20.081209572047083</v>
      </c>
      <c r="S14" s="5">
        <v>0.98107834210526323</v>
      </c>
      <c r="U14" s="5">
        <f>'[1]Ebony Calculation'!H26</f>
        <v>5.88947368421052</v>
      </c>
      <c r="V14" s="5"/>
      <c r="W14" s="5">
        <f>(M14+E14)*-1</f>
        <v>0</v>
      </c>
      <c r="X14" s="5"/>
      <c r="Y14" s="86">
        <f t="shared" ref="Y14" si="0">N14*-1</f>
        <v>0</v>
      </c>
      <c r="Z14" s="5"/>
      <c r="AA14" s="87">
        <f>Y14+Q14+S14+U14+W14</f>
        <v>26.951761598362864</v>
      </c>
      <c r="AB14" s="1">
        <f t="shared" ref="AB14:AB17" si="1">U14/AA14</f>
        <v>0.21851906276019692</v>
      </c>
      <c r="AC14" s="5">
        <f>AA14-U14</f>
        <v>21.062287914152343</v>
      </c>
      <c r="AE14" s="25">
        <v>0</v>
      </c>
    </row>
    <row r="15" spans="2:35" x14ac:dyDescent="0.3">
      <c r="B15" s="80">
        <f t="shared" ref="B15:B18" si="2">B14+1</f>
        <v>3</v>
      </c>
      <c r="C15" s="75">
        <v>2024</v>
      </c>
      <c r="D15" s="84">
        <f>2*0.75</f>
        <v>1.5</v>
      </c>
      <c r="E15" s="84">
        <v>0</v>
      </c>
      <c r="F15" s="84">
        <f t="shared" ref="F15:F17" si="3">SUM(D15:E15)</f>
        <v>1.5</v>
      </c>
      <c r="G15" s="84"/>
      <c r="H15" s="5">
        <f t="shared" ref="H15:H17" si="4">J15-I15</f>
        <v>21.892270026315785</v>
      </c>
      <c r="I15" s="5">
        <f t="shared" ref="I15:I17" si="5">S15*-1</f>
        <v>-1.8700983947368419</v>
      </c>
      <c r="J15" s="5">
        <v>20.022171631578942</v>
      </c>
      <c r="K15" s="5"/>
      <c r="L15" s="5">
        <v>39.4</v>
      </c>
      <c r="M15" s="85">
        <f>L15*-(I25)</f>
        <v>-23.639999999999997</v>
      </c>
      <c r="N15" s="85">
        <f>L15*-(J25)</f>
        <v>-9.85</v>
      </c>
      <c r="O15" s="85">
        <v>1.4434125964010285</v>
      </c>
      <c r="P15" s="85"/>
      <c r="Q15" s="85">
        <f>O15+J15+F15</f>
        <v>22.965584227979971</v>
      </c>
      <c r="S15" s="5">
        <v>1.8700983947368419</v>
      </c>
      <c r="U15" s="5">
        <f>'[1]Ebony Calculation'!I26</f>
        <v>11.226315789473682</v>
      </c>
      <c r="V15" s="5"/>
      <c r="W15" s="5">
        <f>(M15+E15)*-1</f>
        <v>23.639999999999997</v>
      </c>
      <c r="X15" s="5"/>
      <c r="Y15" s="86">
        <f>N15*-1</f>
        <v>9.85</v>
      </c>
      <c r="Z15" s="5"/>
      <c r="AA15" s="87">
        <f>Y15+Q15+S15+U15+W15</f>
        <v>69.551998412190486</v>
      </c>
      <c r="AB15" s="1">
        <f t="shared" si="1"/>
        <v>0.16140896086036874</v>
      </c>
      <c r="AC15" s="5">
        <f>AA15-U15-W15</f>
        <v>34.685682622716811</v>
      </c>
      <c r="AE15">
        <v>7.9273136246786642</v>
      </c>
    </row>
    <row r="16" spans="2:35" x14ac:dyDescent="0.3">
      <c r="B16" s="80">
        <f t="shared" si="2"/>
        <v>4</v>
      </c>
      <c r="C16" s="75">
        <v>2025</v>
      </c>
      <c r="D16" s="84">
        <f t="shared" ref="D16:D17" si="6">2*0.75</f>
        <v>1.5</v>
      </c>
      <c r="E16" s="84">
        <v>0</v>
      </c>
      <c r="F16" s="84">
        <f t="shared" si="3"/>
        <v>1.5</v>
      </c>
      <c r="G16" s="84"/>
      <c r="H16" s="5">
        <f t="shared" si="4"/>
        <v>33.86989736842105</v>
      </c>
      <c r="I16" s="5">
        <f t="shared" si="5"/>
        <v>-2.8932605263157898</v>
      </c>
      <c r="J16" s="5">
        <v>30.976636842105261</v>
      </c>
      <c r="K16" s="5"/>
      <c r="L16" s="5">
        <v>65.900000000000006</v>
      </c>
      <c r="M16" s="85">
        <f>L16*-(I26)</f>
        <v>-39.54</v>
      </c>
      <c r="N16" s="85">
        <f>L16*-(J26)</f>
        <v>-16.475000000000001</v>
      </c>
      <c r="O16" s="85">
        <v>2.5492458755003091</v>
      </c>
      <c r="P16" s="85"/>
      <c r="Q16" s="85">
        <f>O16+J16+F16</f>
        <v>35.025882717605569</v>
      </c>
      <c r="S16" s="5">
        <v>2.8932605263157898</v>
      </c>
      <c r="U16" s="5">
        <f>'[1]Ebony Calculation'!J26</f>
        <v>17.368421052631579</v>
      </c>
      <c r="V16" s="5"/>
      <c r="W16" s="5">
        <f>M16*-1</f>
        <v>39.54</v>
      </c>
      <c r="X16" s="5"/>
      <c r="Y16" s="86">
        <f t="shared" ref="Y16:Y17" si="7">N16*-1</f>
        <v>16.475000000000001</v>
      </c>
      <c r="Z16" s="5"/>
      <c r="AA16" s="87">
        <f t="shared" ref="AA16:AA17" si="8">Y16+Q16+S16+U16+W16</f>
        <v>111.30256429655293</v>
      </c>
      <c r="AB16" s="1">
        <f t="shared" si="1"/>
        <v>0.15604690837450438</v>
      </c>
      <c r="AC16" s="5">
        <f>AA16-U16</f>
        <v>93.934143243921355</v>
      </c>
      <c r="AE16">
        <v>1.4434125964010285</v>
      </c>
    </row>
    <row r="17" spans="2:31" ht="16.2" x14ac:dyDescent="0.45">
      <c r="B17" s="80">
        <f t="shared" si="2"/>
        <v>5</v>
      </c>
      <c r="C17" s="75">
        <v>2026</v>
      </c>
      <c r="D17" s="88">
        <f t="shared" si="6"/>
        <v>1.5</v>
      </c>
      <c r="E17" s="88">
        <v>0</v>
      </c>
      <c r="F17" s="88">
        <f t="shared" si="3"/>
        <v>1.5</v>
      </c>
      <c r="G17" s="88"/>
      <c r="H17" s="89">
        <f t="shared" si="4"/>
        <v>34.716644802631571</v>
      </c>
      <c r="I17" s="89">
        <f t="shared" si="5"/>
        <v>-2.9655920394736839</v>
      </c>
      <c r="J17" s="89">
        <v>31.751052763157887</v>
      </c>
      <c r="K17" s="89"/>
      <c r="L17" s="89">
        <v>71.099999999999994</v>
      </c>
      <c r="M17" s="90">
        <f>L17*-(I27)</f>
        <v>-42.66</v>
      </c>
      <c r="N17" s="90">
        <f>L17*-(J27)</f>
        <v>-17.774999999999999</v>
      </c>
      <c r="O17" s="90">
        <v>1.751149206013471</v>
      </c>
      <c r="P17" s="90"/>
      <c r="Q17" s="90">
        <f t="shared" ref="Q17" si="9">O17+J17+F17</f>
        <v>35.00220196917136</v>
      </c>
      <c r="R17" s="91"/>
      <c r="S17" s="89">
        <v>2.9655920394736839</v>
      </c>
      <c r="T17" s="91"/>
      <c r="U17" s="89">
        <f>'[1]Ebony Calculation'!K26</f>
        <v>17.802631578947366</v>
      </c>
      <c r="V17" s="89"/>
      <c r="W17" s="89">
        <f>M17*-1</f>
        <v>42.66</v>
      </c>
      <c r="X17" s="89"/>
      <c r="Y17" s="89">
        <f t="shared" si="7"/>
        <v>17.774999999999999</v>
      </c>
      <c r="Z17" s="89"/>
      <c r="AA17" s="92">
        <f t="shared" si="8"/>
        <v>116.2054255875924</v>
      </c>
      <c r="AB17" s="1">
        <f t="shared" si="1"/>
        <v>0.15319965904284083</v>
      </c>
      <c r="AC17" s="5">
        <f>AA17-U17</f>
        <v>98.402794008645031</v>
      </c>
      <c r="AE17">
        <v>2.5492458755003091</v>
      </c>
    </row>
    <row r="18" spans="2:31" x14ac:dyDescent="0.3">
      <c r="B18" s="80">
        <f t="shared" si="2"/>
        <v>6</v>
      </c>
      <c r="C18" s="75" t="s">
        <v>33</v>
      </c>
      <c r="D18" s="81">
        <f>SUM(D13:D17)</f>
        <v>35.206000000000003</v>
      </c>
      <c r="E18" s="81">
        <f>SUM(E13:E17)</f>
        <v>-28.25</v>
      </c>
      <c r="F18" s="81">
        <f>SUM(F13:F17)</f>
        <v>6.9560000000000013</v>
      </c>
      <c r="G18" s="81"/>
      <c r="H18" s="81">
        <f>SUM(H13:H17)</f>
        <v>104.04146192543857</v>
      </c>
      <c r="I18" s="81">
        <f>SUM(I13:I17)</f>
        <v>-8.7100293026315789</v>
      </c>
      <c r="J18" s="81">
        <f>SUM(J13:J17)</f>
        <v>93.253757184210514</v>
      </c>
      <c r="K18" s="82"/>
      <c r="L18" s="81">
        <f>SUM(L13:L17)</f>
        <v>200.77</v>
      </c>
      <c r="M18" s="81">
        <f>SUM(M13:M17)</f>
        <v>-105.83999999999999</v>
      </c>
      <c r="N18" s="81">
        <f>SUM(N13:N17)</f>
        <v>-44.1</v>
      </c>
      <c r="O18" s="81">
        <f>SUM(O13:O17)</f>
        <v>13.671121302593473</v>
      </c>
      <c r="P18" s="82"/>
      <c r="Q18" s="81">
        <f>SUM(Q13:Q17)</f>
        <v>113.88087848680399</v>
      </c>
      <c r="R18" s="82"/>
      <c r="S18" s="81">
        <f>SUM(S13:S17)</f>
        <v>8.7100293026315789</v>
      </c>
      <c r="T18" s="82"/>
      <c r="U18" s="81">
        <f>SUM(U13:U17)</f>
        <v>53.268421052631567</v>
      </c>
      <c r="V18" s="82"/>
      <c r="W18" s="81">
        <f>SUM(W13:W17)</f>
        <v>134.09</v>
      </c>
      <c r="X18" s="82"/>
      <c r="Y18" s="81">
        <f>SUM(Y13:Y17)</f>
        <v>44.1</v>
      </c>
      <c r="Z18" s="82"/>
      <c r="AA18" s="93">
        <f>SUM(AA13:AA17)</f>
        <v>354.0493288420671</v>
      </c>
      <c r="AE18">
        <v>1.751149206013471</v>
      </c>
    </row>
    <row r="20" spans="2:31" x14ac:dyDescent="0.3">
      <c r="D20" s="94" t="s">
        <v>157</v>
      </c>
      <c r="E20" s="94"/>
      <c r="F20" s="94"/>
      <c r="G20" s="94"/>
      <c r="H20" s="94" t="s">
        <v>158</v>
      </c>
    </row>
    <row r="21" spans="2:31" x14ac:dyDescent="0.3">
      <c r="D21" t="s">
        <v>159</v>
      </c>
      <c r="E21" s="95">
        <f>S18+Q18</f>
        <v>122.59090778943558</v>
      </c>
      <c r="F21" s="1">
        <f>E21/$AA$18</f>
        <v>0.34625374997990871</v>
      </c>
      <c r="I21" s="75" t="s">
        <v>116</v>
      </c>
      <c r="J21" s="75" t="s">
        <v>160</v>
      </c>
      <c r="M21" s="1"/>
      <c r="Q21" s="96"/>
    </row>
    <row r="22" spans="2:31" x14ac:dyDescent="0.3">
      <c r="D22" t="s">
        <v>116</v>
      </c>
      <c r="E22" s="5">
        <f>W18</f>
        <v>134.09</v>
      </c>
      <c r="F22" s="1">
        <f>E22/$AA$18</f>
        <v>0.37873253548748947</v>
      </c>
      <c r="H22" s="79" t="s">
        <v>161</v>
      </c>
      <c r="I22" s="97" t="s">
        <v>154</v>
      </c>
      <c r="J22" s="79" t="s">
        <v>154</v>
      </c>
      <c r="M22" s="98"/>
      <c r="Q22" s="96"/>
    </row>
    <row r="23" spans="2:31" x14ac:dyDescent="0.3">
      <c r="D23" t="s">
        <v>162</v>
      </c>
      <c r="E23" s="5">
        <f>Y18</f>
        <v>44.1</v>
      </c>
      <c r="F23" s="1">
        <f>E23/$AA$18</f>
        <v>0.12455891427398229</v>
      </c>
      <c r="H23" s="75">
        <v>2022</v>
      </c>
      <c r="I23" s="99">
        <v>0</v>
      </c>
      <c r="J23" s="99">
        <v>0</v>
      </c>
      <c r="M23" s="98"/>
      <c r="Q23" s="96"/>
    </row>
    <row r="24" spans="2:31" ht="16.2" x14ac:dyDescent="0.45">
      <c r="D24" t="s">
        <v>115</v>
      </c>
      <c r="E24" s="89">
        <f>U18</f>
        <v>53.268421052631567</v>
      </c>
      <c r="F24" s="100">
        <f>E24/$AA$18</f>
        <v>0.15045480025861971</v>
      </c>
      <c r="H24" s="75">
        <v>2023</v>
      </c>
      <c r="I24" s="99">
        <v>0</v>
      </c>
      <c r="J24" s="99">
        <v>0</v>
      </c>
      <c r="M24" s="98"/>
      <c r="Q24" s="96"/>
    </row>
    <row r="25" spans="2:31" x14ac:dyDescent="0.3">
      <c r="D25" t="s">
        <v>33</v>
      </c>
      <c r="E25" s="95">
        <f>SUM(E21:E24)</f>
        <v>354.04932884206721</v>
      </c>
      <c r="F25" s="1">
        <f>E25/$AA$18</f>
        <v>1.0000000000000002</v>
      </c>
      <c r="H25" s="75">
        <v>2024</v>
      </c>
      <c r="I25" s="101">
        <v>0.6</v>
      </c>
      <c r="J25" s="101">
        <v>0.25</v>
      </c>
      <c r="M25" s="98"/>
    </row>
    <row r="26" spans="2:31" x14ac:dyDescent="0.3">
      <c r="H26" s="75">
        <v>2025</v>
      </c>
      <c r="I26" s="101">
        <v>0.6</v>
      </c>
      <c r="J26" s="101">
        <v>0.25</v>
      </c>
    </row>
    <row r="27" spans="2:31" x14ac:dyDescent="0.3">
      <c r="H27" s="75">
        <v>2026</v>
      </c>
      <c r="I27" s="101">
        <v>0.6</v>
      </c>
      <c r="J27" s="101">
        <v>0.25</v>
      </c>
    </row>
    <row r="28" spans="2:31" x14ac:dyDescent="0.3">
      <c r="H28" s="75">
        <v>2027</v>
      </c>
      <c r="I28" s="101">
        <v>0.65</v>
      </c>
      <c r="J28" s="101">
        <v>0.25</v>
      </c>
    </row>
    <row r="29" spans="2:31" x14ac:dyDescent="0.3">
      <c r="H29" s="75">
        <v>2028</v>
      </c>
      <c r="I29" s="101">
        <v>0.65</v>
      </c>
      <c r="J29" s="101">
        <v>0.25</v>
      </c>
    </row>
    <row r="30" spans="2:31" x14ac:dyDescent="0.3">
      <c r="H30" s="75">
        <v>2029</v>
      </c>
      <c r="I30" s="101">
        <v>0.75</v>
      </c>
      <c r="J30" s="101">
        <v>0.25</v>
      </c>
    </row>
    <row r="31" spans="2:31" x14ac:dyDescent="0.3">
      <c r="H31" s="75"/>
    </row>
    <row r="32" spans="2:31" x14ac:dyDescent="0.3">
      <c r="B32" t="s">
        <v>163</v>
      </c>
    </row>
    <row r="33" spans="2:12" x14ac:dyDescent="0.3">
      <c r="B33" s="80">
        <v>1</v>
      </c>
      <c r="C33" t="s">
        <v>164</v>
      </c>
    </row>
    <row r="34" spans="2:12" x14ac:dyDescent="0.3">
      <c r="B34" s="80">
        <f t="shared" ref="B34:B41" si="10">B33+1</f>
        <v>2</v>
      </c>
      <c r="C34" t="s">
        <v>165</v>
      </c>
    </row>
    <row r="35" spans="2:12" x14ac:dyDescent="0.3">
      <c r="B35" s="80">
        <f t="shared" si="10"/>
        <v>3</v>
      </c>
      <c r="C35" t="s">
        <v>166</v>
      </c>
    </row>
    <row r="36" spans="2:12" x14ac:dyDescent="0.3">
      <c r="B36" s="80">
        <f t="shared" si="10"/>
        <v>4</v>
      </c>
      <c r="C36" t="s">
        <v>167</v>
      </c>
    </row>
    <row r="37" spans="2:12" x14ac:dyDescent="0.3">
      <c r="B37" s="80">
        <f t="shared" si="10"/>
        <v>5</v>
      </c>
      <c r="C37" t="s">
        <v>168</v>
      </c>
    </row>
    <row r="38" spans="2:12" x14ac:dyDescent="0.3">
      <c r="B38" s="80">
        <f t="shared" si="10"/>
        <v>6</v>
      </c>
      <c r="C38" t="s">
        <v>169</v>
      </c>
    </row>
    <row r="39" spans="2:12" x14ac:dyDescent="0.3">
      <c r="B39" s="80">
        <f t="shared" si="10"/>
        <v>7</v>
      </c>
      <c r="C39" s="80" t="s">
        <v>170</v>
      </c>
    </row>
    <row r="40" spans="2:12" x14ac:dyDescent="0.3">
      <c r="B40" s="80">
        <f t="shared" si="10"/>
        <v>8</v>
      </c>
      <c r="C40" s="80" t="s">
        <v>171</v>
      </c>
    </row>
    <row r="41" spans="2:12" x14ac:dyDescent="0.3">
      <c r="B41" s="80">
        <f t="shared" si="10"/>
        <v>9</v>
      </c>
      <c r="C41" s="80" t="s">
        <v>172</v>
      </c>
    </row>
    <row r="42" spans="2:12" x14ac:dyDescent="0.3">
      <c r="C42" s="80"/>
    </row>
    <row r="43" spans="2:12" x14ac:dyDescent="0.3">
      <c r="C43" s="80"/>
    </row>
    <row r="44" spans="2:12" x14ac:dyDescent="0.3">
      <c r="C44" s="80"/>
      <c r="H44" s="96"/>
      <c r="I44" s="96"/>
      <c r="J44" s="96"/>
      <c r="L44" s="96"/>
    </row>
    <row r="45" spans="2:12" x14ac:dyDescent="0.3">
      <c r="C45" s="80"/>
      <c r="H45" s="96"/>
      <c r="I45" s="96"/>
      <c r="J45" s="96"/>
      <c r="L45" s="96"/>
    </row>
    <row r="46" spans="2:12" x14ac:dyDescent="0.3">
      <c r="C46" s="80"/>
      <c r="H46" s="5"/>
      <c r="I46" s="5"/>
    </row>
    <row r="47" spans="2:12" x14ac:dyDescent="0.3">
      <c r="C47" s="80"/>
      <c r="H47" s="98"/>
      <c r="I47" s="98"/>
    </row>
    <row r="49" spans="9:12" x14ac:dyDescent="0.3">
      <c r="I49" s="96"/>
      <c r="J49" s="96"/>
      <c r="L49" s="96"/>
    </row>
    <row r="50" spans="9:12" x14ac:dyDescent="0.3">
      <c r="I50" s="96"/>
      <c r="J50" s="96"/>
    </row>
  </sheetData>
  <conditionalFormatting sqref="B13:AA18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OPM Fiscal Note Summary</vt:lpstr>
      <vt:lpstr>Summary</vt:lpstr>
      <vt:lpstr>Calcs_NYS basis</vt:lpstr>
      <vt:lpstr>Simple Table</vt:lpstr>
      <vt:lpstr>Summary Table</vt:lpstr>
    </vt:vector>
  </TitlesOfParts>
  <Company>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Wisnieski, Evelyn</dc:creator>
  <cp:lastModifiedBy>Tassinari, Brian</cp:lastModifiedBy>
  <dcterms:created xsi:type="dcterms:W3CDTF">2021-06-01T18:55:07Z</dcterms:created>
  <dcterms:modified xsi:type="dcterms:W3CDTF">2021-08-30T22:48:13Z</dcterms:modified>
</cp:coreProperties>
</file>