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 s="1"/>
  <c r="D238" i="14"/>
  <c r="D237" i="14"/>
  <c r="D239" i="14" s="1"/>
  <c r="D230" i="14"/>
  <c r="D229" i="14"/>
  <c r="D226" i="14"/>
  <c r="D227" i="14" s="1"/>
  <c r="D223" i="14"/>
  <c r="D204" i="14"/>
  <c r="D269" i="14"/>
  <c r="D203" i="14"/>
  <c r="D267" i="14"/>
  <c r="D270" i="14" s="1"/>
  <c r="D198" i="14"/>
  <c r="D290" i="14"/>
  <c r="D191" i="14"/>
  <c r="D200" i="14" s="1"/>
  <c r="D264" i="14"/>
  <c r="D189" i="14"/>
  <c r="D262" i="14"/>
  <c r="D272" i="14" s="1"/>
  <c r="D188" i="14"/>
  <c r="D214" i="14" s="1"/>
  <c r="D180" i="14"/>
  <c r="D179" i="14"/>
  <c r="D181" i="14"/>
  <c r="D171" i="14"/>
  <c r="D172" i="14"/>
  <c r="D173" i="14" s="1"/>
  <c r="D170" i="14"/>
  <c r="D165" i="14"/>
  <c r="D164" i="14"/>
  <c r="D158" i="14"/>
  <c r="D159" i="14" s="1"/>
  <c r="D155" i="14"/>
  <c r="D145" i="14"/>
  <c r="D144" i="14"/>
  <c r="D136" i="14"/>
  <c r="D137" i="14" s="1"/>
  <c r="D207" i="14" s="1"/>
  <c r="D208" i="14" s="1"/>
  <c r="D135" i="14"/>
  <c r="D130" i="14"/>
  <c r="D129" i="14"/>
  <c r="D123" i="14"/>
  <c r="D124" i="14" s="1"/>
  <c r="D120" i="14"/>
  <c r="D110" i="14"/>
  <c r="D109" i="14"/>
  <c r="D101" i="14"/>
  <c r="D102" i="14" s="1"/>
  <c r="D103" i="14" s="1"/>
  <c r="D100" i="14"/>
  <c r="D95" i="14"/>
  <c r="D94" i="14"/>
  <c r="D88" i="14"/>
  <c r="D89" i="14" s="1"/>
  <c r="D85" i="14"/>
  <c r="D76" i="14"/>
  <c r="D77" i="14" s="1"/>
  <c r="D67" i="14"/>
  <c r="D66" i="14"/>
  <c r="D59" i="14"/>
  <c r="D60" i="14"/>
  <c r="D61" i="14" s="1"/>
  <c r="D58" i="14"/>
  <c r="D53" i="14"/>
  <c r="D52" i="14"/>
  <c r="D47" i="14"/>
  <c r="D48" i="14" s="1"/>
  <c r="D44" i="14"/>
  <c r="D36" i="14"/>
  <c r="D35" i="14"/>
  <c r="D30" i="14"/>
  <c r="D31" i="14" s="1"/>
  <c r="D32" i="14" s="1"/>
  <c r="D29" i="14"/>
  <c r="D24" i="14"/>
  <c r="D23" i="14"/>
  <c r="D20" i="14"/>
  <c r="D21" i="14" s="1"/>
  <c r="D126" i="14" s="1"/>
  <c r="D127" i="14" s="1"/>
  <c r="D17" i="14"/>
  <c r="E97" i="19"/>
  <c r="D97" i="19"/>
  <c r="C97" i="19"/>
  <c r="E96" i="19"/>
  <c r="E98" i="19" s="1"/>
  <c r="D96" i="19"/>
  <c r="C96" i="19"/>
  <c r="C98" i="19" s="1"/>
  <c r="E92" i="19"/>
  <c r="D92" i="19"/>
  <c r="C92" i="19"/>
  <c r="E91" i="19"/>
  <c r="E93" i="19" s="1"/>
  <c r="D91" i="19"/>
  <c r="C91" i="19"/>
  <c r="C93" i="19" s="1"/>
  <c r="E87" i="19"/>
  <c r="D87" i="19"/>
  <c r="C87" i="19"/>
  <c r="E86" i="19"/>
  <c r="E88" i="19" s="1"/>
  <c r="D86" i="19"/>
  <c r="C86" i="19"/>
  <c r="C88" i="19" s="1"/>
  <c r="E83" i="19"/>
  <c r="D83" i="19"/>
  <c r="C83" i="19"/>
  <c r="E76" i="19"/>
  <c r="E102" i="19" s="1"/>
  <c r="D76" i="19"/>
  <c r="C76" i="19"/>
  <c r="E75" i="19"/>
  <c r="E77" i="19" s="1"/>
  <c r="D75" i="19"/>
  <c r="D77" i="19" s="1"/>
  <c r="C75" i="19"/>
  <c r="C77" i="19" s="1"/>
  <c r="C108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23" i="19" s="1"/>
  <c r="E54" i="19" s="1"/>
  <c r="D12" i="19"/>
  <c r="D23" i="19" s="1"/>
  <c r="D46" i="19" s="1"/>
  <c r="C12" i="19"/>
  <c r="C23" i="19" s="1"/>
  <c r="D21" i="18"/>
  <c r="E21" i="18" s="1"/>
  <c r="F21" i="18" s="1"/>
  <c r="C21" i="18"/>
  <c r="D19" i="18"/>
  <c r="E19" i="18" s="1"/>
  <c r="F19" i="18" s="1"/>
  <c r="C19" i="18"/>
  <c r="F17" i="18"/>
  <c r="E17" i="18"/>
  <c r="F15" i="18"/>
  <c r="E15" i="18"/>
  <c r="D45" i="17"/>
  <c r="E45" i="17" s="1"/>
  <c r="F45" i="17" s="1"/>
  <c r="C45" i="17"/>
  <c r="D44" i="17"/>
  <c r="E44" i="17" s="1"/>
  <c r="F44" i="17" s="1"/>
  <c r="C44" i="17"/>
  <c r="D43" i="17"/>
  <c r="C43" i="17"/>
  <c r="C46" i="17" s="1"/>
  <c r="D36" i="17"/>
  <c r="D40" i="17" s="1"/>
  <c r="C36" i="17"/>
  <c r="C40" i="17" s="1"/>
  <c r="E35" i="17"/>
  <c r="F35" i="17" s="1"/>
  <c r="E34" i="17"/>
  <c r="F34" i="17" s="1"/>
  <c r="E33" i="17"/>
  <c r="F33" i="17" s="1"/>
  <c r="E30" i="17"/>
  <c r="F30" i="17" s="1"/>
  <c r="E29" i="17"/>
  <c r="F29" i="17" s="1"/>
  <c r="E28" i="17"/>
  <c r="F28" i="17" s="1"/>
  <c r="E27" i="17"/>
  <c r="F27" i="17" s="1"/>
  <c r="D25" i="17"/>
  <c r="D39" i="17"/>
  <c r="C25" i="17"/>
  <c r="E24" i="17"/>
  <c r="F24" i="17" s="1"/>
  <c r="E23" i="17"/>
  <c r="F23" i="17" s="1"/>
  <c r="E22" i="17"/>
  <c r="F22" i="17" s="1"/>
  <c r="D19" i="17"/>
  <c r="C19" i="17"/>
  <c r="C20" i="17" s="1"/>
  <c r="E18" i="17"/>
  <c r="F18" i="17" s="1"/>
  <c r="D16" i="17"/>
  <c r="C16" i="17"/>
  <c r="E15" i="17"/>
  <c r="F15" i="17" s="1"/>
  <c r="E13" i="17"/>
  <c r="F13" i="17" s="1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64" i="16"/>
  <c r="C36" i="16"/>
  <c r="C32" i="16"/>
  <c r="C33" i="16" s="1"/>
  <c r="C21" i="16"/>
  <c r="C37" i="16" s="1"/>
  <c r="E328" i="15"/>
  <c r="E325" i="15"/>
  <c r="D324" i="15"/>
  <c r="E324" i="15" s="1"/>
  <c r="C324" i="15"/>
  <c r="C326" i="15" s="1"/>
  <c r="C330" i="15" s="1"/>
  <c r="E318" i="15"/>
  <c r="E315" i="15"/>
  <c r="D314" i="15"/>
  <c r="D316" i="15" s="1"/>
  <c r="C314" i="15"/>
  <c r="C316" i="15" s="1"/>
  <c r="C320" i="15" s="1"/>
  <c r="E308" i="15"/>
  <c r="E305" i="15"/>
  <c r="D301" i="15"/>
  <c r="E301" i="15" s="1"/>
  <c r="C301" i="15"/>
  <c r="D293" i="15"/>
  <c r="C293" i="15"/>
  <c r="E293" i="15"/>
  <c r="D292" i="15"/>
  <c r="C292" i="15"/>
  <c r="D291" i="15"/>
  <c r="C291" i="15"/>
  <c r="D290" i="15"/>
  <c r="E290" i="15"/>
  <c r="C290" i="15"/>
  <c r="D288" i="15"/>
  <c r="C288" i="15"/>
  <c r="E288" i="15" s="1"/>
  <c r="D287" i="15"/>
  <c r="C287" i="15"/>
  <c r="E287" i="15" s="1"/>
  <c r="D282" i="15"/>
  <c r="C282" i="15"/>
  <c r="E282" i="15" s="1"/>
  <c r="D281" i="15"/>
  <c r="C281" i="15"/>
  <c r="E281" i="15" s="1"/>
  <c r="D280" i="15"/>
  <c r="E280" i="15" s="1"/>
  <c r="C280" i="15"/>
  <c r="D279" i="15"/>
  <c r="C279" i="15"/>
  <c r="D278" i="15"/>
  <c r="C278" i="15"/>
  <c r="D277" i="15"/>
  <c r="E277" i="15" s="1"/>
  <c r="C277" i="15"/>
  <c r="D276" i="15"/>
  <c r="C276" i="15"/>
  <c r="E270" i="15"/>
  <c r="D265" i="15"/>
  <c r="D302" i="15" s="1"/>
  <c r="C265" i="15"/>
  <c r="D262" i="15"/>
  <c r="E262" i="15" s="1"/>
  <c r="C262" i="15"/>
  <c r="D251" i="15"/>
  <c r="C251" i="15"/>
  <c r="D233" i="15"/>
  <c r="C233" i="15"/>
  <c r="D232" i="15"/>
  <c r="C232" i="15"/>
  <c r="E232" i="15"/>
  <c r="D231" i="15"/>
  <c r="C231" i="15"/>
  <c r="D230" i="15"/>
  <c r="C230" i="15"/>
  <c r="E230" i="15" s="1"/>
  <c r="D228" i="15"/>
  <c r="C228" i="15"/>
  <c r="E228" i="15" s="1"/>
  <c r="D227" i="15"/>
  <c r="E227" i="15" s="1"/>
  <c r="C227" i="15"/>
  <c r="D221" i="15"/>
  <c r="D245" i="15" s="1"/>
  <c r="C221" i="15"/>
  <c r="D220" i="15"/>
  <c r="C220" i="15"/>
  <c r="C244" i="15" s="1"/>
  <c r="D219" i="15"/>
  <c r="D243" i="15" s="1"/>
  <c r="C219" i="15"/>
  <c r="C243" i="15" s="1"/>
  <c r="D218" i="15"/>
  <c r="C218" i="15"/>
  <c r="C242" i="15" s="1"/>
  <c r="C217" i="15"/>
  <c r="D216" i="15"/>
  <c r="D240" i="15" s="1"/>
  <c r="C216" i="15"/>
  <c r="C240" i="15" s="1"/>
  <c r="D215" i="15"/>
  <c r="C215" i="15"/>
  <c r="C239" i="15" s="1"/>
  <c r="E209" i="15"/>
  <c r="E208" i="15"/>
  <c r="E207" i="15"/>
  <c r="E206" i="15"/>
  <c r="D205" i="15"/>
  <c r="D229" i="15" s="1"/>
  <c r="C205" i="15"/>
  <c r="C229" i="15" s="1"/>
  <c r="E204" i="15"/>
  <c r="E203" i="15"/>
  <c r="E197" i="15"/>
  <c r="E196" i="15"/>
  <c r="D195" i="15"/>
  <c r="C195" i="15"/>
  <c r="C260" i="15" s="1"/>
  <c r="E194" i="15"/>
  <c r="E193" i="15"/>
  <c r="E192" i="15"/>
  <c r="E191" i="15"/>
  <c r="E190" i="15"/>
  <c r="D188" i="15"/>
  <c r="C188" i="15"/>
  <c r="E186" i="15"/>
  <c r="E185" i="15"/>
  <c r="D179" i="15"/>
  <c r="C179" i="15"/>
  <c r="D178" i="15"/>
  <c r="C178" i="15"/>
  <c r="D177" i="15"/>
  <c r="E177" i="15" s="1"/>
  <c r="C177" i="15"/>
  <c r="D176" i="15"/>
  <c r="C176" i="15"/>
  <c r="D174" i="15"/>
  <c r="E174" i="15" s="1"/>
  <c r="C174" i="15"/>
  <c r="D173" i="15"/>
  <c r="C173" i="15"/>
  <c r="D167" i="15"/>
  <c r="E167" i="15" s="1"/>
  <c r="C167" i="15"/>
  <c r="D166" i="15"/>
  <c r="E166" i="15" s="1"/>
  <c r="C166" i="15"/>
  <c r="D165" i="15"/>
  <c r="E165" i="15" s="1"/>
  <c r="C165" i="15"/>
  <c r="D164" i="15"/>
  <c r="C164" i="15"/>
  <c r="E164" i="15" s="1"/>
  <c r="D162" i="15"/>
  <c r="E162" i="15" s="1"/>
  <c r="C162" i="15"/>
  <c r="D161" i="15"/>
  <c r="C161" i="15"/>
  <c r="E155" i="15"/>
  <c r="E154" i="15"/>
  <c r="E153" i="15"/>
  <c r="E152" i="15"/>
  <c r="D151" i="15"/>
  <c r="D156" i="15"/>
  <c r="C151" i="15"/>
  <c r="C156" i="15" s="1"/>
  <c r="C157" i="15" s="1"/>
  <c r="E150" i="15"/>
  <c r="E149" i="15"/>
  <c r="E143" i="15"/>
  <c r="E142" i="15"/>
  <c r="E141" i="15"/>
  <c r="E140" i="15"/>
  <c r="D139" i="15"/>
  <c r="D144" i="15" s="1"/>
  <c r="C139" i="15"/>
  <c r="C175" i="15" s="1"/>
  <c r="E138" i="15"/>
  <c r="E137" i="15"/>
  <c r="D75" i="15"/>
  <c r="C75" i="15"/>
  <c r="E75" i="15" s="1"/>
  <c r="D74" i="15"/>
  <c r="E74" i="15"/>
  <c r="C74" i="15"/>
  <c r="D73" i="15"/>
  <c r="C73" i="15"/>
  <c r="E73" i="15"/>
  <c r="D72" i="15"/>
  <c r="C72" i="15"/>
  <c r="D70" i="15"/>
  <c r="C70" i="15"/>
  <c r="D69" i="15"/>
  <c r="C69" i="15"/>
  <c r="E69" i="15" s="1"/>
  <c r="E64" i="15"/>
  <c r="E63" i="15"/>
  <c r="E62" i="15"/>
  <c r="E61" i="15"/>
  <c r="D60" i="15"/>
  <c r="D65" i="15" s="1"/>
  <c r="C60" i="15"/>
  <c r="E59" i="15"/>
  <c r="E58" i="15"/>
  <c r="D54" i="15"/>
  <c r="D55" i="15" s="1"/>
  <c r="C54" i="15"/>
  <c r="C55" i="15" s="1"/>
  <c r="E53" i="15"/>
  <c r="E52" i="15"/>
  <c r="E51" i="15"/>
  <c r="E50" i="15"/>
  <c r="E49" i="15"/>
  <c r="E48" i="15"/>
  <c r="E47" i="15"/>
  <c r="D42" i="15"/>
  <c r="C42" i="15"/>
  <c r="D41" i="15"/>
  <c r="C41" i="15"/>
  <c r="E41" i="15"/>
  <c r="D40" i="15"/>
  <c r="C40" i="15"/>
  <c r="D39" i="15"/>
  <c r="C39" i="15"/>
  <c r="D38" i="15"/>
  <c r="C38" i="15"/>
  <c r="D37" i="15"/>
  <c r="C37" i="15"/>
  <c r="D36" i="15"/>
  <c r="E36" i="15" s="1"/>
  <c r="C36" i="15"/>
  <c r="D32" i="15"/>
  <c r="D33" i="15" s="1"/>
  <c r="C32" i="15"/>
  <c r="E31" i="15"/>
  <c r="E30" i="15"/>
  <c r="E29" i="15"/>
  <c r="E28" i="15"/>
  <c r="E27" i="15"/>
  <c r="E26" i="15"/>
  <c r="E25" i="15"/>
  <c r="D21" i="15"/>
  <c r="C21" i="15"/>
  <c r="C283" i="15" s="1"/>
  <c r="E20" i="15"/>
  <c r="E19" i="15"/>
  <c r="E18" i="15"/>
  <c r="E17" i="15"/>
  <c r="E16" i="15"/>
  <c r="E15" i="15"/>
  <c r="E14" i="15"/>
  <c r="E335" i="14"/>
  <c r="F335" i="14" s="1"/>
  <c r="F334" i="14"/>
  <c r="E334" i="14"/>
  <c r="E333" i="14"/>
  <c r="F333" i="14" s="1"/>
  <c r="F332" i="14"/>
  <c r="E332" i="14"/>
  <c r="E331" i="14"/>
  <c r="F331" i="14" s="1"/>
  <c r="E330" i="14"/>
  <c r="F330" i="14"/>
  <c r="E329" i="14"/>
  <c r="F329" i="14" s="1"/>
  <c r="F316" i="14"/>
  <c r="E316" i="14"/>
  <c r="C311" i="14"/>
  <c r="E308" i="14"/>
  <c r="F308" i="14" s="1"/>
  <c r="C307" i="14"/>
  <c r="E307" i="14" s="1"/>
  <c r="C299" i="14"/>
  <c r="E299" i="14"/>
  <c r="C298" i="14"/>
  <c r="C297" i="14"/>
  <c r="C296" i="14"/>
  <c r="E296" i="14" s="1"/>
  <c r="C295" i="14"/>
  <c r="E295" i="14" s="1"/>
  <c r="C294" i="14"/>
  <c r="C250" i="14"/>
  <c r="E250" i="14" s="1"/>
  <c r="F249" i="14"/>
  <c r="E249" i="14"/>
  <c r="E248" i="14"/>
  <c r="F248" i="14" s="1"/>
  <c r="E245" i="14"/>
  <c r="F245" i="14" s="1"/>
  <c r="E244" i="14"/>
  <c r="F244" i="14" s="1"/>
  <c r="E243" i="14"/>
  <c r="F243" i="14" s="1"/>
  <c r="C238" i="14"/>
  <c r="C237" i="14"/>
  <c r="E237" i="14"/>
  <c r="E234" i="14"/>
  <c r="F234" i="14"/>
  <c r="E233" i="14"/>
  <c r="F233" i="14"/>
  <c r="C230" i="14"/>
  <c r="E230" i="14" s="1"/>
  <c r="F230" i="14" s="1"/>
  <c r="C229" i="14"/>
  <c r="E228" i="14"/>
  <c r="F228" i="14" s="1"/>
  <c r="C226" i="14"/>
  <c r="C227" i="14" s="1"/>
  <c r="E227" i="14" s="1"/>
  <c r="E225" i="14"/>
  <c r="F225" i="14" s="1"/>
  <c r="E224" i="14"/>
  <c r="F224" i="14" s="1"/>
  <c r="E223" i="14"/>
  <c r="C223" i="14"/>
  <c r="E222" i="14"/>
  <c r="F222" i="14" s="1"/>
  <c r="E221" i="14"/>
  <c r="F221" i="14" s="1"/>
  <c r="C204" i="14"/>
  <c r="C285" i="14" s="1"/>
  <c r="C203" i="14"/>
  <c r="E203" i="14" s="1"/>
  <c r="C198" i="14"/>
  <c r="C191" i="14"/>
  <c r="E191" i="14" s="1"/>
  <c r="F191" i="14" s="1"/>
  <c r="C189" i="14"/>
  <c r="E189" i="14" s="1"/>
  <c r="C188" i="14"/>
  <c r="C277" i="14" s="1"/>
  <c r="C180" i="14"/>
  <c r="E180" i="14" s="1"/>
  <c r="C179" i="14"/>
  <c r="E179" i="14" s="1"/>
  <c r="C171" i="14"/>
  <c r="C172" i="14" s="1"/>
  <c r="E172" i="14" s="1"/>
  <c r="C170" i="14"/>
  <c r="E169" i="14"/>
  <c r="F169" i="14" s="1"/>
  <c r="E168" i="14"/>
  <c r="F168" i="14" s="1"/>
  <c r="C165" i="14"/>
  <c r="E165" i="14" s="1"/>
  <c r="C164" i="14"/>
  <c r="E164" i="14" s="1"/>
  <c r="F164" i="14" s="1"/>
  <c r="E163" i="14"/>
  <c r="F163" i="14" s="1"/>
  <c r="C158" i="14"/>
  <c r="E158" i="14" s="1"/>
  <c r="E157" i="14"/>
  <c r="F157" i="14" s="1"/>
  <c r="E156" i="14"/>
  <c r="F156" i="14" s="1"/>
  <c r="C155" i="14"/>
  <c r="E154" i="14"/>
  <c r="F154" i="14" s="1"/>
  <c r="E153" i="14"/>
  <c r="F153" i="14" s="1"/>
  <c r="C145" i="14"/>
  <c r="E145" i="14" s="1"/>
  <c r="F145" i="14" s="1"/>
  <c r="C144" i="14"/>
  <c r="C136" i="14"/>
  <c r="C137" i="14" s="1"/>
  <c r="C138" i="14" s="1"/>
  <c r="C135" i="14"/>
  <c r="E135" i="14"/>
  <c r="E134" i="14"/>
  <c r="F134" i="14"/>
  <c r="E133" i="14"/>
  <c r="F133" i="14"/>
  <c r="C130" i="14"/>
  <c r="E130" i="14" s="1"/>
  <c r="F130" i="14" s="1"/>
  <c r="C129" i="14"/>
  <c r="E128" i="14"/>
  <c r="F128" i="14"/>
  <c r="C123" i="14"/>
  <c r="C124" i="14" s="1"/>
  <c r="E124" i="14" s="1"/>
  <c r="E122" i="14"/>
  <c r="F122" i="14" s="1"/>
  <c r="E121" i="14"/>
  <c r="F121" i="14" s="1"/>
  <c r="C120" i="14"/>
  <c r="E120" i="14" s="1"/>
  <c r="E119" i="14"/>
  <c r="F119" i="14"/>
  <c r="E118" i="14"/>
  <c r="F118" i="14" s="1"/>
  <c r="C110" i="14"/>
  <c r="E110" i="14" s="1"/>
  <c r="F110" i="14" s="1"/>
  <c r="C109" i="14"/>
  <c r="C101" i="14"/>
  <c r="E101" i="14" s="1"/>
  <c r="C100" i="14"/>
  <c r="E100" i="14" s="1"/>
  <c r="F100" i="14" s="1"/>
  <c r="E99" i="14"/>
  <c r="F99" i="14" s="1"/>
  <c r="F98" i="14"/>
  <c r="E98" i="14"/>
  <c r="C95" i="14"/>
  <c r="C94" i="14"/>
  <c r="E94" i="14"/>
  <c r="E93" i="14"/>
  <c r="F93" i="14"/>
  <c r="C88" i="14"/>
  <c r="E87" i="14"/>
  <c r="F87" i="14" s="1"/>
  <c r="E86" i="14"/>
  <c r="F86" i="14" s="1"/>
  <c r="C85" i="14"/>
  <c r="E85" i="14" s="1"/>
  <c r="F85" i="14" s="1"/>
  <c r="E84" i="14"/>
  <c r="F84" i="14"/>
  <c r="E83" i="14"/>
  <c r="F83" i="14"/>
  <c r="C76" i="14"/>
  <c r="F74" i="14"/>
  <c r="E74" i="14"/>
  <c r="E73" i="14"/>
  <c r="F73" i="14" s="1"/>
  <c r="C67" i="14"/>
  <c r="E67" i="14" s="1"/>
  <c r="C66" i="14"/>
  <c r="C68" i="14" s="1"/>
  <c r="C59" i="14"/>
  <c r="C60" i="14" s="1"/>
  <c r="C58" i="14"/>
  <c r="E57" i="14"/>
  <c r="F57" i="14"/>
  <c r="E56" i="14"/>
  <c r="F56" i="14"/>
  <c r="C53" i="14"/>
  <c r="E53" i="14"/>
  <c r="C52" i="14"/>
  <c r="E51" i="14"/>
  <c r="F51" i="14" s="1"/>
  <c r="C47" i="14"/>
  <c r="E47" i="14" s="1"/>
  <c r="F47" i="14" s="1"/>
  <c r="E46" i="14"/>
  <c r="F46" i="14" s="1"/>
  <c r="E45" i="14"/>
  <c r="F45" i="14" s="1"/>
  <c r="C44" i="14"/>
  <c r="E44" i="14" s="1"/>
  <c r="E43" i="14"/>
  <c r="F43" i="14" s="1"/>
  <c r="E42" i="14"/>
  <c r="F42" i="14" s="1"/>
  <c r="C36" i="14"/>
  <c r="E36" i="14" s="1"/>
  <c r="F36" i="14" s="1"/>
  <c r="C35" i="14"/>
  <c r="C31" i="14"/>
  <c r="C30" i="14"/>
  <c r="E30" i="14"/>
  <c r="F30" i="14" s="1"/>
  <c r="C29" i="14"/>
  <c r="E28" i="14"/>
  <c r="F28" i="14" s="1"/>
  <c r="E27" i="14"/>
  <c r="F27" i="14" s="1"/>
  <c r="C24" i="14"/>
  <c r="E24" i="14" s="1"/>
  <c r="C23" i="14"/>
  <c r="E22" i="14"/>
  <c r="F22" i="14" s="1"/>
  <c r="C20" i="14"/>
  <c r="E19" i="14"/>
  <c r="F19" i="14"/>
  <c r="E18" i="14"/>
  <c r="F18" i="14"/>
  <c r="C17" i="14"/>
  <c r="E17" i="14"/>
  <c r="F17" i="14" s="1"/>
  <c r="E16" i="14"/>
  <c r="F16" i="14" s="1"/>
  <c r="E15" i="14"/>
  <c r="F15" i="14" s="1"/>
  <c r="D22" i="13"/>
  <c r="E22" i="13" s="1"/>
  <c r="C22" i="13"/>
  <c r="E21" i="13"/>
  <c r="F21" i="13" s="1"/>
  <c r="D18" i="13"/>
  <c r="E18" i="13" s="1"/>
  <c r="C18" i="13"/>
  <c r="E17" i="13"/>
  <c r="F17" i="13" s="1"/>
  <c r="D14" i="13"/>
  <c r="E14" i="13" s="1"/>
  <c r="C14" i="13"/>
  <c r="E13" i="13"/>
  <c r="F13" i="13" s="1"/>
  <c r="E12" i="13"/>
  <c r="F12" i="13" s="1"/>
  <c r="D99" i="12"/>
  <c r="E99" i="12" s="1"/>
  <c r="C99" i="12"/>
  <c r="E98" i="12"/>
  <c r="F98" i="12" s="1"/>
  <c r="E97" i="12"/>
  <c r="F97" i="12" s="1"/>
  <c r="E96" i="12"/>
  <c r="F96" i="12" s="1"/>
  <c r="D92" i="12"/>
  <c r="E92" i="12" s="1"/>
  <c r="C92" i="12"/>
  <c r="E91" i="12"/>
  <c r="F91" i="12" s="1"/>
  <c r="E90" i="12"/>
  <c r="F90" i="12" s="1"/>
  <c r="E89" i="12"/>
  <c r="F89" i="12" s="1"/>
  <c r="E88" i="12"/>
  <c r="F88" i="12" s="1"/>
  <c r="E87" i="12"/>
  <c r="F87" i="12" s="1"/>
  <c r="D84" i="12"/>
  <c r="E84" i="12" s="1"/>
  <c r="F84" i="12" s="1"/>
  <c r="C84" i="12"/>
  <c r="F83" i="12"/>
  <c r="E83" i="12"/>
  <c r="F82" i="12"/>
  <c r="E82" i="12"/>
  <c r="F81" i="12"/>
  <c r="E81" i="12"/>
  <c r="E80" i="12"/>
  <c r="F80" i="12" s="1"/>
  <c r="F79" i="12"/>
  <c r="E79" i="12"/>
  <c r="D75" i="12"/>
  <c r="C75" i="12"/>
  <c r="E74" i="12"/>
  <c r="F74" i="12"/>
  <c r="E73" i="12"/>
  <c r="F73" i="12" s="1"/>
  <c r="D70" i="12"/>
  <c r="C70" i="12"/>
  <c r="E69" i="12"/>
  <c r="F69" i="12" s="1"/>
  <c r="E68" i="12"/>
  <c r="F68" i="12" s="1"/>
  <c r="D65" i="12"/>
  <c r="E65" i="12" s="1"/>
  <c r="C65" i="12"/>
  <c r="E64" i="12"/>
  <c r="F64" i="12" s="1"/>
  <c r="E63" i="12"/>
  <c r="F63" i="12" s="1"/>
  <c r="D60" i="12"/>
  <c r="C60" i="12"/>
  <c r="E59" i="12"/>
  <c r="F59" i="12" s="1"/>
  <c r="E58" i="12"/>
  <c r="F58" i="12" s="1"/>
  <c r="D55" i="12"/>
  <c r="C55" i="12"/>
  <c r="F54" i="12"/>
  <c r="E54" i="12"/>
  <c r="E53" i="12"/>
  <c r="F53" i="12" s="1"/>
  <c r="D50" i="12"/>
  <c r="E50" i="12" s="1"/>
  <c r="C50" i="12"/>
  <c r="E49" i="12"/>
  <c r="F49" i="12" s="1"/>
  <c r="E48" i="12"/>
  <c r="F48" i="12" s="1"/>
  <c r="D45" i="12"/>
  <c r="E45" i="12" s="1"/>
  <c r="C45" i="12"/>
  <c r="E44" i="12"/>
  <c r="F44" i="12" s="1"/>
  <c r="E43" i="12"/>
  <c r="F43" i="12" s="1"/>
  <c r="D37" i="12"/>
  <c r="C37" i="12"/>
  <c r="F37" i="12" s="1"/>
  <c r="F36" i="12"/>
  <c r="E36" i="12"/>
  <c r="F35" i="12"/>
  <c r="E35" i="12"/>
  <c r="F34" i="12"/>
  <c r="E34" i="12"/>
  <c r="F33" i="12"/>
  <c r="E33" i="12"/>
  <c r="D30" i="12"/>
  <c r="E30" i="12" s="1"/>
  <c r="C30" i="12"/>
  <c r="F29" i="12"/>
  <c r="E29" i="12"/>
  <c r="F28" i="12"/>
  <c r="E28" i="12"/>
  <c r="E27" i="12"/>
  <c r="F27" i="12" s="1"/>
  <c r="E26" i="12"/>
  <c r="F26" i="12" s="1"/>
  <c r="D23" i="12"/>
  <c r="C23" i="12"/>
  <c r="F22" i="12"/>
  <c r="E22" i="12"/>
  <c r="E21" i="12"/>
  <c r="F21" i="12" s="1"/>
  <c r="E20" i="12"/>
  <c r="F20" i="12" s="1"/>
  <c r="E19" i="12"/>
  <c r="F19" i="12" s="1"/>
  <c r="D16" i="12"/>
  <c r="C16" i="12"/>
  <c r="F15" i="12"/>
  <c r="E15" i="12"/>
  <c r="E14" i="12"/>
  <c r="F14" i="12" s="1"/>
  <c r="E13" i="12"/>
  <c r="F13" i="12" s="1"/>
  <c r="E12" i="12"/>
  <c r="F12" i="12" s="1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F17" i="11"/>
  <c r="F33" i="11" s="1"/>
  <c r="F36" i="11" s="1"/>
  <c r="F38" i="11" s="1"/>
  <c r="F40" i="11" s="1"/>
  <c r="E17" i="11"/>
  <c r="E33" i="11" s="1"/>
  <c r="E36" i="11" s="1"/>
  <c r="E38" i="11" s="1"/>
  <c r="D17" i="11"/>
  <c r="D33" i="11"/>
  <c r="D36" i="11" s="1"/>
  <c r="D38" i="11" s="1"/>
  <c r="C17" i="11"/>
  <c r="H17" i="11"/>
  <c r="I16" i="11"/>
  <c r="H16" i="11"/>
  <c r="I15" i="11"/>
  <c r="H15" i="11"/>
  <c r="I13" i="11"/>
  <c r="H13" i="11"/>
  <c r="I11" i="11"/>
  <c r="H11" i="11"/>
  <c r="E79" i="10"/>
  <c r="D79" i="10"/>
  <c r="C79" i="10"/>
  <c r="E78" i="10"/>
  <c r="D78" i="10"/>
  <c r="C78" i="10"/>
  <c r="C80" i="10" s="1"/>
  <c r="C77" i="10" s="1"/>
  <c r="E73" i="10"/>
  <c r="E75" i="10"/>
  <c r="D73" i="10"/>
  <c r="D75" i="10" s="1"/>
  <c r="C73" i="10"/>
  <c r="C75" i="10" s="1"/>
  <c r="E71" i="10"/>
  <c r="D71" i="10"/>
  <c r="C71" i="10"/>
  <c r="E66" i="10"/>
  <c r="E65" i="10" s="1"/>
  <c r="D66" i="10"/>
  <c r="D65" i="10" s="1"/>
  <c r="C66" i="10"/>
  <c r="C65" i="10" s="1"/>
  <c r="E60" i="10"/>
  <c r="D60" i="10"/>
  <c r="C60" i="10"/>
  <c r="E58" i="10"/>
  <c r="D58" i="10"/>
  <c r="C58" i="10"/>
  <c r="E55" i="10"/>
  <c r="D55" i="10"/>
  <c r="D50" i="10" s="1"/>
  <c r="C55" i="10"/>
  <c r="E54" i="10"/>
  <c r="D54" i="10"/>
  <c r="C54" i="10"/>
  <c r="C50" i="10" s="1"/>
  <c r="E46" i="10"/>
  <c r="E48" i="10"/>
  <c r="D46" i="10"/>
  <c r="D48" i="10" s="1"/>
  <c r="C46" i="10"/>
  <c r="C48" i="10" s="1"/>
  <c r="C42" i="10" s="1"/>
  <c r="E45" i="10"/>
  <c r="D45" i="10"/>
  <c r="C45" i="10"/>
  <c r="E38" i="10"/>
  <c r="D38" i="10"/>
  <c r="C38" i="10"/>
  <c r="E33" i="10"/>
  <c r="E34" i="10" s="1"/>
  <c r="D33" i="10"/>
  <c r="D34" i="10"/>
  <c r="E26" i="10"/>
  <c r="D26" i="10"/>
  <c r="C26" i="10"/>
  <c r="E13" i="10"/>
  <c r="E15" i="10" s="1"/>
  <c r="E24" i="10" s="1"/>
  <c r="D13" i="10"/>
  <c r="D15" i="10" s="1"/>
  <c r="C13" i="10"/>
  <c r="C15" i="10" s="1"/>
  <c r="D46" i="9"/>
  <c r="C46" i="9"/>
  <c r="F45" i="9"/>
  <c r="E45" i="9"/>
  <c r="E44" i="9"/>
  <c r="F44" i="9" s="1"/>
  <c r="D39" i="9"/>
  <c r="C39" i="9"/>
  <c r="F38" i="9"/>
  <c r="E38" i="9"/>
  <c r="F37" i="9"/>
  <c r="E37" i="9"/>
  <c r="E36" i="9"/>
  <c r="F36" i="9" s="1"/>
  <c r="D31" i="9"/>
  <c r="E31" i="9" s="1"/>
  <c r="C31" i="9"/>
  <c r="F31" i="9" s="1"/>
  <c r="F30" i="9"/>
  <c r="E30" i="9"/>
  <c r="E29" i="9"/>
  <c r="F29" i="9" s="1"/>
  <c r="E28" i="9"/>
  <c r="F28" i="9" s="1"/>
  <c r="E27" i="9"/>
  <c r="F27" i="9" s="1"/>
  <c r="E26" i="9"/>
  <c r="F26" i="9" s="1"/>
  <c r="E25" i="9"/>
  <c r="F25" i="9" s="1"/>
  <c r="E24" i="9"/>
  <c r="F24" i="9" s="1"/>
  <c r="E23" i="9"/>
  <c r="F23" i="9" s="1"/>
  <c r="F22" i="9"/>
  <c r="E22" i="9"/>
  <c r="E18" i="9"/>
  <c r="F18" i="9" s="1"/>
  <c r="E17" i="9"/>
  <c r="F17" i="9" s="1"/>
  <c r="D16" i="9"/>
  <c r="D19" i="9" s="1"/>
  <c r="C16" i="9"/>
  <c r="C19" i="9" s="1"/>
  <c r="F15" i="9"/>
  <c r="E15" i="9"/>
  <c r="E14" i="9"/>
  <c r="F14" i="9" s="1"/>
  <c r="E13" i="9"/>
  <c r="F13" i="9" s="1"/>
  <c r="E12" i="9"/>
  <c r="F12" i="9" s="1"/>
  <c r="D73" i="8"/>
  <c r="C73" i="8"/>
  <c r="E72" i="8"/>
  <c r="F72" i="8" s="1"/>
  <c r="E71" i="8"/>
  <c r="F71" i="8" s="1"/>
  <c r="E70" i="8"/>
  <c r="F70" i="8" s="1"/>
  <c r="F67" i="8"/>
  <c r="E67" i="8"/>
  <c r="E64" i="8"/>
  <c r="F64" i="8" s="1"/>
  <c r="E63" i="8"/>
  <c r="F63" i="8" s="1"/>
  <c r="D61" i="8"/>
  <c r="D65" i="8"/>
  <c r="E65" i="8" s="1"/>
  <c r="C61" i="8"/>
  <c r="C65" i="8" s="1"/>
  <c r="E60" i="8"/>
  <c r="F60" i="8" s="1"/>
  <c r="E59" i="8"/>
  <c r="F59" i="8" s="1"/>
  <c r="D56" i="8"/>
  <c r="E56" i="8" s="1"/>
  <c r="C56" i="8"/>
  <c r="E55" i="8"/>
  <c r="F55" i="8" s="1"/>
  <c r="F54" i="8"/>
  <c r="E54" i="8"/>
  <c r="E53" i="8"/>
  <c r="F53" i="8" s="1"/>
  <c r="F52" i="8"/>
  <c r="E52" i="8"/>
  <c r="E51" i="8"/>
  <c r="F51" i="8" s="1"/>
  <c r="E50" i="8"/>
  <c r="F50" i="8" s="1"/>
  <c r="A50" i="8"/>
  <c r="A51" i="8" s="1"/>
  <c r="A52" i="8" s="1"/>
  <c r="A53" i="8" s="1"/>
  <c r="A54" i="8" s="1"/>
  <c r="A55" i="8" s="1"/>
  <c r="E49" i="8"/>
  <c r="F49" i="8" s="1"/>
  <c r="C41" i="8"/>
  <c r="E40" i="8"/>
  <c r="F40" i="8" s="1"/>
  <c r="D38" i="8"/>
  <c r="D41" i="8" s="1"/>
  <c r="E41" i="8" s="1"/>
  <c r="C38" i="8"/>
  <c r="E37" i="8"/>
  <c r="F37" i="8" s="1"/>
  <c r="E36" i="8"/>
  <c r="F36" i="8" s="1"/>
  <c r="E33" i="8"/>
  <c r="F33" i="8" s="1"/>
  <c r="E32" i="8"/>
  <c r="F32" i="8" s="1"/>
  <c r="F31" i="8"/>
  <c r="E31" i="8"/>
  <c r="D29" i="8"/>
  <c r="C29" i="8"/>
  <c r="F28" i="8"/>
  <c r="E28" i="8"/>
  <c r="F27" i="8"/>
  <c r="E27" i="8"/>
  <c r="F26" i="8"/>
  <c r="E26" i="8"/>
  <c r="E25" i="8"/>
  <c r="F25" i="8" s="1"/>
  <c r="D22" i="8"/>
  <c r="E22" i="8" s="1"/>
  <c r="C22" i="8"/>
  <c r="C43" i="8" s="1"/>
  <c r="E21" i="8"/>
  <c r="F21" i="8" s="1"/>
  <c r="E20" i="8"/>
  <c r="F20" i="8" s="1"/>
  <c r="E19" i="8"/>
  <c r="F19" i="8" s="1"/>
  <c r="E18" i="8"/>
  <c r="F18" i="8" s="1"/>
  <c r="F17" i="8"/>
  <c r="E17" i="8"/>
  <c r="E16" i="8"/>
  <c r="F16" i="8" s="1"/>
  <c r="E15" i="8"/>
  <c r="F15" i="8" s="1"/>
  <c r="E14" i="8"/>
  <c r="F14" i="8" s="1"/>
  <c r="E13" i="8"/>
  <c r="F13" i="8" s="1"/>
  <c r="D120" i="7"/>
  <c r="C120" i="7"/>
  <c r="D119" i="7"/>
  <c r="C119" i="7"/>
  <c r="D118" i="7"/>
  <c r="C118" i="7"/>
  <c r="D117" i="7"/>
  <c r="C117" i="7"/>
  <c r="D116" i="7"/>
  <c r="C116" i="7"/>
  <c r="D115" i="7"/>
  <c r="C115" i="7"/>
  <c r="D114" i="7"/>
  <c r="C114" i="7"/>
  <c r="D113" i="7"/>
  <c r="C113" i="7"/>
  <c r="D112" i="7"/>
  <c r="E112" i="7" s="1"/>
  <c r="C112" i="7"/>
  <c r="D108" i="7"/>
  <c r="C108" i="7"/>
  <c r="D107" i="7"/>
  <c r="C107" i="7"/>
  <c r="E106" i="7"/>
  <c r="F106" i="7" s="1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 s="1"/>
  <c r="D96" i="7"/>
  <c r="C96" i="7"/>
  <c r="F96" i="7" s="1"/>
  <c r="D95" i="7"/>
  <c r="E95" i="7" s="1"/>
  <c r="C95" i="7"/>
  <c r="F95" i="7" s="1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D84" i="7"/>
  <c r="C84" i="7"/>
  <c r="F84" i="7" s="1"/>
  <c r="D83" i="7"/>
  <c r="E83" i="7" s="1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/>
  <c r="D71" i="7"/>
  <c r="E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D59" i="7"/>
  <c r="C59" i="7"/>
  <c r="E58" i="7"/>
  <c r="F58" i="7" s="1"/>
  <c r="E57" i="7"/>
  <c r="F57" i="7" s="1"/>
  <c r="E56" i="7"/>
  <c r="F56" i="7" s="1"/>
  <c r="E55" i="7"/>
  <c r="F55" i="7" s="1"/>
  <c r="E54" i="7"/>
  <c r="F54" i="7" s="1"/>
  <c r="E53" i="7"/>
  <c r="F53" i="7" s="1"/>
  <c r="E52" i="7"/>
  <c r="F52" i="7" s="1"/>
  <c r="E51" i="7"/>
  <c r="F51" i="7" s="1"/>
  <c r="E50" i="7"/>
  <c r="F50" i="7" s="1"/>
  <c r="D48" i="7"/>
  <c r="C48" i="7"/>
  <c r="F48" i="7" s="1"/>
  <c r="D47" i="7"/>
  <c r="C47" i="7"/>
  <c r="F47" i="7" s="1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D35" i="7"/>
  <c r="C35" i="7"/>
  <c r="E34" i="7"/>
  <c r="F34" i="7" s="1"/>
  <c r="E33" i="7"/>
  <c r="F33" i="7" s="1"/>
  <c r="E32" i="7"/>
  <c r="F32" i="7" s="1"/>
  <c r="E31" i="7"/>
  <c r="F31" i="7" s="1"/>
  <c r="E30" i="7"/>
  <c r="F30" i="7" s="1"/>
  <c r="E29" i="7"/>
  <c r="F29" i="7" s="1"/>
  <c r="E28" i="7"/>
  <c r="F28" i="7" s="1"/>
  <c r="E27" i="7"/>
  <c r="F27" i="7" s="1"/>
  <c r="F26" i="7"/>
  <c r="E26" i="7"/>
  <c r="D24" i="7"/>
  <c r="C24" i="7"/>
  <c r="F24" i="7"/>
  <c r="D23" i="7"/>
  <c r="E23" i="7"/>
  <c r="C23" i="7"/>
  <c r="F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D205" i="6"/>
  <c r="C205" i="6"/>
  <c r="D204" i="6"/>
  <c r="C204" i="6"/>
  <c r="D203" i="6"/>
  <c r="C203" i="6"/>
  <c r="D202" i="6"/>
  <c r="C202" i="6"/>
  <c r="D201" i="6"/>
  <c r="C201" i="6"/>
  <c r="D200" i="6"/>
  <c r="C200" i="6"/>
  <c r="D199" i="6"/>
  <c r="D208" i="6" s="1"/>
  <c r="E208" i="6" s="1"/>
  <c r="C199" i="6"/>
  <c r="C208" i="6" s="1"/>
  <c r="D198" i="6"/>
  <c r="D207" i="6" s="1"/>
  <c r="C198" i="6"/>
  <c r="C207" i="6" s="1"/>
  <c r="D193" i="6"/>
  <c r="C193" i="6"/>
  <c r="E193" i="6" s="1"/>
  <c r="F193" i="6" s="1"/>
  <c r="D192" i="6"/>
  <c r="C192" i="6"/>
  <c r="E192" i="6" s="1"/>
  <c r="F192" i="6" s="1"/>
  <c r="E191" i="6"/>
  <c r="F191" i="6" s="1"/>
  <c r="E190" i="6"/>
  <c r="F190" i="6" s="1"/>
  <c r="E189" i="6"/>
  <c r="F189" i="6" s="1"/>
  <c r="E188" i="6"/>
  <c r="F188" i="6" s="1"/>
  <c r="E187" i="6"/>
  <c r="F187" i="6" s="1"/>
  <c r="E186" i="6"/>
  <c r="F186" i="6" s="1"/>
  <c r="E185" i="6"/>
  <c r="F185" i="6" s="1"/>
  <c r="E184" i="6"/>
  <c r="F184" i="6" s="1"/>
  <c r="E183" i="6"/>
  <c r="F183" i="6" s="1"/>
  <c r="D180" i="6"/>
  <c r="E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F167" i="6" s="1"/>
  <c r="D166" i="6"/>
  <c r="C166" i="6"/>
  <c r="F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F154" i="6" s="1"/>
  <c r="D153" i="6"/>
  <c r="E153" i="6" s="1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D140" i="6"/>
  <c r="C140" i="6"/>
  <c r="E139" i="6"/>
  <c r="F139" i="6" s="1"/>
  <c r="E138" i="6"/>
  <c r="F138" i="6" s="1"/>
  <c r="E137" i="6"/>
  <c r="F137" i="6" s="1"/>
  <c r="E136" i="6"/>
  <c r="F136" i="6"/>
  <c r="E135" i="6"/>
  <c r="F135" i="6"/>
  <c r="E134" i="6"/>
  <c r="F134" i="6"/>
  <c r="E133" i="6"/>
  <c r="F133" i="6"/>
  <c r="E132" i="6"/>
  <c r="F132" i="6"/>
  <c r="E131" i="6"/>
  <c r="F131" i="6" s="1"/>
  <c r="D128" i="6"/>
  <c r="E128" i="6" s="1"/>
  <c r="C128" i="6"/>
  <c r="D127" i="6"/>
  <c r="C127" i="6"/>
  <c r="E126" i="6"/>
  <c r="F126" i="6"/>
  <c r="E125" i="6"/>
  <c r="F125" i="6"/>
  <c r="E124" i="6"/>
  <c r="F124" i="6"/>
  <c r="E123" i="6"/>
  <c r="F123" i="6" s="1"/>
  <c r="E122" i="6"/>
  <c r="F122" i="6" s="1"/>
  <c r="E121" i="6"/>
  <c r="F121" i="6" s="1"/>
  <c r="E120" i="6"/>
  <c r="F120" i="6"/>
  <c r="E119" i="6"/>
  <c r="F119" i="6"/>
  <c r="E118" i="6"/>
  <c r="F118" i="6"/>
  <c r="D115" i="6"/>
  <c r="E115" i="6"/>
  <c r="C115" i="6"/>
  <c r="F115" i="6"/>
  <c r="D114" i="6"/>
  <c r="E114" i="6"/>
  <c r="C114" i="6"/>
  <c r="F113" i="6"/>
  <c r="E113" i="6"/>
  <c r="F112" i="6"/>
  <c r="E112" i="6"/>
  <c r="E111" i="6"/>
  <c r="F111" i="6" s="1"/>
  <c r="E110" i="6"/>
  <c r="F110" i="6" s="1"/>
  <c r="E109" i="6"/>
  <c r="F109" i="6" s="1"/>
  <c r="F108" i="6"/>
  <c r="E108" i="6"/>
  <c r="E107" i="6"/>
  <c r="F107" i="6" s="1"/>
  <c r="E106" i="6"/>
  <c r="F106" i="6" s="1"/>
  <c r="E105" i="6"/>
  <c r="F105" i="6" s="1"/>
  <c r="D102" i="6"/>
  <c r="E102" i="6" s="1"/>
  <c r="F102" i="6" s="1"/>
  <c r="C102" i="6"/>
  <c r="D101" i="6"/>
  <c r="E101" i="6" s="1"/>
  <c r="F101" i="6" s="1"/>
  <c r="C101" i="6"/>
  <c r="F100" i="6"/>
  <c r="E100" i="6"/>
  <c r="E99" i="6"/>
  <c r="F99" i="6" s="1"/>
  <c r="E98" i="6"/>
  <c r="F98" i="6" s="1"/>
  <c r="E97" i="6"/>
  <c r="F97" i="6" s="1"/>
  <c r="F96" i="6"/>
  <c r="E96" i="6"/>
  <c r="E95" i="6"/>
  <c r="F95" i="6" s="1"/>
  <c r="E94" i="6"/>
  <c r="F94" i="6" s="1"/>
  <c r="E93" i="6"/>
  <c r="F93" i="6" s="1"/>
  <c r="F92" i="6"/>
  <c r="E92" i="6"/>
  <c r="D89" i="6"/>
  <c r="E89" i="6" s="1"/>
  <c r="C89" i="6"/>
  <c r="D88" i="6"/>
  <c r="E88" i="6" s="1"/>
  <c r="C88" i="6"/>
  <c r="E87" i="6"/>
  <c r="F87" i="6" s="1"/>
  <c r="E86" i="6"/>
  <c r="F86" i="6" s="1"/>
  <c r="E85" i="6"/>
  <c r="F85" i="6"/>
  <c r="E84" i="6"/>
  <c r="F84" i="6" s="1"/>
  <c r="E83" i="6"/>
  <c r="F83" i="6" s="1"/>
  <c r="E82" i="6"/>
  <c r="F82" i="6" s="1"/>
  <c r="E81" i="6"/>
  <c r="F81" i="6"/>
  <c r="E80" i="6"/>
  <c r="F80" i="6" s="1"/>
  <c r="E79" i="6"/>
  <c r="F79" i="6" s="1"/>
  <c r="D76" i="6"/>
  <c r="C76" i="6"/>
  <c r="D75" i="6"/>
  <c r="C75" i="6"/>
  <c r="E74" i="6"/>
  <c r="F74" i="6" s="1"/>
  <c r="E73" i="6"/>
  <c r="F73" i="6"/>
  <c r="E72" i="6"/>
  <c r="F72" i="6" s="1"/>
  <c r="E71" i="6"/>
  <c r="F71" i="6" s="1"/>
  <c r="E70" i="6"/>
  <c r="F70" i="6" s="1"/>
  <c r="E69" i="6"/>
  <c r="F69" i="6"/>
  <c r="E68" i="6"/>
  <c r="F68" i="6" s="1"/>
  <c r="E67" i="6"/>
  <c r="F67" i="6" s="1"/>
  <c r="E66" i="6"/>
  <c r="F66" i="6" s="1"/>
  <c r="D63" i="6"/>
  <c r="E63" i="6"/>
  <c r="C63" i="6"/>
  <c r="D62" i="6"/>
  <c r="E62" i="6" s="1"/>
  <c r="C62" i="6"/>
  <c r="E61" i="6"/>
  <c r="F61" i="6" s="1"/>
  <c r="E60" i="6"/>
  <c r="F60" i="6" s="1"/>
  <c r="E59" i="6"/>
  <c r="F59" i="6" s="1"/>
  <c r="F58" i="6"/>
  <c r="E58" i="6"/>
  <c r="E57" i="6"/>
  <c r="F57" i="6" s="1"/>
  <c r="E56" i="6"/>
  <c r="F56" i="6" s="1"/>
  <c r="E55" i="6"/>
  <c r="F55" i="6" s="1"/>
  <c r="F54" i="6"/>
  <c r="E54" i="6"/>
  <c r="E53" i="6"/>
  <c r="F53" i="6" s="1"/>
  <c r="D50" i="6"/>
  <c r="C50" i="6"/>
  <c r="D49" i="6"/>
  <c r="C49" i="6"/>
  <c r="E48" i="6"/>
  <c r="F48" i="6" s="1"/>
  <c r="E47" i="6"/>
  <c r="F47" i="6" s="1"/>
  <c r="F46" i="6"/>
  <c r="E46" i="6"/>
  <c r="E45" i="6"/>
  <c r="F45" i="6" s="1"/>
  <c r="E44" i="6"/>
  <c r="F44" i="6" s="1"/>
  <c r="E43" i="6"/>
  <c r="F43" i="6" s="1"/>
  <c r="F42" i="6"/>
  <c r="E42" i="6"/>
  <c r="E41" i="6"/>
  <c r="F41" i="6" s="1"/>
  <c r="E40" i="6"/>
  <c r="F40" i="6" s="1"/>
  <c r="D37" i="6"/>
  <c r="C37" i="6"/>
  <c r="F37" i="6" s="1"/>
  <c r="D36" i="6"/>
  <c r="C36" i="6"/>
  <c r="F36" i="6" s="1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D23" i="6"/>
  <c r="C23" i="6"/>
  <c r="E22" i="6"/>
  <c r="F22" i="6" s="1"/>
  <c r="E21" i="6"/>
  <c r="F21" i="6" s="1"/>
  <c r="F20" i="6"/>
  <c r="E20" i="6"/>
  <c r="E19" i="6"/>
  <c r="F19" i="6" s="1"/>
  <c r="E18" i="6"/>
  <c r="F18" i="6" s="1"/>
  <c r="E17" i="6"/>
  <c r="F17" i="6" s="1"/>
  <c r="F16" i="6"/>
  <c r="E16" i="6"/>
  <c r="E15" i="6"/>
  <c r="F15" i="6" s="1"/>
  <c r="E14" i="6"/>
  <c r="F14" i="6" s="1"/>
  <c r="E191" i="5"/>
  <c r="D191" i="5"/>
  <c r="C191" i="5"/>
  <c r="E176" i="5"/>
  <c r="D176" i="5"/>
  <c r="C176" i="5"/>
  <c r="E164" i="5"/>
  <c r="E160" i="5" s="1"/>
  <c r="D164" i="5"/>
  <c r="D160" i="5"/>
  <c r="C164" i="5"/>
  <c r="C160" i="5" s="1"/>
  <c r="E162" i="5"/>
  <c r="D162" i="5"/>
  <c r="C162" i="5"/>
  <c r="E161" i="5"/>
  <c r="D161" i="5"/>
  <c r="C161" i="5"/>
  <c r="E147" i="5"/>
  <c r="D147" i="5"/>
  <c r="D143" i="5" s="1"/>
  <c r="C147" i="5"/>
  <c r="C143" i="5"/>
  <c r="E145" i="5"/>
  <c r="D145" i="5"/>
  <c r="C145" i="5"/>
  <c r="E144" i="5"/>
  <c r="D144" i="5"/>
  <c r="C144" i="5"/>
  <c r="E143" i="5"/>
  <c r="E126" i="5"/>
  <c r="D126" i="5"/>
  <c r="C126" i="5"/>
  <c r="E119" i="5"/>
  <c r="D119" i="5"/>
  <c r="C119" i="5"/>
  <c r="E108" i="5"/>
  <c r="D108" i="5"/>
  <c r="C108" i="5"/>
  <c r="E107" i="5"/>
  <c r="D107" i="5"/>
  <c r="D109" i="5" s="1"/>
  <c r="D106" i="5" s="1"/>
  <c r="C107" i="5"/>
  <c r="C109" i="5"/>
  <c r="C106" i="5" s="1"/>
  <c r="E102" i="5"/>
  <c r="E104" i="5" s="1"/>
  <c r="D102" i="5"/>
  <c r="D104" i="5" s="1"/>
  <c r="C102" i="5"/>
  <c r="C104" i="5" s="1"/>
  <c r="E100" i="5"/>
  <c r="D100" i="5"/>
  <c r="C100" i="5"/>
  <c r="E95" i="5"/>
  <c r="D95" i="5"/>
  <c r="D94" i="5" s="1"/>
  <c r="C95" i="5"/>
  <c r="C94" i="5" s="1"/>
  <c r="E94" i="5"/>
  <c r="E89" i="5"/>
  <c r="D89" i="5"/>
  <c r="C89" i="5"/>
  <c r="E87" i="5"/>
  <c r="D87" i="5"/>
  <c r="C87" i="5"/>
  <c r="E84" i="5"/>
  <c r="D84" i="5"/>
  <c r="C84" i="5"/>
  <c r="E83" i="5"/>
  <c r="D83" i="5"/>
  <c r="D79" i="5" s="1"/>
  <c r="C83" i="5"/>
  <c r="C79" i="5" s="1"/>
  <c r="E79" i="5"/>
  <c r="E75" i="5"/>
  <c r="E77" i="5" s="1"/>
  <c r="E88" i="5"/>
  <c r="E90" i="5" s="1"/>
  <c r="E86" i="5" s="1"/>
  <c r="D75" i="5"/>
  <c r="D88" i="5"/>
  <c r="D90" i="5" s="1"/>
  <c r="D86" i="5" s="1"/>
  <c r="C75" i="5"/>
  <c r="C88" i="5" s="1"/>
  <c r="C90" i="5" s="1"/>
  <c r="C86" i="5" s="1"/>
  <c r="C77" i="5"/>
  <c r="C71" i="5" s="1"/>
  <c r="E74" i="5"/>
  <c r="D74" i="5"/>
  <c r="C74" i="5"/>
  <c r="E67" i="5"/>
  <c r="D67" i="5"/>
  <c r="C67" i="5"/>
  <c r="E38" i="5"/>
  <c r="E49" i="5" s="1"/>
  <c r="D38" i="5"/>
  <c r="D57" i="5" s="1"/>
  <c r="D62" i="5" s="1"/>
  <c r="C38" i="5"/>
  <c r="C57" i="5"/>
  <c r="C62" i="5" s="1"/>
  <c r="E33" i="5"/>
  <c r="E34" i="5" s="1"/>
  <c r="D33" i="5"/>
  <c r="D34" i="5" s="1"/>
  <c r="E26" i="5"/>
  <c r="D26" i="5"/>
  <c r="C26" i="5"/>
  <c r="E13" i="5"/>
  <c r="E15" i="5" s="1"/>
  <c r="E24" i="5" s="1"/>
  <c r="E25" i="5"/>
  <c r="E27" i="5" s="1"/>
  <c r="D13" i="5"/>
  <c r="D25" i="5" s="1"/>
  <c r="D27" i="5" s="1"/>
  <c r="C13" i="5"/>
  <c r="C25" i="5" s="1"/>
  <c r="C27" i="5" s="1"/>
  <c r="E174" i="4"/>
  <c r="F174" i="4" s="1"/>
  <c r="D171" i="4"/>
  <c r="C171" i="4"/>
  <c r="F170" i="4"/>
  <c r="E170" i="4"/>
  <c r="E169" i="4"/>
  <c r="F169" i="4" s="1"/>
  <c r="F168" i="4"/>
  <c r="E168" i="4"/>
  <c r="E167" i="4"/>
  <c r="F167" i="4" s="1"/>
  <c r="E166" i="4"/>
  <c r="F166" i="4" s="1"/>
  <c r="E165" i="4"/>
  <c r="F165" i="4"/>
  <c r="E164" i="4"/>
  <c r="F164" i="4" s="1"/>
  <c r="E163" i="4"/>
  <c r="F163" i="4" s="1"/>
  <c r="E162" i="4"/>
  <c r="F162" i="4" s="1"/>
  <c r="E161" i="4"/>
  <c r="F161" i="4"/>
  <c r="E160" i="4"/>
  <c r="F160" i="4" s="1"/>
  <c r="E159" i="4"/>
  <c r="F159" i="4" s="1"/>
  <c r="E158" i="4"/>
  <c r="F158" i="4" s="1"/>
  <c r="D155" i="4"/>
  <c r="C155" i="4"/>
  <c r="E154" i="4"/>
  <c r="F154" i="4" s="1"/>
  <c r="E153" i="4"/>
  <c r="F153" i="4" s="1"/>
  <c r="E152" i="4"/>
  <c r="F152" i="4"/>
  <c r="E151" i="4"/>
  <c r="F151" i="4" s="1"/>
  <c r="F150" i="4"/>
  <c r="E150" i="4"/>
  <c r="E149" i="4"/>
  <c r="F149" i="4" s="1"/>
  <c r="E148" i="4"/>
  <c r="F148" i="4"/>
  <c r="F147" i="4"/>
  <c r="E147" i="4"/>
  <c r="E146" i="4"/>
  <c r="F146" i="4"/>
  <c r="E145" i="4"/>
  <c r="F145" i="4" s="1"/>
  <c r="E144" i="4"/>
  <c r="F144" i="4" s="1"/>
  <c r="E143" i="4"/>
  <c r="F143" i="4" s="1"/>
  <c r="E142" i="4"/>
  <c r="F142" i="4"/>
  <c r="F141" i="4"/>
  <c r="E141" i="4"/>
  <c r="E140" i="4"/>
  <c r="F140" i="4"/>
  <c r="E139" i="4"/>
  <c r="F139" i="4" s="1"/>
  <c r="E138" i="4"/>
  <c r="F138" i="4" s="1"/>
  <c r="E137" i="4"/>
  <c r="F137" i="4" s="1"/>
  <c r="F136" i="4"/>
  <c r="E136" i="4"/>
  <c r="F135" i="4"/>
  <c r="E135" i="4"/>
  <c r="E134" i="4"/>
  <c r="F134" i="4"/>
  <c r="E133" i="4"/>
  <c r="F133" i="4" s="1"/>
  <c r="F132" i="4"/>
  <c r="E132" i="4"/>
  <c r="F131" i="4"/>
  <c r="E131" i="4"/>
  <c r="E130" i="4"/>
  <c r="F130" i="4" s="1"/>
  <c r="E129" i="4"/>
  <c r="F129" i="4" s="1"/>
  <c r="E128" i="4"/>
  <c r="F128" i="4"/>
  <c r="E127" i="4"/>
  <c r="F127" i="4" s="1"/>
  <c r="E126" i="4"/>
  <c r="F126" i="4" s="1"/>
  <c r="E125" i="4"/>
  <c r="F125" i="4" s="1"/>
  <c r="E124" i="4"/>
  <c r="F124" i="4"/>
  <c r="E123" i="4"/>
  <c r="F123" i="4" s="1"/>
  <c r="E122" i="4"/>
  <c r="F122" i="4" s="1"/>
  <c r="E121" i="4"/>
  <c r="F121" i="4" s="1"/>
  <c r="D118" i="4"/>
  <c r="C118" i="4"/>
  <c r="E118" i="4" s="1"/>
  <c r="E117" i="4"/>
  <c r="F117" i="4" s="1"/>
  <c r="E116" i="4"/>
  <c r="F116" i="4" s="1"/>
  <c r="E115" i="4"/>
  <c r="F115" i="4"/>
  <c r="E114" i="4"/>
  <c r="F114" i="4" s="1"/>
  <c r="E113" i="4"/>
  <c r="F113" i="4" s="1"/>
  <c r="E112" i="4"/>
  <c r="F112" i="4" s="1"/>
  <c r="D109" i="4"/>
  <c r="E109" i="4" s="1"/>
  <c r="C109" i="4"/>
  <c r="E108" i="4"/>
  <c r="F108" i="4" s="1"/>
  <c r="E107" i="4"/>
  <c r="F107" i="4" s="1"/>
  <c r="E106" i="4"/>
  <c r="F106" i="4" s="1"/>
  <c r="E105" i="4"/>
  <c r="F105" i="4" s="1"/>
  <c r="E104" i="4"/>
  <c r="F104" i="4" s="1"/>
  <c r="F103" i="4"/>
  <c r="E103" i="4"/>
  <c r="E102" i="4"/>
  <c r="F102" i="4" s="1"/>
  <c r="E101" i="4"/>
  <c r="F101" i="4" s="1"/>
  <c r="E100" i="4"/>
  <c r="F100" i="4" s="1"/>
  <c r="F99" i="4"/>
  <c r="E99" i="4"/>
  <c r="E98" i="4"/>
  <c r="F98" i="4" s="1"/>
  <c r="E97" i="4"/>
  <c r="F97" i="4" s="1"/>
  <c r="E96" i="4"/>
  <c r="F96" i="4" s="1"/>
  <c r="F95" i="4"/>
  <c r="E95" i="4"/>
  <c r="E94" i="4"/>
  <c r="F94" i="4" s="1"/>
  <c r="E93" i="4"/>
  <c r="F93" i="4" s="1"/>
  <c r="E92" i="4"/>
  <c r="F92" i="4" s="1"/>
  <c r="F91" i="4"/>
  <c r="E91" i="4"/>
  <c r="F81" i="4"/>
  <c r="E81" i="4"/>
  <c r="D78" i="4"/>
  <c r="E78" i="4" s="1"/>
  <c r="F78" i="4" s="1"/>
  <c r="C78" i="4"/>
  <c r="F77" i="4"/>
  <c r="E77" i="4"/>
  <c r="E76" i="4"/>
  <c r="F76" i="4" s="1"/>
  <c r="E75" i="4"/>
  <c r="F75" i="4" s="1"/>
  <c r="E74" i="4"/>
  <c r="F74" i="4" s="1"/>
  <c r="F73" i="4"/>
  <c r="E73" i="4"/>
  <c r="E72" i="4"/>
  <c r="F72" i="4" s="1"/>
  <c r="E71" i="4"/>
  <c r="F71" i="4" s="1"/>
  <c r="E70" i="4"/>
  <c r="F70" i="4" s="1"/>
  <c r="F69" i="4"/>
  <c r="E69" i="4"/>
  <c r="E68" i="4"/>
  <c r="F68" i="4" s="1"/>
  <c r="E67" i="4"/>
  <c r="F67" i="4" s="1"/>
  <c r="E66" i="4"/>
  <c r="F66" i="4" s="1"/>
  <c r="F65" i="4"/>
  <c r="E65" i="4"/>
  <c r="E64" i="4"/>
  <c r="F64" i="4" s="1"/>
  <c r="E63" i="4"/>
  <c r="F63" i="4" s="1"/>
  <c r="E62" i="4"/>
  <c r="F62" i="4" s="1"/>
  <c r="D59" i="4"/>
  <c r="E59" i="4" s="1"/>
  <c r="F59" i="4" s="1"/>
  <c r="C59" i="4"/>
  <c r="F58" i="4"/>
  <c r="E58" i="4"/>
  <c r="E57" i="4"/>
  <c r="F57" i="4" s="1"/>
  <c r="E56" i="4"/>
  <c r="F56" i="4" s="1"/>
  <c r="E55" i="4"/>
  <c r="F55" i="4" s="1"/>
  <c r="F54" i="4"/>
  <c r="E54" i="4"/>
  <c r="E53" i="4"/>
  <c r="F53" i="4" s="1"/>
  <c r="E50" i="4"/>
  <c r="F50" i="4" s="1"/>
  <c r="E47" i="4"/>
  <c r="F47" i="4" s="1"/>
  <c r="F44" i="4"/>
  <c r="E44" i="4"/>
  <c r="D41" i="4"/>
  <c r="E41" i="4" s="1"/>
  <c r="C41" i="4"/>
  <c r="F40" i="4"/>
  <c r="E40" i="4"/>
  <c r="F39" i="4"/>
  <c r="E39" i="4"/>
  <c r="E38" i="4"/>
  <c r="F38" i="4" s="1"/>
  <c r="D35" i="4"/>
  <c r="C35" i="4"/>
  <c r="E34" i="4"/>
  <c r="F34" i="4" s="1"/>
  <c r="E33" i="4"/>
  <c r="F33" i="4" s="1"/>
  <c r="D30" i="4"/>
  <c r="E30" i="4" s="1"/>
  <c r="F30" i="4" s="1"/>
  <c r="C30" i="4"/>
  <c r="F29" i="4"/>
  <c r="E29" i="4"/>
  <c r="E28" i="4"/>
  <c r="F28" i="4" s="1"/>
  <c r="E27" i="4"/>
  <c r="F27" i="4" s="1"/>
  <c r="D24" i="4"/>
  <c r="C24" i="4"/>
  <c r="E23" i="4"/>
  <c r="F23" i="4"/>
  <c r="E22" i="4"/>
  <c r="F22" i="4" s="1"/>
  <c r="E21" i="4"/>
  <c r="F21" i="4" s="1"/>
  <c r="D18" i="4"/>
  <c r="C18" i="4"/>
  <c r="E17" i="4"/>
  <c r="F17" i="4" s="1"/>
  <c r="E16" i="4"/>
  <c r="F16" i="4"/>
  <c r="E15" i="4"/>
  <c r="F15" i="4" s="1"/>
  <c r="D179" i="3"/>
  <c r="E179" i="3" s="1"/>
  <c r="C179" i="3"/>
  <c r="E178" i="3"/>
  <c r="F178" i="3" s="1"/>
  <c r="F177" i="3"/>
  <c r="E177" i="3"/>
  <c r="E176" i="3"/>
  <c r="F176" i="3" s="1"/>
  <c r="E175" i="3"/>
  <c r="F175" i="3" s="1"/>
  <c r="E174" i="3"/>
  <c r="F174" i="3" s="1"/>
  <c r="F173" i="3"/>
  <c r="E173" i="3"/>
  <c r="E172" i="3"/>
  <c r="F172" i="3" s="1"/>
  <c r="E171" i="3"/>
  <c r="F171" i="3" s="1"/>
  <c r="E170" i="3"/>
  <c r="F170" i="3" s="1"/>
  <c r="F169" i="3"/>
  <c r="E169" i="3"/>
  <c r="E168" i="3"/>
  <c r="F168" i="3" s="1"/>
  <c r="D166" i="3"/>
  <c r="C166" i="3"/>
  <c r="E165" i="3"/>
  <c r="F165" i="3" s="1"/>
  <c r="E164" i="3"/>
  <c r="F164" i="3" s="1"/>
  <c r="F163" i="3"/>
  <c r="E163" i="3"/>
  <c r="E162" i="3"/>
  <c r="F162" i="3" s="1"/>
  <c r="E161" i="3"/>
  <c r="F161" i="3" s="1"/>
  <c r="E160" i="3"/>
  <c r="F160" i="3" s="1"/>
  <c r="F159" i="3"/>
  <c r="E159" i="3"/>
  <c r="E158" i="3"/>
  <c r="F158" i="3" s="1"/>
  <c r="E157" i="3"/>
  <c r="F157" i="3" s="1"/>
  <c r="E156" i="3"/>
  <c r="F156" i="3" s="1"/>
  <c r="F155" i="3"/>
  <c r="E155" i="3"/>
  <c r="D153" i="3"/>
  <c r="E153" i="3" s="1"/>
  <c r="C153" i="3"/>
  <c r="E152" i="3"/>
  <c r="F152" i="3" s="1"/>
  <c r="E151" i="3"/>
  <c r="F151" i="3" s="1"/>
  <c r="E150" i="3"/>
  <c r="F150" i="3" s="1"/>
  <c r="F149" i="3"/>
  <c r="E149" i="3"/>
  <c r="E148" i="3"/>
  <c r="F148" i="3" s="1"/>
  <c r="E147" i="3"/>
  <c r="F147" i="3" s="1"/>
  <c r="E146" i="3"/>
  <c r="F146" i="3" s="1"/>
  <c r="F145" i="3"/>
  <c r="E145" i="3"/>
  <c r="E144" i="3"/>
  <c r="F144" i="3" s="1"/>
  <c r="E143" i="3"/>
  <c r="F143" i="3" s="1"/>
  <c r="E142" i="3"/>
  <c r="F142" i="3" s="1"/>
  <c r="D137" i="3"/>
  <c r="E137" i="3" s="1"/>
  <c r="F137" i="3" s="1"/>
  <c r="C137" i="3"/>
  <c r="F136" i="3"/>
  <c r="E136" i="3"/>
  <c r="E135" i="3"/>
  <c r="F135" i="3" s="1"/>
  <c r="E134" i="3"/>
  <c r="F134" i="3" s="1"/>
  <c r="E133" i="3"/>
  <c r="F133" i="3" s="1"/>
  <c r="F132" i="3"/>
  <c r="E132" i="3"/>
  <c r="E131" i="3"/>
  <c r="F131" i="3" s="1"/>
  <c r="E130" i="3"/>
  <c r="F130" i="3" s="1"/>
  <c r="E129" i="3"/>
  <c r="F129" i="3" s="1"/>
  <c r="F128" i="3"/>
  <c r="E128" i="3"/>
  <c r="E127" i="3"/>
  <c r="F127" i="3" s="1"/>
  <c r="E126" i="3"/>
  <c r="F126" i="3" s="1"/>
  <c r="D124" i="3"/>
  <c r="C124" i="3"/>
  <c r="E123" i="3"/>
  <c r="F123" i="3" s="1"/>
  <c r="F122" i="3"/>
  <c r="E122" i="3"/>
  <c r="E121" i="3"/>
  <c r="F121" i="3" s="1"/>
  <c r="E120" i="3"/>
  <c r="F120" i="3" s="1"/>
  <c r="E119" i="3"/>
  <c r="F119" i="3" s="1"/>
  <c r="F118" i="3"/>
  <c r="E118" i="3"/>
  <c r="E117" i="3"/>
  <c r="F117" i="3" s="1"/>
  <c r="E116" i="3"/>
  <c r="F116" i="3" s="1"/>
  <c r="E115" i="3"/>
  <c r="F115" i="3" s="1"/>
  <c r="F114" i="3"/>
  <c r="E114" i="3"/>
  <c r="E113" i="3"/>
  <c r="F113" i="3" s="1"/>
  <c r="D111" i="3"/>
  <c r="C111" i="3"/>
  <c r="E110" i="3"/>
  <c r="F110" i="3" s="1"/>
  <c r="E109" i="3"/>
  <c r="F109" i="3" s="1"/>
  <c r="F108" i="3"/>
  <c r="E108" i="3"/>
  <c r="E107" i="3"/>
  <c r="F107" i="3" s="1"/>
  <c r="E106" i="3"/>
  <c r="F106" i="3" s="1"/>
  <c r="E105" i="3"/>
  <c r="F105" i="3" s="1"/>
  <c r="F104" i="3"/>
  <c r="E104" i="3"/>
  <c r="E103" i="3"/>
  <c r="F103" i="3" s="1"/>
  <c r="E102" i="3"/>
  <c r="F102" i="3" s="1"/>
  <c r="E101" i="3"/>
  <c r="F101" i="3" s="1"/>
  <c r="F100" i="3"/>
  <c r="E100" i="3"/>
  <c r="D94" i="3"/>
  <c r="E94" i="3" s="1"/>
  <c r="C94" i="3"/>
  <c r="D93" i="3"/>
  <c r="E93" i="3" s="1"/>
  <c r="C93" i="3"/>
  <c r="F93" i="3" s="1"/>
  <c r="D92" i="3"/>
  <c r="E92" i="3" s="1"/>
  <c r="C92" i="3"/>
  <c r="D91" i="3"/>
  <c r="C91" i="3"/>
  <c r="D90" i="3"/>
  <c r="C90" i="3"/>
  <c r="D89" i="3"/>
  <c r="E89" i="3"/>
  <c r="C89" i="3"/>
  <c r="F89" i="3"/>
  <c r="D88" i="3"/>
  <c r="E88" i="3"/>
  <c r="C88" i="3"/>
  <c r="D87" i="3"/>
  <c r="E87" i="3" s="1"/>
  <c r="C87" i="3"/>
  <c r="D86" i="3"/>
  <c r="E86" i="3" s="1"/>
  <c r="C86" i="3"/>
  <c r="D85" i="3"/>
  <c r="E85" i="3" s="1"/>
  <c r="C85" i="3"/>
  <c r="D84" i="3"/>
  <c r="D95" i="3" s="1"/>
  <c r="C84" i="3"/>
  <c r="C95" i="3" s="1"/>
  <c r="D81" i="3"/>
  <c r="C81" i="3"/>
  <c r="E80" i="3"/>
  <c r="F80" i="3" s="1"/>
  <c r="F79" i="3"/>
  <c r="E79" i="3"/>
  <c r="E78" i="3"/>
  <c r="F78" i="3" s="1"/>
  <c r="E77" i="3"/>
  <c r="F77" i="3" s="1"/>
  <c r="E76" i="3"/>
  <c r="F76" i="3" s="1"/>
  <c r="F75" i="3"/>
  <c r="E75" i="3"/>
  <c r="E74" i="3"/>
  <c r="F74" i="3" s="1"/>
  <c r="E73" i="3"/>
  <c r="F73" i="3" s="1"/>
  <c r="E72" i="3"/>
  <c r="F72" i="3" s="1"/>
  <c r="F71" i="3"/>
  <c r="E71" i="3"/>
  <c r="E70" i="3"/>
  <c r="F70" i="3" s="1"/>
  <c r="D68" i="3"/>
  <c r="C68" i="3"/>
  <c r="E67" i="3"/>
  <c r="F67" i="3" s="1"/>
  <c r="E66" i="3"/>
  <c r="F66" i="3" s="1"/>
  <c r="F65" i="3"/>
  <c r="E65" i="3"/>
  <c r="E64" i="3"/>
  <c r="F64" i="3" s="1"/>
  <c r="E63" i="3"/>
  <c r="F63" i="3" s="1"/>
  <c r="E62" i="3"/>
  <c r="F62" i="3" s="1"/>
  <c r="F61" i="3"/>
  <c r="E61" i="3"/>
  <c r="E60" i="3"/>
  <c r="F60" i="3" s="1"/>
  <c r="E59" i="3"/>
  <c r="F59" i="3" s="1"/>
  <c r="E58" i="3"/>
  <c r="F58" i="3" s="1"/>
  <c r="F57" i="3"/>
  <c r="E57" i="3"/>
  <c r="D51" i="3"/>
  <c r="E51" i="3" s="1"/>
  <c r="C51" i="3"/>
  <c r="D50" i="3"/>
  <c r="E50" i="3" s="1"/>
  <c r="C50" i="3"/>
  <c r="D49" i="3"/>
  <c r="E49" i="3" s="1"/>
  <c r="C49" i="3"/>
  <c r="D48" i="3"/>
  <c r="E48" i="3" s="1"/>
  <c r="F48" i="3" s="1"/>
  <c r="C48" i="3"/>
  <c r="D47" i="3"/>
  <c r="C47" i="3"/>
  <c r="D46" i="3"/>
  <c r="C46" i="3"/>
  <c r="D45" i="3"/>
  <c r="E45" i="3"/>
  <c r="C45" i="3"/>
  <c r="F45" i="3"/>
  <c r="D44" i="3"/>
  <c r="E44" i="3"/>
  <c r="C44" i="3"/>
  <c r="D43" i="3"/>
  <c r="E43" i="3" s="1"/>
  <c r="C43" i="3"/>
  <c r="D42" i="3"/>
  <c r="E42" i="3" s="1"/>
  <c r="C42" i="3"/>
  <c r="D41" i="3"/>
  <c r="D52" i="3" s="1"/>
  <c r="E52" i="3" s="1"/>
  <c r="F52" i="3" s="1"/>
  <c r="C41" i="3"/>
  <c r="C52" i="3" s="1"/>
  <c r="D38" i="3"/>
  <c r="E38" i="3" s="1"/>
  <c r="F38" i="3" s="1"/>
  <c r="C38" i="3"/>
  <c r="E37" i="3"/>
  <c r="F37" i="3" s="1"/>
  <c r="F36" i="3"/>
  <c r="E36" i="3"/>
  <c r="E35" i="3"/>
  <c r="F35" i="3" s="1"/>
  <c r="E34" i="3"/>
  <c r="F34" i="3" s="1"/>
  <c r="E33" i="3"/>
  <c r="F33" i="3" s="1"/>
  <c r="F32" i="3"/>
  <c r="E32" i="3"/>
  <c r="E31" i="3"/>
  <c r="F31" i="3" s="1"/>
  <c r="E30" i="3"/>
  <c r="F30" i="3" s="1"/>
  <c r="E29" i="3"/>
  <c r="F29" i="3" s="1"/>
  <c r="F28" i="3"/>
  <c r="E28" i="3"/>
  <c r="E27" i="3"/>
  <c r="F27" i="3" s="1"/>
  <c r="D25" i="3"/>
  <c r="C25" i="3"/>
  <c r="E24" i="3"/>
  <c r="F24" i="3" s="1"/>
  <c r="E23" i="3"/>
  <c r="F23" i="3" s="1"/>
  <c r="F22" i="3"/>
  <c r="E22" i="3"/>
  <c r="E21" i="3"/>
  <c r="F21" i="3" s="1"/>
  <c r="E20" i="3"/>
  <c r="F20" i="3" s="1"/>
  <c r="E19" i="3"/>
  <c r="F19" i="3" s="1"/>
  <c r="F18" i="3"/>
  <c r="E18" i="3"/>
  <c r="E17" i="3"/>
  <c r="F17" i="3" s="1"/>
  <c r="E16" i="3"/>
  <c r="F16" i="3" s="1"/>
  <c r="E15" i="3"/>
  <c r="F15" i="3" s="1"/>
  <c r="F14" i="3"/>
  <c r="E14" i="3"/>
  <c r="E49" i="2"/>
  <c r="F49" i="2" s="1"/>
  <c r="D46" i="2"/>
  <c r="C46" i="2"/>
  <c r="F45" i="2"/>
  <c r="E45" i="2"/>
  <c r="E44" i="2"/>
  <c r="F44" i="2" s="1"/>
  <c r="D39" i="2"/>
  <c r="E39" i="2" s="1"/>
  <c r="F39" i="2" s="1"/>
  <c r="C39" i="2"/>
  <c r="F38" i="2"/>
  <c r="E38" i="2"/>
  <c r="F37" i="2"/>
  <c r="E37" i="2"/>
  <c r="F36" i="2"/>
  <c r="E36" i="2"/>
  <c r="D31" i="2"/>
  <c r="E31" i="2" s="1"/>
  <c r="C31" i="2"/>
  <c r="E30" i="2"/>
  <c r="F30" i="2" s="1"/>
  <c r="E29" i="2"/>
  <c r="F29" i="2" s="1"/>
  <c r="E28" i="2"/>
  <c r="F28" i="2"/>
  <c r="E27" i="2"/>
  <c r="F27" i="2" s="1"/>
  <c r="E26" i="2"/>
  <c r="F26" i="2" s="1"/>
  <c r="E25" i="2"/>
  <c r="F25" i="2" s="1"/>
  <c r="E24" i="2"/>
  <c r="F24" i="2"/>
  <c r="E23" i="2"/>
  <c r="F23" i="2" s="1"/>
  <c r="E22" i="2"/>
  <c r="F22" i="2" s="1"/>
  <c r="F18" i="2"/>
  <c r="E18" i="2"/>
  <c r="E17" i="2"/>
  <c r="F17" i="2" s="1"/>
  <c r="E16" i="2"/>
  <c r="D16" i="2"/>
  <c r="D19" i="2"/>
  <c r="C16" i="2"/>
  <c r="C19" i="2"/>
  <c r="F15" i="2"/>
  <c r="E15" i="2"/>
  <c r="E14" i="2"/>
  <c r="F14" i="2"/>
  <c r="E13" i="2"/>
  <c r="F13" i="2" s="1"/>
  <c r="E12" i="2"/>
  <c r="F12" i="2" s="1"/>
  <c r="D73" i="1"/>
  <c r="C73" i="1"/>
  <c r="E72" i="1"/>
  <c r="F72" i="1" s="1"/>
  <c r="E71" i="1"/>
  <c r="F71" i="1"/>
  <c r="E70" i="1"/>
  <c r="F70" i="1" s="1"/>
  <c r="F67" i="1"/>
  <c r="E67" i="1"/>
  <c r="E64" i="1"/>
  <c r="F64" i="1" s="1"/>
  <c r="E63" i="1"/>
  <c r="F63" i="1"/>
  <c r="D61" i="1"/>
  <c r="D65" i="1"/>
  <c r="C61" i="1"/>
  <c r="E61" i="1" s="1"/>
  <c r="F60" i="1"/>
  <c r="E60" i="1"/>
  <c r="E59" i="1"/>
  <c r="F59" i="1" s="1"/>
  <c r="D56" i="1"/>
  <c r="C56" i="1"/>
  <c r="E55" i="1"/>
  <c r="F55" i="1" s="1"/>
  <c r="E54" i="1"/>
  <c r="F54" i="1" s="1"/>
  <c r="E53" i="1"/>
  <c r="F53" i="1" s="1"/>
  <c r="F52" i="1"/>
  <c r="E52" i="1"/>
  <c r="E51" i="1"/>
  <c r="F51" i="1" s="1"/>
  <c r="E50" i="1"/>
  <c r="F50" i="1"/>
  <c r="A50" i="1"/>
  <c r="A51" i="1"/>
  <c r="A52" i="1" s="1"/>
  <c r="A53" i="1" s="1"/>
  <c r="A54" i="1" s="1"/>
  <c r="A55" i="1" s="1"/>
  <c r="E49" i="1"/>
  <c r="F49" i="1"/>
  <c r="E40" i="1"/>
  <c r="F40" i="1" s="1"/>
  <c r="D38" i="1"/>
  <c r="E38" i="1" s="1"/>
  <c r="F38" i="1" s="1"/>
  <c r="C38" i="1"/>
  <c r="C41" i="1" s="1"/>
  <c r="E41" i="1" s="1"/>
  <c r="F41" i="1" s="1"/>
  <c r="E37" i="1"/>
  <c r="F37" i="1" s="1"/>
  <c r="E36" i="1"/>
  <c r="F36" i="1" s="1"/>
  <c r="E33" i="1"/>
  <c r="F33" i="1"/>
  <c r="E32" i="1"/>
  <c r="F32" i="1" s="1"/>
  <c r="E31" i="1"/>
  <c r="F31" i="1"/>
  <c r="D29" i="1"/>
  <c r="C29" i="1"/>
  <c r="E28" i="1"/>
  <c r="F28" i="1" s="1"/>
  <c r="F27" i="1"/>
  <c r="E27" i="1"/>
  <c r="F26" i="1"/>
  <c r="E26" i="1"/>
  <c r="E25" i="1"/>
  <c r="F25" i="1" s="1"/>
  <c r="D22" i="1"/>
  <c r="C22" i="1"/>
  <c r="F21" i="1"/>
  <c r="E21" i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F13" i="1"/>
  <c r="E13" i="1"/>
  <c r="D68" i="14"/>
  <c r="D283" i="14"/>
  <c r="D37" i="14"/>
  <c r="D278" i="14"/>
  <c r="D146" i="14"/>
  <c r="E19" i="2"/>
  <c r="F19" i="2" s="1"/>
  <c r="D33" i="2"/>
  <c r="D21" i="5"/>
  <c r="F44" i="3"/>
  <c r="F179" i="3"/>
  <c r="C21" i="5"/>
  <c r="D33" i="9"/>
  <c r="E19" i="9"/>
  <c r="F19" i="9" s="1"/>
  <c r="C33" i="9"/>
  <c r="F88" i="6"/>
  <c r="F114" i="6"/>
  <c r="F208" i="6"/>
  <c r="C33" i="2"/>
  <c r="E21" i="5"/>
  <c r="E20" i="5"/>
  <c r="F42" i="3"/>
  <c r="F50" i="3"/>
  <c r="F31" i="2"/>
  <c r="F86" i="3"/>
  <c r="F88" i="3"/>
  <c r="F92" i="3"/>
  <c r="F94" i="3"/>
  <c r="F109" i="4"/>
  <c r="F63" i="6"/>
  <c r="D66" i="15"/>
  <c r="C83" i="4"/>
  <c r="E17" i="5"/>
  <c r="C43" i="5"/>
  <c r="F128" i="6"/>
  <c r="D41" i="1"/>
  <c r="C49" i="5"/>
  <c r="D53" i="5"/>
  <c r="E140" i="6"/>
  <c r="F140" i="6" s="1"/>
  <c r="E141" i="6"/>
  <c r="F141" i="6" s="1"/>
  <c r="E198" i="6"/>
  <c r="F198" i="6" s="1"/>
  <c r="E199" i="6"/>
  <c r="F199" i="6" s="1"/>
  <c r="F22" i="8"/>
  <c r="D43" i="8"/>
  <c r="E43" i="8" s="1"/>
  <c r="F43" i="8" s="1"/>
  <c r="E73" i="8"/>
  <c r="E50" i="10"/>
  <c r="E80" i="10"/>
  <c r="E77" i="10" s="1"/>
  <c r="E16" i="12"/>
  <c r="E37" i="12"/>
  <c r="F45" i="12"/>
  <c r="E55" i="12"/>
  <c r="F55" i="12" s="1"/>
  <c r="F18" i="13"/>
  <c r="D83" i="4"/>
  <c r="E83" i="4"/>
  <c r="D15" i="5"/>
  <c r="D77" i="5"/>
  <c r="D71" i="5" s="1"/>
  <c r="E41" i="3"/>
  <c r="F41" i="3" s="1"/>
  <c r="E84" i="3"/>
  <c r="F84" i="3" s="1"/>
  <c r="E155" i="4"/>
  <c r="F155" i="4" s="1"/>
  <c r="C53" i="5"/>
  <c r="E24" i="7"/>
  <c r="E48" i="7"/>
  <c r="E72" i="7"/>
  <c r="E96" i="7"/>
  <c r="E29" i="8"/>
  <c r="E61" i="8"/>
  <c r="F61" i="8" s="1"/>
  <c r="F73" i="8"/>
  <c r="E16" i="9"/>
  <c r="E39" i="9"/>
  <c r="E46" i="9"/>
  <c r="F46" i="9"/>
  <c r="E17" i="10"/>
  <c r="E28" i="10"/>
  <c r="E70" i="10" s="1"/>
  <c r="E72" i="10" s="1"/>
  <c r="E69" i="10" s="1"/>
  <c r="D31" i="11"/>
  <c r="F16" i="12"/>
  <c r="E70" i="12"/>
  <c r="C24" i="10"/>
  <c r="C17" i="10"/>
  <c r="C28" i="10" s="1"/>
  <c r="C70" i="10" s="1"/>
  <c r="C72" i="10" s="1"/>
  <c r="C69" i="10" s="1"/>
  <c r="E68" i="14"/>
  <c r="F68" i="14" s="1"/>
  <c r="D145" i="15"/>
  <c r="D168" i="15"/>
  <c r="F29" i="8"/>
  <c r="D75" i="8"/>
  <c r="F16" i="9"/>
  <c r="F39" i="9"/>
  <c r="C25" i="10"/>
  <c r="C27" i="10"/>
  <c r="E59" i="10"/>
  <c r="E61" i="10"/>
  <c r="E57" i="10" s="1"/>
  <c r="F70" i="12"/>
  <c r="D24" i="10"/>
  <c r="D17" i="10"/>
  <c r="D28" i="10"/>
  <c r="D70" i="10" s="1"/>
  <c r="D72" i="10" s="1"/>
  <c r="D69" i="10" s="1"/>
  <c r="C31" i="11"/>
  <c r="C33" i="11"/>
  <c r="C36" i="11"/>
  <c r="C38" i="11" s="1"/>
  <c r="C40" i="11" s="1"/>
  <c r="G31" i="11"/>
  <c r="I31" i="11"/>
  <c r="G33" i="11"/>
  <c r="I17" i="11"/>
  <c r="D295" i="15"/>
  <c r="F56" i="8"/>
  <c r="C75" i="8"/>
  <c r="H33" i="11"/>
  <c r="H36" i="11" s="1"/>
  <c r="H38" i="11" s="1"/>
  <c r="H40" i="11" s="1"/>
  <c r="F30" i="12"/>
  <c r="F50" i="12"/>
  <c r="F65" i="12"/>
  <c r="F92" i="12"/>
  <c r="C290" i="14"/>
  <c r="C199" i="14"/>
  <c r="C43" i="15"/>
  <c r="E37" i="15"/>
  <c r="D261" i="15"/>
  <c r="E188" i="15"/>
  <c r="C245" i="15"/>
  <c r="E245" i="15" s="1"/>
  <c r="E221" i="15"/>
  <c r="E20" i="14"/>
  <c r="E23" i="14"/>
  <c r="F23" i="14" s="1"/>
  <c r="F24" i="14"/>
  <c r="E31" i="14"/>
  <c r="F31" i="14" s="1"/>
  <c r="E52" i="14"/>
  <c r="F52" i="14" s="1"/>
  <c r="F53" i="14"/>
  <c r="E60" i="14"/>
  <c r="F60" i="14" s="1"/>
  <c r="E66" i="14"/>
  <c r="F67" i="14"/>
  <c r="E76" i="14"/>
  <c r="F76" i="14" s="1"/>
  <c r="E88" i="14"/>
  <c r="F88" i="14" s="1"/>
  <c r="F101" i="14"/>
  <c r="F124" i="14"/>
  <c r="C159" i="14"/>
  <c r="C181" i="14"/>
  <c r="C207" i="14"/>
  <c r="E226" i="14"/>
  <c r="E176" i="15"/>
  <c r="E219" i="15"/>
  <c r="C278" i="14"/>
  <c r="C215" i="14"/>
  <c r="F189" i="14"/>
  <c r="C283" i="14"/>
  <c r="C287" i="14" s="1"/>
  <c r="C205" i="14"/>
  <c r="F203" i="14"/>
  <c r="D22" i="15"/>
  <c r="D283" i="15"/>
  <c r="E283" i="15" s="1"/>
  <c r="D289" i="15"/>
  <c r="E60" i="15"/>
  <c r="C189" i="15"/>
  <c r="C261" i="15"/>
  <c r="E243" i="15"/>
  <c r="D252" i="15"/>
  <c r="D320" i="15"/>
  <c r="E320" i="15" s="1"/>
  <c r="E316" i="15"/>
  <c r="D41" i="17"/>
  <c r="F94" i="14"/>
  <c r="F135" i="14"/>
  <c r="E137" i="14"/>
  <c r="F137" i="14"/>
  <c r="F158" i="14"/>
  <c r="F165" i="14"/>
  <c r="E171" i="14"/>
  <c r="F171" i="14" s="1"/>
  <c r="C173" i="14"/>
  <c r="C192" i="14"/>
  <c r="C214" i="14"/>
  <c r="F227" i="14"/>
  <c r="F237" i="14"/>
  <c r="F250" i="14"/>
  <c r="C262" i="14"/>
  <c r="F299" i="14"/>
  <c r="E38" i="15"/>
  <c r="D71" i="15"/>
  <c r="C241" i="15"/>
  <c r="D222" i="15"/>
  <c r="E40" i="17"/>
  <c r="E173" i="14"/>
  <c r="E298" i="14"/>
  <c r="F298" i="14" s="1"/>
  <c r="E311" i="14"/>
  <c r="F311" i="14" s="1"/>
  <c r="D294" i="15"/>
  <c r="E32" i="15"/>
  <c r="C71" i="15"/>
  <c r="C76" i="15" s="1"/>
  <c r="C65" i="15"/>
  <c r="C66" i="15" s="1"/>
  <c r="E66" i="15" s="1"/>
  <c r="C289" i="15"/>
  <c r="D76" i="15"/>
  <c r="D77" i="15" s="1"/>
  <c r="E70" i="15"/>
  <c r="D163" i="15"/>
  <c r="D175" i="15"/>
  <c r="E175" i="15"/>
  <c r="E139" i="15"/>
  <c r="D239" i="15"/>
  <c r="E239" i="15" s="1"/>
  <c r="E109" i="19"/>
  <c r="E108" i="19"/>
  <c r="D209" i="14"/>
  <c r="D104" i="14"/>
  <c r="D174" i="14"/>
  <c r="D254" i="14"/>
  <c r="C21" i="14"/>
  <c r="C32" i="14"/>
  <c r="C61" i="14"/>
  <c r="C77" i="14"/>
  <c r="E77" i="14" s="1"/>
  <c r="C89" i="14"/>
  <c r="F172" i="14"/>
  <c r="F180" i="14"/>
  <c r="C206" i="14"/>
  <c r="F223" i="14"/>
  <c r="C239" i="14"/>
  <c r="C255" i="14"/>
  <c r="C267" i="14"/>
  <c r="F295" i="14"/>
  <c r="D43" i="15"/>
  <c r="C38" i="16"/>
  <c r="C127" i="16" s="1"/>
  <c r="C129" i="16" s="1"/>
  <c r="C133" i="16" s="1"/>
  <c r="C65" i="16"/>
  <c r="C114" i="16"/>
  <c r="C116" i="16" s="1"/>
  <c r="C119" i="16" s="1"/>
  <c r="C123" i="16" s="1"/>
  <c r="F40" i="17"/>
  <c r="D90" i="14"/>
  <c r="C261" i="14"/>
  <c r="C254" i="14"/>
  <c r="E188" i="14"/>
  <c r="F188" i="14" s="1"/>
  <c r="E294" i="14"/>
  <c r="F294" i="14" s="1"/>
  <c r="C33" i="15"/>
  <c r="C294" i="15"/>
  <c r="C144" i="15"/>
  <c r="E144" i="15"/>
  <c r="C163" i="15"/>
  <c r="E163" i="15" s="1"/>
  <c r="D242" i="15"/>
  <c r="E242" i="15" s="1"/>
  <c r="E218" i="15"/>
  <c r="D217" i="15"/>
  <c r="D303" i="15"/>
  <c r="D109" i="19"/>
  <c r="D108" i="19"/>
  <c r="D175" i="14"/>
  <c r="D62" i="14"/>
  <c r="D210" i="14"/>
  <c r="D105" i="14"/>
  <c r="F20" i="14"/>
  <c r="F66" i="14"/>
  <c r="C102" i="14"/>
  <c r="E136" i="14"/>
  <c r="F136" i="14" s="1"/>
  <c r="E170" i="14"/>
  <c r="F170" i="14" s="1"/>
  <c r="F179" i="14"/>
  <c r="C190" i="14"/>
  <c r="C193" i="14"/>
  <c r="E198" i="14"/>
  <c r="F198" i="14" s="1"/>
  <c r="C200" i="14"/>
  <c r="F226" i="14"/>
  <c r="E238" i="14"/>
  <c r="F238" i="14" s="1"/>
  <c r="C274" i="14"/>
  <c r="C284" i="14"/>
  <c r="C306" i="14"/>
  <c r="C44" i="15"/>
  <c r="E42" i="15"/>
  <c r="E54" i="15"/>
  <c r="C77" i="15"/>
  <c r="D189" i="15"/>
  <c r="E189" i="15" s="1"/>
  <c r="C22" i="15"/>
  <c r="C284" i="15" s="1"/>
  <c r="E284" i="15" s="1"/>
  <c r="E233" i="15"/>
  <c r="E251" i="15"/>
  <c r="C22" i="16"/>
  <c r="C39" i="17"/>
  <c r="E22" i="19"/>
  <c r="D34" i="19"/>
  <c r="D54" i="19"/>
  <c r="D102" i="19"/>
  <c r="C109" i="19"/>
  <c r="E111" i="19"/>
  <c r="D125" i="14"/>
  <c r="D138" i="14"/>
  <c r="E138" i="14" s="1"/>
  <c r="F138" i="14" s="1"/>
  <c r="D161" i="14"/>
  <c r="D277" i="14"/>
  <c r="D285" i="14"/>
  <c r="C302" i="15"/>
  <c r="E302" i="15" s="1"/>
  <c r="C303" i="15"/>
  <c r="C306" i="15" s="1"/>
  <c r="C310" i="15" s="1"/>
  <c r="E314" i="15"/>
  <c r="C49" i="16"/>
  <c r="E30" i="19"/>
  <c r="E36" i="19"/>
  <c r="E40" i="19"/>
  <c r="E46" i="19"/>
  <c r="D111" i="19"/>
  <c r="D160" i="14"/>
  <c r="D206" i="14"/>
  <c r="D274" i="14"/>
  <c r="E274" i="14" s="1"/>
  <c r="F274" i="14" s="1"/>
  <c r="D280" i="14"/>
  <c r="D30" i="19"/>
  <c r="E33" i="19"/>
  <c r="D36" i="19"/>
  <c r="D40" i="19"/>
  <c r="E101" i="19"/>
  <c r="E103" i="19" s="1"/>
  <c r="C111" i="19"/>
  <c r="D49" i="14"/>
  <c r="D91" i="14"/>
  <c r="D199" i="14"/>
  <c r="E199" i="14" s="1"/>
  <c r="F199" i="14" s="1"/>
  <c r="D205" i="14"/>
  <c r="E205" i="14" s="1"/>
  <c r="F205" i="14" s="1"/>
  <c r="D215" i="14"/>
  <c r="D261" i="14"/>
  <c r="C30" i="19"/>
  <c r="C36" i="19"/>
  <c r="C40" i="19"/>
  <c r="D190" i="14"/>
  <c r="E190" i="14" s="1"/>
  <c r="F190" i="14" s="1"/>
  <c r="C126" i="15"/>
  <c r="C122" i="15"/>
  <c r="C115" i="15"/>
  <c r="C111" i="15"/>
  <c r="C127" i="15"/>
  <c r="C123" i="15"/>
  <c r="C112" i="15"/>
  <c r="C125" i="15"/>
  <c r="C114" i="15"/>
  <c r="C109" i="15"/>
  <c r="C121" i="15"/>
  <c r="C110" i="15"/>
  <c r="C124" i="15"/>
  <c r="C113" i="15"/>
  <c r="D127" i="15"/>
  <c r="D123" i="15"/>
  <c r="D112" i="15"/>
  <c r="E112" i="15" s="1"/>
  <c r="E77" i="15"/>
  <c r="D124" i="15"/>
  <c r="D113" i="15"/>
  <c r="D109" i="15"/>
  <c r="D122" i="15"/>
  <c r="D111" i="15"/>
  <c r="E111" i="15" s="1"/>
  <c r="D125" i="15"/>
  <c r="E125" i="15" s="1"/>
  <c r="D114" i="15"/>
  <c r="E114" i="15" s="1"/>
  <c r="D126" i="15"/>
  <c r="E126" i="15" s="1"/>
  <c r="D115" i="15"/>
  <c r="E115" i="15" s="1"/>
  <c r="D121" i="15"/>
  <c r="D110" i="15"/>
  <c r="D255" i="14"/>
  <c r="E255" i="14" s="1"/>
  <c r="F255" i="14" s="1"/>
  <c r="E215" i="14"/>
  <c r="D92" i="14"/>
  <c r="E48" i="19"/>
  <c r="E38" i="19"/>
  <c r="E113" i="19"/>
  <c r="E56" i="19"/>
  <c r="D162" i="14"/>
  <c r="D211" i="14"/>
  <c r="E217" i="15"/>
  <c r="D241" i="15"/>
  <c r="E241" i="15" s="1"/>
  <c r="D259" i="15"/>
  <c r="E43" i="15"/>
  <c r="E267" i="14"/>
  <c r="F267" i="14" s="1"/>
  <c r="C286" i="14"/>
  <c r="E283" i="14"/>
  <c r="F283" i="14" s="1"/>
  <c r="C22" i="10"/>
  <c r="C21" i="10"/>
  <c r="C20" i="10"/>
  <c r="E112" i="5"/>
  <c r="E111" i="5"/>
  <c r="E28" i="5"/>
  <c r="C41" i="2"/>
  <c r="D216" i="14"/>
  <c r="F173" i="14"/>
  <c r="F75" i="8"/>
  <c r="E75" i="8"/>
  <c r="C41" i="17"/>
  <c r="C194" i="14"/>
  <c r="D106" i="14"/>
  <c r="D176" i="14"/>
  <c r="E89" i="14"/>
  <c r="F89" i="14" s="1"/>
  <c r="C161" i="14"/>
  <c r="C126" i="14"/>
  <c r="E21" i="14"/>
  <c r="F21" i="14" s="1"/>
  <c r="C196" i="14"/>
  <c r="C91" i="14"/>
  <c r="E91" i="14" s="1"/>
  <c r="F91" i="14" s="1"/>
  <c r="D246" i="15"/>
  <c r="D284" i="15"/>
  <c r="E22" i="15"/>
  <c r="C288" i="14"/>
  <c r="E278" i="14"/>
  <c r="F278" i="14"/>
  <c r="E181" i="14"/>
  <c r="F181" i="14" s="1"/>
  <c r="E290" i="14"/>
  <c r="F290" i="14" s="1"/>
  <c r="E33" i="2"/>
  <c r="F33" i="2" s="1"/>
  <c r="D41" i="2"/>
  <c r="E294" i="15"/>
  <c r="E261" i="15"/>
  <c r="D268" i="14"/>
  <c r="D271" i="14"/>
  <c r="D263" i="14"/>
  <c r="E261" i="14"/>
  <c r="F261" i="14" s="1"/>
  <c r="D287" i="14"/>
  <c r="D279" i="14"/>
  <c r="D284" i="14"/>
  <c r="E284" i="14" s="1"/>
  <c r="F284" i="14" s="1"/>
  <c r="E277" i="14"/>
  <c r="F277" i="14"/>
  <c r="C289" i="14"/>
  <c r="E262" i="14"/>
  <c r="F262" i="14" s="1"/>
  <c r="C216" i="14"/>
  <c r="E214" i="14"/>
  <c r="F214" i="14"/>
  <c r="E207" i="14"/>
  <c r="F207" i="14"/>
  <c r="C208" i="14"/>
  <c r="E159" i="14"/>
  <c r="F159" i="14" s="1"/>
  <c r="C41" i="9"/>
  <c r="E76" i="15"/>
  <c r="E39" i="17"/>
  <c r="E41" i="17" s="1"/>
  <c r="F41" i="17" s="1"/>
  <c r="F215" i="14"/>
  <c r="E33" i="15"/>
  <c r="C266" i="14"/>
  <c r="E65" i="15"/>
  <c r="C56" i="19"/>
  <c r="C48" i="19"/>
  <c r="C38" i="19"/>
  <c r="C113" i="19"/>
  <c r="E110" i="19"/>
  <c r="E53" i="19"/>
  <c r="E45" i="19"/>
  <c r="E39" i="19"/>
  <c r="E35" i="19"/>
  <c r="E29" i="19"/>
  <c r="E306" i="14"/>
  <c r="D306" i="15"/>
  <c r="E303" i="15"/>
  <c r="C145" i="15"/>
  <c r="E145" i="15" s="1"/>
  <c r="C168" i="15"/>
  <c r="E168" i="15" s="1"/>
  <c r="E239" i="14"/>
  <c r="F239" i="14" s="1"/>
  <c r="C140" i="14"/>
  <c r="C62" i="14"/>
  <c r="C210" i="14"/>
  <c r="E210" i="14" s="1"/>
  <c r="F210" i="14" s="1"/>
  <c r="C175" i="14"/>
  <c r="E175" i="14" s="1"/>
  <c r="F175" i="14" s="1"/>
  <c r="E32" i="14"/>
  <c r="F32" i="14" s="1"/>
  <c r="D50" i="14"/>
  <c r="D113" i="19"/>
  <c r="D56" i="19"/>
  <c r="D48" i="19"/>
  <c r="D38" i="19"/>
  <c r="D286" i="14"/>
  <c r="E286" i="14" s="1"/>
  <c r="F286" i="14" s="1"/>
  <c r="D288" i="14"/>
  <c r="E288" i="14" s="1"/>
  <c r="F288" i="14" s="1"/>
  <c r="E285" i="14"/>
  <c r="F285" i="14" s="1"/>
  <c r="C99" i="15"/>
  <c r="C95" i="15"/>
  <c r="C88" i="15"/>
  <c r="C84" i="15"/>
  <c r="C258" i="15"/>
  <c r="C100" i="15"/>
  <c r="C96" i="15"/>
  <c r="C89" i="15"/>
  <c r="C85" i="15"/>
  <c r="C83" i="15"/>
  <c r="C97" i="15"/>
  <c r="C86" i="15"/>
  <c r="C98" i="15"/>
  <c r="C87" i="15"/>
  <c r="C101" i="15"/>
  <c r="E200" i="14"/>
  <c r="F200" i="14" s="1"/>
  <c r="F102" i="14"/>
  <c r="E102" i="14"/>
  <c r="C103" i="14"/>
  <c r="C105" i="14" s="1"/>
  <c r="D63" i="14"/>
  <c r="E62" i="14"/>
  <c r="C263" i="14"/>
  <c r="C271" i="14"/>
  <c r="C268" i="14"/>
  <c r="C209" i="14"/>
  <c r="E209" i="14" s="1"/>
  <c r="F209" i="14" s="1"/>
  <c r="C174" i="14"/>
  <c r="C139" i="14"/>
  <c r="E61" i="14"/>
  <c r="F61" i="14" s="1"/>
  <c r="E254" i="14"/>
  <c r="F254" i="14" s="1"/>
  <c r="G36" i="11"/>
  <c r="G38" i="11" s="1"/>
  <c r="G40" i="11" s="1"/>
  <c r="I33" i="11"/>
  <c r="I36" i="11"/>
  <c r="I38" i="11" s="1"/>
  <c r="I40" i="11" s="1"/>
  <c r="D24" i="5"/>
  <c r="D20" i="5"/>
  <c r="D17" i="5"/>
  <c r="D41" i="9"/>
  <c r="E33" i="9"/>
  <c r="F33" i="9" s="1"/>
  <c r="E206" i="14"/>
  <c r="F206" i="14"/>
  <c r="C304" i="14"/>
  <c r="D44" i="15"/>
  <c r="D139" i="14"/>
  <c r="E139" i="14" s="1"/>
  <c r="F139" i="14" s="1"/>
  <c r="D223" i="15"/>
  <c r="C279" i="14"/>
  <c r="C282" i="14"/>
  <c r="E289" i="15"/>
  <c r="D300" i="14"/>
  <c r="C259" i="15"/>
  <c r="C263" i="15" s="1"/>
  <c r="C264" i="15" s="1"/>
  <c r="C266" i="15" s="1"/>
  <c r="C267" i="15" s="1"/>
  <c r="F83" i="4"/>
  <c r="D43" i="1"/>
  <c r="C141" i="14"/>
  <c r="E41" i="2"/>
  <c r="D48" i="2"/>
  <c r="C162" i="14"/>
  <c r="D116" i="15"/>
  <c r="E110" i="15"/>
  <c r="E109" i="15"/>
  <c r="F62" i="14"/>
  <c r="C63" i="14"/>
  <c r="E63" i="14" s="1"/>
  <c r="F63" i="14" s="1"/>
  <c r="D310" i="15"/>
  <c r="E310" i="15" s="1"/>
  <c r="E306" i="15"/>
  <c r="E287" i="14"/>
  <c r="F287" i="14" s="1"/>
  <c r="D291" i="14"/>
  <c r="D289" i="14"/>
  <c r="E289" i="14" s="1"/>
  <c r="F289" i="14" s="1"/>
  <c r="C92" i="14"/>
  <c r="C127" i="14"/>
  <c r="E126" i="14"/>
  <c r="F126" i="14" s="1"/>
  <c r="E99" i="5"/>
  <c r="E101" i="5" s="1"/>
  <c r="E98" i="5" s="1"/>
  <c r="E22" i="5"/>
  <c r="E259" i="15"/>
  <c r="D183" i="14"/>
  <c r="D323" i="14"/>
  <c r="E162" i="14"/>
  <c r="D128" i="15"/>
  <c r="E122" i="15"/>
  <c r="E268" i="14"/>
  <c r="F268" i="14" s="1"/>
  <c r="E216" i="14"/>
  <c r="C128" i="15"/>
  <c r="D247" i="15"/>
  <c r="D304" i="14"/>
  <c r="D273" i="14"/>
  <c r="E271" i="14"/>
  <c r="F41" i="2"/>
  <c r="C48" i="2"/>
  <c r="C102" i="15"/>
  <c r="C103" i="15" s="1"/>
  <c r="E279" i="14"/>
  <c r="F279" i="14" s="1"/>
  <c r="F39" i="17"/>
  <c r="E161" i="14"/>
  <c r="F161" i="14"/>
  <c r="E124" i="15"/>
  <c r="E127" i="15"/>
  <c r="C129" i="15"/>
  <c r="F271" i="14"/>
  <c r="D112" i="5"/>
  <c r="D111" i="5" s="1"/>
  <c r="D28" i="5"/>
  <c r="D100" i="15"/>
  <c r="E100" i="15"/>
  <c r="D96" i="15"/>
  <c r="D89" i="15"/>
  <c r="E89" i="15" s="1"/>
  <c r="D85" i="15"/>
  <c r="E85" i="15" s="1"/>
  <c r="D258" i="15"/>
  <c r="D101" i="15"/>
  <c r="E101" i="15"/>
  <c r="D97" i="15"/>
  <c r="E97" i="15"/>
  <c r="D86" i="15"/>
  <c r="E86" i="15"/>
  <c r="D99" i="15"/>
  <c r="E99" i="15"/>
  <c r="D88" i="15"/>
  <c r="E88" i="15"/>
  <c r="D83" i="15"/>
  <c r="D95" i="15"/>
  <c r="D84" i="15"/>
  <c r="D98" i="15"/>
  <c r="E98" i="15" s="1"/>
  <c r="D87" i="15"/>
  <c r="E87" i="15" s="1"/>
  <c r="E44" i="15"/>
  <c r="E41" i="9"/>
  <c r="D48" i="9"/>
  <c r="E47" i="19"/>
  <c r="E37" i="19"/>
  <c r="E112" i="19"/>
  <c r="E55" i="19"/>
  <c r="E103" i="14"/>
  <c r="F103" i="14" s="1"/>
  <c r="D70" i="14"/>
  <c r="C176" i="14"/>
  <c r="C169" i="15"/>
  <c r="F41" i="9"/>
  <c r="C48" i="9"/>
  <c r="E208" i="14"/>
  <c r="F208" i="14" s="1"/>
  <c r="D324" i="14"/>
  <c r="D113" i="14"/>
  <c r="E92" i="14"/>
  <c r="E121" i="15"/>
  <c r="D129" i="15"/>
  <c r="E129" i="15"/>
  <c r="E174" i="14"/>
  <c r="F174" i="14" s="1"/>
  <c r="C90" i="15"/>
  <c r="C91" i="15" s="1"/>
  <c r="C105" i="15" s="1"/>
  <c r="F216" i="14"/>
  <c r="C291" i="14"/>
  <c r="E263" i="14"/>
  <c r="F263" i="14" s="1"/>
  <c r="E113" i="15"/>
  <c r="E123" i="15"/>
  <c r="C116" i="15"/>
  <c r="C117" i="15" s="1"/>
  <c r="E83" i="15"/>
  <c r="F92" i="14"/>
  <c r="C305" i="14"/>
  <c r="E95" i="15"/>
  <c r="D99" i="5"/>
  <c r="D101" i="5" s="1"/>
  <c r="D98" i="5" s="1"/>
  <c r="D22" i="5"/>
  <c r="E304" i="14"/>
  <c r="F304" i="14" s="1"/>
  <c r="C148" i="14"/>
  <c r="C197" i="14"/>
  <c r="E127" i="14"/>
  <c r="F127" i="14" s="1"/>
  <c r="E291" i="14"/>
  <c r="F291" i="14" s="1"/>
  <c r="D305" i="14"/>
  <c r="E128" i="15"/>
  <c r="E48" i="2"/>
  <c r="F48" i="2" s="1"/>
  <c r="D90" i="15"/>
  <c r="E90" i="15" s="1"/>
  <c r="E84" i="15"/>
  <c r="E258" i="15"/>
  <c r="E96" i="15"/>
  <c r="D102" i="15"/>
  <c r="E102" i="15"/>
  <c r="C183" i="14"/>
  <c r="C323" i="14"/>
  <c r="E323" i="14" s="1"/>
  <c r="F323" i="14" s="1"/>
  <c r="F162" i="14"/>
  <c r="C322" i="14"/>
  <c r="C211" i="14"/>
  <c r="E48" i="9"/>
  <c r="F48" i="9" s="1"/>
  <c r="E176" i="14"/>
  <c r="F176" i="14" s="1"/>
  <c r="D117" i="15"/>
  <c r="D131" i="15" s="1"/>
  <c r="E211" i="14"/>
  <c r="F211" i="14" s="1"/>
  <c r="C309" i="14"/>
  <c r="E183" i="14"/>
  <c r="F183" i="14"/>
  <c r="D103" i="15"/>
  <c r="E103" i="15" s="1"/>
  <c r="D309" i="14"/>
  <c r="E309" i="14" s="1"/>
  <c r="F309" i="14" s="1"/>
  <c r="E305" i="14"/>
  <c r="F305" i="14" s="1"/>
  <c r="C310" i="14"/>
  <c r="D310" i="14" l="1"/>
  <c r="D312" i="14" s="1"/>
  <c r="D313" i="14" s="1"/>
  <c r="D251" i="14" s="1"/>
  <c r="C104" i="14"/>
  <c r="E104" i="14" s="1"/>
  <c r="F104" i="14" s="1"/>
  <c r="C295" i="15"/>
  <c r="E295" i="15" s="1"/>
  <c r="C43" i="1"/>
  <c r="E43" i="1" s="1"/>
  <c r="F43" i="1" s="1"/>
  <c r="F16" i="2"/>
  <c r="E46" i="2"/>
  <c r="F46" i="2" s="1"/>
  <c r="E25" i="3"/>
  <c r="F25" i="3" s="1"/>
  <c r="E46" i="3"/>
  <c r="F46" i="3" s="1"/>
  <c r="E47" i="3"/>
  <c r="F49" i="3"/>
  <c r="F85" i="3"/>
  <c r="E71" i="15"/>
  <c r="E22" i="1"/>
  <c r="F22" i="1" s="1"/>
  <c r="F47" i="3"/>
  <c r="F118" i="4"/>
  <c r="C15" i="5"/>
  <c r="E57" i="5"/>
  <c r="E62" i="5" s="1"/>
  <c r="E53" i="5"/>
  <c r="E71" i="5"/>
  <c r="E149" i="5"/>
  <c r="D166" i="5"/>
  <c r="E166" i="5"/>
  <c r="E23" i="6"/>
  <c r="F23" i="6" s="1"/>
  <c r="E24" i="6"/>
  <c r="F24" i="6" s="1"/>
  <c r="E36" i="6"/>
  <c r="E37" i="6"/>
  <c r="E49" i="6"/>
  <c r="F49" i="6" s="1"/>
  <c r="E50" i="6"/>
  <c r="F50" i="6" s="1"/>
  <c r="F62" i="6"/>
  <c r="F89" i="6"/>
  <c r="E127" i="6"/>
  <c r="F127" i="6" s="1"/>
  <c r="E154" i="6"/>
  <c r="E207" i="6"/>
  <c r="F207" i="6" s="1"/>
  <c r="E68" i="3"/>
  <c r="F68" i="3" s="1"/>
  <c r="E81" i="3"/>
  <c r="F81" i="3" s="1"/>
  <c r="F87" i="3"/>
  <c r="E90" i="3"/>
  <c r="F90" i="3" s="1"/>
  <c r="E91" i="3"/>
  <c r="E111" i="3"/>
  <c r="F111" i="3" s="1"/>
  <c r="E124" i="3"/>
  <c r="F153" i="3"/>
  <c r="E166" i="3"/>
  <c r="F166" i="3" s="1"/>
  <c r="E24" i="4"/>
  <c r="F24" i="4" s="1"/>
  <c r="E35" i="4"/>
  <c r="F35" i="4" s="1"/>
  <c r="F41" i="4"/>
  <c r="C176" i="4"/>
  <c r="D176" i="4"/>
  <c r="E176" i="4" s="1"/>
  <c r="F176" i="4" s="1"/>
  <c r="E109" i="5"/>
  <c r="E106" i="5" s="1"/>
  <c r="C149" i="5"/>
  <c r="D149" i="5"/>
  <c r="C166" i="5"/>
  <c r="E35" i="7"/>
  <c r="F35" i="7" s="1"/>
  <c r="E36" i="7"/>
  <c r="F36" i="7" s="1"/>
  <c r="E47" i="7"/>
  <c r="E84" i="7"/>
  <c r="C121" i="7"/>
  <c r="C122" i="7"/>
  <c r="E113" i="7"/>
  <c r="F113" i="7" s="1"/>
  <c r="E114" i="7"/>
  <c r="F114" i="7" s="1"/>
  <c r="E115" i="7"/>
  <c r="F115" i="7" s="1"/>
  <c r="E116" i="7"/>
  <c r="F116" i="7" s="1"/>
  <c r="E117" i="7"/>
  <c r="F117" i="7" s="1"/>
  <c r="E118" i="7"/>
  <c r="F118" i="7" s="1"/>
  <c r="E119" i="7"/>
  <c r="E120" i="7"/>
  <c r="F120" i="7" s="1"/>
  <c r="C59" i="10"/>
  <c r="C61" i="10" s="1"/>
  <c r="C57" i="10" s="1"/>
  <c r="D42" i="10"/>
  <c r="D80" i="10"/>
  <c r="D77" i="10" s="1"/>
  <c r="F31" i="11"/>
  <c r="H31" i="11" s="1"/>
  <c r="E23" i="12"/>
  <c r="F23" i="12" s="1"/>
  <c r="F99" i="12"/>
  <c r="F14" i="13"/>
  <c r="C280" i="14"/>
  <c r="E21" i="15"/>
  <c r="E39" i="15"/>
  <c r="E55" i="15"/>
  <c r="E72" i="15"/>
  <c r="E161" i="15"/>
  <c r="E173" i="15"/>
  <c r="E178" i="15"/>
  <c r="E179" i="15"/>
  <c r="E195" i="15"/>
  <c r="E229" i="15"/>
  <c r="E240" i="15"/>
  <c r="E231" i="15"/>
  <c r="E276" i="15"/>
  <c r="E278" i="15"/>
  <c r="E279" i="15"/>
  <c r="E291" i="15"/>
  <c r="E292" i="15"/>
  <c r="D326" i="15"/>
  <c r="E43" i="17"/>
  <c r="F43" i="17" s="1"/>
  <c r="D101" i="19"/>
  <c r="D103" i="19" s="1"/>
  <c r="F119" i="7"/>
  <c r="E42" i="10"/>
  <c r="C37" i="14"/>
  <c r="F44" i="14"/>
  <c r="C48" i="14"/>
  <c r="E59" i="14"/>
  <c r="F59" i="14" s="1"/>
  <c r="C111" i="14"/>
  <c r="C146" i="14"/>
  <c r="C264" i="14"/>
  <c r="F296" i="14"/>
  <c r="E40" i="15"/>
  <c r="E16" i="17"/>
  <c r="F16" i="17" s="1"/>
  <c r="E19" i="17"/>
  <c r="D46" i="17"/>
  <c r="C102" i="19"/>
  <c r="D88" i="19"/>
  <c r="D93" i="19"/>
  <c r="D98" i="19"/>
  <c r="D111" i="14"/>
  <c r="E131" i="15"/>
  <c r="C131" i="15"/>
  <c r="E117" i="15"/>
  <c r="C268" i="15"/>
  <c r="C269" i="15"/>
  <c r="E105" i="14"/>
  <c r="C106" i="14"/>
  <c r="F105" i="14"/>
  <c r="D91" i="15"/>
  <c r="D140" i="14"/>
  <c r="D315" i="14"/>
  <c r="D314" i="14"/>
  <c r="C312" i="14"/>
  <c r="E116" i="15"/>
  <c r="C253" i="15"/>
  <c r="E56" i="1"/>
  <c r="F56" i="1" s="1"/>
  <c r="D75" i="1"/>
  <c r="E73" i="1"/>
  <c r="F73" i="1" s="1"/>
  <c r="F43" i="3"/>
  <c r="F51" i="3"/>
  <c r="E95" i="3"/>
  <c r="F95" i="3" s="1"/>
  <c r="F65" i="8"/>
  <c r="E29" i="1"/>
  <c r="F29" i="1" s="1"/>
  <c r="F61" i="1"/>
  <c r="C65" i="1"/>
  <c r="F91" i="3"/>
  <c r="F124" i="3"/>
  <c r="F41" i="8"/>
  <c r="E18" i="4"/>
  <c r="F18" i="4" s="1"/>
  <c r="E171" i="4"/>
  <c r="F171" i="4" s="1"/>
  <c r="D43" i="5"/>
  <c r="D49" i="5"/>
  <c r="E75" i="6"/>
  <c r="F75" i="6" s="1"/>
  <c r="E76" i="6"/>
  <c r="F76" i="6" s="1"/>
  <c r="E166" i="6"/>
  <c r="E167" i="6"/>
  <c r="E200" i="6"/>
  <c r="F200" i="6" s="1"/>
  <c r="E201" i="6"/>
  <c r="F201" i="6" s="1"/>
  <c r="E202" i="6"/>
  <c r="F202" i="6" s="1"/>
  <c r="E203" i="6"/>
  <c r="F203" i="6" s="1"/>
  <c r="E204" i="6"/>
  <c r="F204" i="6" s="1"/>
  <c r="E205" i="6"/>
  <c r="F205" i="6" s="1"/>
  <c r="E206" i="6"/>
  <c r="F206" i="6" s="1"/>
  <c r="E59" i="7"/>
  <c r="F59" i="7" s="1"/>
  <c r="E60" i="7"/>
  <c r="F60" i="7" s="1"/>
  <c r="E107" i="7"/>
  <c r="F107" i="7" s="1"/>
  <c r="E108" i="7"/>
  <c r="F108" i="7" s="1"/>
  <c r="F112" i="7"/>
  <c r="E38" i="8"/>
  <c r="F38" i="8" s="1"/>
  <c r="E43" i="5"/>
  <c r="D121" i="7"/>
  <c r="E121" i="7" s="1"/>
  <c r="F121" i="7" s="1"/>
  <c r="D122" i="7"/>
  <c r="F22" i="13"/>
  <c r="E156" i="15"/>
  <c r="D59" i="10"/>
  <c r="D61" i="10" s="1"/>
  <c r="D57" i="10" s="1"/>
  <c r="E29" i="14"/>
  <c r="F29" i="14" s="1"/>
  <c r="E58" i="14"/>
  <c r="F58" i="14" s="1"/>
  <c r="E95" i="14"/>
  <c r="F95" i="14" s="1"/>
  <c r="F120" i="14"/>
  <c r="E129" i="14"/>
  <c r="F129" i="14" s="1"/>
  <c r="E155" i="14"/>
  <c r="F155" i="14" s="1"/>
  <c r="E204" i="14"/>
  <c r="E229" i="14"/>
  <c r="F229" i="14" s="1"/>
  <c r="E297" i="14"/>
  <c r="F297" i="14" s="1"/>
  <c r="F307" i="14"/>
  <c r="E151" i="15"/>
  <c r="C210" i="15"/>
  <c r="E215" i="15"/>
  <c r="E220" i="15"/>
  <c r="D244" i="15"/>
  <c r="E244" i="15" s="1"/>
  <c r="D253" i="15"/>
  <c r="E46" i="17"/>
  <c r="F46" i="17" s="1"/>
  <c r="D25" i="10"/>
  <c r="D27" i="10" s="1"/>
  <c r="E25" i="10"/>
  <c r="E27" i="10" s="1"/>
  <c r="E31" i="11"/>
  <c r="E60" i="12"/>
  <c r="F60" i="12" s="1"/>
  <c r="E75" i="12"/>
  <c r="F75" i="12" s="1"/>
  <c r="E35" i="14"/>
  <c r="F35" i="14" s="1"/>
  <c r="E109" i="14"/>
  <c r="F109" i="14" s="1"/>
  <c r="E123" i="14"/>
  <c r="F123" i="14" s="1"/>
  <c r="E144" i="14"/>
  <c r="F144" i="14" s="1"/>
  <c r="C269" i="14"/>
  <c r="F204" i="14"/>
  <c r="D157" i="15"/>
  <c r="D260" i="15"/>
  <c r="D210" i="15"/>
  <c r="E205" i="15"/>
  <c r="E216" i="15"/>
  <c r="C252" i="15"/>
  <c r="C222" i="15"/>
  <c r="C54" i="19"/>
  <c r="C46" i="19"/>
  <c r="F19" i="17"/>
  <c r="C34" i="19"/>
  <c r="E265" i="15"/>
  <c r="D20" i="17"/>
  <c r="E20" i="17" s="1"/>
  <c r="F20" i="17" s="1"/>
  <c r="E25" i="17"/>
  <c r="F25" i="17" s="1"/>
  <c r="E36" i="17"/>
  <c r="F36" i="17" s="1"/>
  <c r="C33" i="19"/>
  <c r="D33" i="19"/>
  <c r="E34" i="19"/>
  <c r="C22" i="19"/>
  <c r="D22" i="19"/>
  <c r="C101" i="19"/>
  <c r="C103" i="19" s="1"/>
  <c r="D192" i="14"/>
  <c r="E326" i="15" l="1"/>
  <c r="D330" i="15"/>
  <c r="E330" i="15" s="1"/>
  <c r="C281" i="14"/>
  <c r="E280" i="14"/>
  <c r="F280" i="14" s="1"/>
  <c r="C153" i="5"/>
  <c r="C152" i="5"/>
  <c r="C154" i="5"/>
  <c r="C157" i="5"/>
  <c r="C156" i="5"/>
  <c r="C155" i="5"/>
  <c r="C136" i="5"/>
  <c r="C135" i="5"/>
  <c r="C137" i="5"/>
  <c r="C140" i="5"/>
  <c r="C139" i="5"/>
  <c r="C138" i="5"/>
  <c r="D154" i="5"/>
  <c r="D153" i="5"/>
  <c r="D152" i="5"/>
  <c r="D155" i="5"/>
  <c r="D157" i="5"/>
  <c r="D156" i="5"/>
  <c r="E146" i="14"/>
  <c r="F146" i="14" s="1"/>
  <c r="E122" i="7"/>
  <c r="F122" i="7" s="1"/>
  <c r="D256" i="14"/>
  <c r="E264" i="14"/>
  <c r="F264" i="14"/>
  <c r="C300" i="14"/>
  <c r="E300" i="14" s="1"/>
  <c r="F300" i="14" s="1"/>
  <c r="C265" i="14"/>
  <c r="E111" i="14"/>
  <c r="F111" i="14"/>
  <c r="E48" i="14"/>
  <c r="F48" i="14"/>
  <c r="C90" i="14"/>
  <c r="E90" i="14" s="1"/>
  <c r="F90" i="14" s="1"/>
  <c r="C125" i="14"/>
  <c r="C49" i="14"/>
  <c r="C160" i="14"/>
  <c r="E160" i="14" s="1"/>
  <c r="F160" i="14" s="1"/>
  <c r="C195" i="14"/>
  <c r="E37" i="14"/>
  <c r="F37" i="14" s="1"/>
  <c r="D140" i="5"/>
  <c r="D139" i="5"/>
  <c r="D138" i="5"/>
  <c r="D137" i="5"/>
  <c r="D136" i="5"/>
  <c r="D135" i="5"/>
  <c r="E154" i="5"/>
  <c r="E152" i="5"/>
  <c r="E153" i="5"/>
  <c r="E155" i="5"/>
  <c r="E156" i="5"/>
  <c r="E157" i="5"/>
  <c r="E138" i="5"/>
  <c r="E139" i="5"/>
  <c r="E140" i="5"/>
  <c r="E137" i="5"/>
  <c r="E135" i="5"/>
  <c r="E141" i="5" s="1"/>
  <c r="E136" i="5"/>
  <c r="C24" i="5"/>
  <c r="C20" i="5" s="1"/>
  <c r="C17" i="5"/>
  <c r="E310" i="14"/>
  <c r="F310" i="14" s="1"/>
  <c r="E192" i="14"/>
  <c r="F192" i="14" s="1"/>
  <c r="D193" i="14"/>
  <c r="D53" i="19"/>
  <c r="D110" i="19"/>
  <c r="D29" i="19"/>
  <c r="D35" i="19"/>
  <c r="D39" i="19"/>
  <c r="D45" i="19"/>
  <c r="E252" i="15"/>
  <c r="C254" i="15"/>
  <c r="E260" i="15"/>
  <c r="D263" i="15"/>
  <c r="D21" i="10"/>
  <c r="D20" i="10"/>
  <c r="D22" i="10"/>
  <c r="C75" i="1"/>
  <c r="E75" i="1" s="1"/>
  <c r="E312" i="14"/>
  <c r="F312" i="14" s="1"/>
  <c r="C313" i="14"/>
  <c r="D257" i="14"/>
  <c r="D141" i="14"/>
  <c r="E140" i="14"/>
  <c r="F140" i="14" s="1"/>
  <c r="E106" i="14"/>
  <c r="C324" i="14"/>
  <c r="C113" i="14"/>
  <c r="F106" i="14"/>
  <c r="C271" i="15"/>
  <c r="C45" i="19"/>
  <c r="C53" i="19"/>
  <c r="C29" i="19"/>
  <c r="C110" i="19"/>
  <c r="C35" i="19"/>
  <c r="C39" i="19"/>
  <c r="C246" i="15"/>
  <c r="E246" i="15" s="1"/>
  <c r="C223" i="15"/>
  <c r="E222" i="15"/>
  <c r="E210" i="15"/>
  <c r="D211" i="15"/>
  <c r="D180" i="15"/>
  <c r="D234" i="15"/>
  <c r="E157" i="15"/>
  <c r="D169" i="15"/>
  <c r="E169" i="15" s="1"/>
  <c r="E269" i="14"/>
  <c r="F269" i="14" s="1"/>
  <c r="C272" i="14"/>
  <c r="C270" i="14"/>
  <c r="E21" i="10"/>
  <c r="E20" i="10"/>
  <c r="E22" i="10"/>
  <c r="E253" i="15"/>
  <c r="D254" i="15"/>
  <c r="E254" i="15" s="1"/>
  <c r="C211" i="15"/>
  <c r="C234" i="15"/>
  <c r="C180" i="15"/>
  <c r="E65" i="1"/>
  <c r="F65" i="1" s="1"/>
  <c r="D318" i="14"/>
  <c r="E91" i="15"/>
  <c r="D105" i="15"/>
  <c r="E105" i="15" s="1"/>
  <c r="F125" i="14" l="1"/>
  <c r="E125" i="14"/>
  <c r="D158" i="5"/>
  <c r="C112" i="5"/>
  <c r="C111" i="5" s="1"/>
  <c r="C28" i="5"/>
  <c r="E158" i="5"/>
  <c r="D141" i="5"/>
  <c r="E49" i="14"/>
  <c r="F49" i="14" s="1"/>
  <c r="C50" i="14"/>
  <c r="C141" i="5"/>
  <c r="C158" i="5"/>
  <c r="C235" i="15"/>
  <c r="C181" i="15"/>
  <c r="E270" i="14"/>
  <c r="F270" i="14" s="1"/>
  <c r="E234" i="15"/>
  <c r="D235" i="15"/>
  <c r="E211" i="15"/>
  <c r="D181" i="15"/>
  <c r="E181" i="15" s="1"/>
  <c r="C112" i="19"/>
  <c r="C47" i="19"/>
  <c r="C55" i="19"/>
  <c r="C37" i="19"/>
  <c r="E324" i="14"/>
  <c r="C325" i="14"/>
  <c r="F324" i="14"/>
  <c r="C251" i="14"/>
  <c r="C315" i="14"/>
  <c r="E313" i="14"/>
  <c r="C314" i="14"/>
  <c r="F313" i="14"/>
  <c r="C256" i="14"/>
  <c r="D264" i="15"/>
  <c r="E263" i="15"/>
  <c r="D282" i="14"/>
  <c r="D266" i="14"/>
  <c r="D194" i="14"/>
  <c r="E193" i="14"/>
  <c r="F193" i="14" s="1"/>
  <c r="C273" i="14"/>
  <c r="E272" i="14"/>
  <c r="F272" i="14" s="1"/>
  <c r="E180" i="15"/>
  <c r="C247" i="15"/>
  <c r="E247" i="15" s="1"/>
  <c r="E223" i="15"/>
  <c r="E113" i="14"/>
  <c r="F113" i="14" s="1"/>
  <c r="D322" i="14"/>
  <c r="D148" i="14"/>
  <c r="E148" i="14" s="1"/>
  <c r="F148" i="14" s="1"/>
  <c r="E141" i="14"/>
  <c r="F141" i="14" s="1"/>
  <c r="F75" i="1"/>
  <c r="D47" i="19"/>
  <c r="D112" i="19"/>
  <c r="D37" i="19"/>
  <c r="D55" i="19"/>
  <c r="C99" i="5" l="1"/>
  <c r="C101" i="5" s="1"/>
  <c r="C98" i="5" s="1"/>
  <c r="C22" i="5"/>
  <c r="E235" i="15"/>
  <c r="E50" i="14"/>
  <c r="F50" i="14" s="1"/>
  <c r="C70" i="14"/>
  <c r="D325" i="14"/>
  <c r="E325" i="14" s="1"/>
  <c r="E322" i="14"/>
  <c r="F322" i="14" s="1"/>
  <c r="D195" i="14"/>
  <c r="E195" i="14" s="1"/>
  <c r="F195" i="14" s="1"/>
  <c r="E194" i="14"/>
  <c r="F194" i="14" s="1"/>
  <c r="D196" i="14"/>
  <c r="E282" i="14"/>
  <c r="F282" i="14" s="1"/>
  <c r="D281" i="14"/>
  <c r="E281" i="14" s="1"/>
  <c r="F281" i="14" s="1"/>
  <c r="E264" i="15"/>
  <c r="D266" i="15"/>
  <c r="E251" i="14"/>
  <c r="F251" i="14" s="1"/>
  <c r="E273" i="14"/>
  <c r="F273" i="14" s="1"/>
  <c r="E266" i="14"/>
  <c r="F266" i="14" s="1"/>
  <c r="D265" i="14"/>
  <c r="E265" i="14" s="1"/>
  <c r="F265" i="14" s="1"/>
  <c r="C257" i="14"/>
  <c r="E256" i="14"/>
  <c r="F256" i="14" s="1"/>
  <c r="C318" i="14"/>
  <c r="E314" i="14"/>
  <c r="F314" i="14" s="1"/>
  <c r="E315" i="14"/>
  <c r="F315" i="14" s="1"/>
  <c r="F325" i="14"/>
  <c r="E70" i="14" l="1"/>
  <c r="F70" i="14" s="1"/>
  <c r="F257" i="14"/>
  <c r="E257" i="14"/>
  <c r="F318" i="14"/>
  <c r="E318" i="14"/>
  <c r="E266" i="15"/>
  <c r="D267" i="15"/>
  <c r="D197" i="14"/>
  <c r="E197" i="14" s="1"/>
  <c r="F197" i="14" s="1"/>
  <c r="E196" i="14"/>
  <c r="F196" i="14" s="1"/>
  <c r="D269" i="15" l="1"/>
  <c r="E269" i="15" s="1"/>
  <c r="E267" i="15"/>
  <c r="D268" i="15"/>
  <c r="E268" i="15" l="1"/>
  <c r="D271" i="15"/>
  <c r="E271" i="15" s="1"/>
</calcChain>
</file>

<file path=xl/sharedStrings.xml><?xml version="1.0" encoding="utf-8"?>
<sst xmlns="http://schemas.openxmlformats.org/spreadsheetml/2006/main" count="2308" uniqueCount="984">
  <si>
    <t>NORWALK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</si>
  <si>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</si>
  <si>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</si>
  <si>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</si>
  <si>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</si>
  <si>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</si>
  <si>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</si>
  <si>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</si>
  <si>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</si>
  <si>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</si>
  <si>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</si>
  <si>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</si>
  <si>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</si>
  <si>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</si>
  <si>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</si>
  <si>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</si>
  <si>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</si>
  <si>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</si>
  <si>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</si>
  <si>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</si>
  <si>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</si>
  <si>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</si>
  <si>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</si>
  <si>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</si>
  <si>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</si>
  <si>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</si>
  <si>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</si>
  <si>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</si>
  <si>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</si>
  <si>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</si>
  <si>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</si>
  <si>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</si>
  <si>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</si>
  <si>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</si>
  <si>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</si>
  <si>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</si>
  <si>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</si>
  <si>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</si>
  <si>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</si>
  <si>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</si>
  <si>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</si>
  <si>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</si>
  <si>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</si>
  <si>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</si>
  <si>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</si>
  <si>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</si>
  <si>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</si>
  <si>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</si>
  <si>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</si>
  <si>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</si>
  <si>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</si>
  <si>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</si>
  <si>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</si>
  <si>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</si>
  <si>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</si>
  <si>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</si>
  <si>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</si>
  <si>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</si>
  <si>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</si>
  <si>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</si>
  <si>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</si>
  <si>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</si>
  <si>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</si>
  <si>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</si>
  <si>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</si>
  <si>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</si>
  <si>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</si>
  <si>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</si>
  <si>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</si>
  <si>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</si>
  <si>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</si>
  <si>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</si>
  <si>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</si>
  <si>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</si>
  <si>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</si>
  <si>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</si>
  <si>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</si>
  <si>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</si>
  <si>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</si>
  <si>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</si>
  <si>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</si>
  <si>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</si>
  <si>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</si>
  <si>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</si>
  <si>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</si>
  <si>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</si>
  <si>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</si>
  <si>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</si>
  <si>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</si>
  <si>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</si>
  <si>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</si>
  <si>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</si>
  <si>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</si>
  <si>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</si>
  <si>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</si>
  <si>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</si>
  <si>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</si>
  <si>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</si>
  <si>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</si>
  <si>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</si>
  <si>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</si>
  <si>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</si>
  <si>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</si>
  <si>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</si>
  <si>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</si>
  <si>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</si>
  <si>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</si>
  <si>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</si>
  <si>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</si>
  <si>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</si>
  <si>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</si>
  <si>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</si>
  <si>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</si>
  <si>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</si>
  <si>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</si>
  <si>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</si>
  <si>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</si>
  <si>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</si>
  <si>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</si>
  <si>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</si>
  <si>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</si>
  <si>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</si>
  <si>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</si>
  <si>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</si>
  <si>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</si>
  <si>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</si>
  <si>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</si>
  <si>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</si>
  <si>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</si>
  <si>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</si>
  <si>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</si>
  <si>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</si>
  <si>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</si>
  <si>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</si>
  <si>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</si>
  <si>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</si>
  <si>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</si>
  <si>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</si>
  <si>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</si>
  <si>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</si>
  <si>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</si>
  <si>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</si>
  <si>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</si>
  <si>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</si>
  <si>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</si>
  <si>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</si>
  <si>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</si>
  <si>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</si>
  <si>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</si>
  <si>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</si>
  <si>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</si>
  <si>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</si>
  <si>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</si>
  <si>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</si>
  <si>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</si>
  <si>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</si>
  <si>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</si>
  <si>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</si>
  <si>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</si>
  <si>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</si>
  <si>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</si>
  <si>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</si>
  <si>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</si>
  <si>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</si>
  <si>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</si>
  <si>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</si>
  <si>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</si>
  <si>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</si>
  <si>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</si>
  <si>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</si>
  <si>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</si>
  <si>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</si>
  <si>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</si>
  <si>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</si>
  <si>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</si>
  <si>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</si>
  <si>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</si>
  <si>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</si>
  <si>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</si>
  <si>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</si>
  <si>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</si>
  <si>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</si>
  <si>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</si>
  <si>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</si>
  <si>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</si>
  <si>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</si>
  <si>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</si>
  <si>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</si>
  <si>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</si>
  <si>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</si>
  <si>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</si>
  <si>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</si>
  <si>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</si>
  <si>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</si>
  <si>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</si>
  <si>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</si>
  <si>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</si>
  <si>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</si>
  <si>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</si>
  <si>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</si>
  <si>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</si>
  <si>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</si>
  <si>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</si>
  <si>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</si>
  <si>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</si>
  <si>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</si>
  <si>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</si>
  <si>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</si>
  <si>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</si>
  <si>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</si>
  <si>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</si>
  <si>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</si>
  <si>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</si>
  <si>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</si>
  <si>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</si>
  <si>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</si>
  <si>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</si>
  <si>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</si>
  <si>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</si>
  <si>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</si>
  <si>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</si>
  <si>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</si>
  <si>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</si>
  <si>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</si>
  <si>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</si>
  <si>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</si>
  <si>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</si>
  <si>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</si>
  <si>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</si>
  <si>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</si>
  <si>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</si>
  <si>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</si>
  <si>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</si>
  <si>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</si>
  <si>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</si>
  <si>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</si>
  <si>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</si>
  <si>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</si>
  <si>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</si>
  <si>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</si>
  <si>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</si>
  <si>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</si>
  <si>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</si>
  <si>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</si>
  <si>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</si>
  <si>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</si>
  <si>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</si>
  <si>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</si>
  <si>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</si>
  <si>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</si>
  <si>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</si>
  <si>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</si>
  <si>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</si>
  <si>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</si>
  <si>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</si>
  <si>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</si>
  <si>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</si>
  <si>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</si>
  <si>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</si>
  <si>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</si>
  <si>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</si>
  <si>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</si>
  <si>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</si>
  <si>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</si>
  <si>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</si>
  <si>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</si>
  <si>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</si>
  <si>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</si>
  <si>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</si>
  <si>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</si>
  <si>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</si>
  <si>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</si>
  <si>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</si>
  <si>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</si>
  <si>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</si>
  <si>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</si>
  <si>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</si>
  <si>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</si>
  <si>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</si>
  <si>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</si>
  <si>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</si>
  <si>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</si>
  <si>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</si>
  <si>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</si>
  <si>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</si>
  <si>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</si>
  <si>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</si>
  <si>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</si>
  <si>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</si>
  <si>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</si>
  <si>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</si>
  <si>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</si>
  <si>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</si>
  <si>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</si>
  <si>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</si>
  <si>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</si>
  <si>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</si>
  <si>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</si>
  <si>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</si>
  <si>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</si>
  <si>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</si>
  <si>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</si>
  <si>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</si>
  <si>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</si>
  <si>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</si>
  <si>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</si>
  <si>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</si>
  <si>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</si>
  <si>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</si>
  <si>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</si>
  <si>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</si>
  <si>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</si>
  <si>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</si>
  <si>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</si>
  <si>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</si>
  <si>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</si>
  <si>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</si>
  <si>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</si>
  <si>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</si>
  <si>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</si>
  <si>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</si>
  <si>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</si>
  <si>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</si>
  <si>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</si>
  <si>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</si>
  <si>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</si>
  <si>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</si>
  <si>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</si>
  <si>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</si>
  <si>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</si>
  <si>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</si>
  <si>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</si>
  <si>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</si>
  <si>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</si>
  <si>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</si>
  <si>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</si>
  <si>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</si>
  <si>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</si>
  <si>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</si>
  <si>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</si>
  <si>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</si>
  <si>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</si>
  <si>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</si>
  <si>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</si>
  <si>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</si>
  <si>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</si>
  <si>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</si>
  <si>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</si>
  <si>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</si>
  <si>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</si>
  <si>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</si>
  <si>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</si>
  <si>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</si>
  <si>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</si>
  <si>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</si>
  <si>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</si>
  <si>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</si>
  <si>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</si>
  <si>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</si>
  <si>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</si>
  <si>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</si>
  <si>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</si>
  <si>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</si>
  <si>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</si>
  <si>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</si>
  <si>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</si>
  <si>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</si>
  <si>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</si>
  <si>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</si>
  <si>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</si>
  <si>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</si>
  <si>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</si>
  <si>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</si>
  <si>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</si>
  <si>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</si>
  <si>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</si>
  <si>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</si>
  <si>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</si>
  <si>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</si>
  <si>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</si>
  <si>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</si>
  <si>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</si>
  <si>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</si>
  <si>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</si>
  <si>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</si>
  <si>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</si>
  <si>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</si>
  <si>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</si>
  <si>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</si>
  <si>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</si>
  <si>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</si>
  <si>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</si>
  <si>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</si>
  <si>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</si>
  <si>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</si>
  <si>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</si>
  <si>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</si>
  <si>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</si>
  <si>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</si>
  <si>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</si>
  <si>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</si>
  <si>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</si>
  <si>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</si>
  <si>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</si>
  <si>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</si>
  <si>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</si>
  <si>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</si>
  <si>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</si>
  <si>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</si>
  <si>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</si>
  <si>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</si>
  <si>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</si>
  <si>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</si>
  <si>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</si>
  <si>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</si>
  <si>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</si>
  <si>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</si>
  <si>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</si>
  <si>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</si>
  <si>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</si>
  <si>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</si>
  <si>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</si>
  <si>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</si>
  <si>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</si>
  <si>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</si>
  <si>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</si>
  <si>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</si>
  <si>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</si>
  <si>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</si>
  <si>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</si>
  <si>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</si>
  <si>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</si>
  <si>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</si>
  <si>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</si>
  <si>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</si>
  <si>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</si>
  <si>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</si>
  <si>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</si>
  <si>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</si>
  <si>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</si>
  <si>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</si>
  <si>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</si>
  <si>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</si>
  <si>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</si>
  <si>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</si>
  <si>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</si>
  <si>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</si>
  <si>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</si>
  <si>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</si>
  <si>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</si>
  <si>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</si>
  <si>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</si>
  <si>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</si>
  <si>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</si>
  <si>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</si>
  <si>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</si>
  <si>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</si>
  <si>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</si>
  <si>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</si>
  <si>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</si>
  <si>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</si>
  <si>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</si>
  <si>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</si>
  <si>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</si>
  <si>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</si>
  <si>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</si>
  <si>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</si>
  <si>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</si>
  <si>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</si>
  <si>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</si>
  <si>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</si>
  <si>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</si>
  <si>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</si>
  <si>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</si>
  <si>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</si>
  <si>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</si>
  <si>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</si>
  <si>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</si>
  <si>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</si>
  <si>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NORWALK HEALTH SERVICES CORPORATION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</si>
  <si>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</si>
  <si>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</si>
  <si>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</si>
  <si>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</si>
  <si>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</si>
  <si>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</si>
  <si>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</si>
  <si>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</si>
  <si>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</si>
  <si>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</si>
  <si>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</si>
  <si>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</si>
  <si>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</si>
  <si>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</si>
  <si>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</si>
  <si>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</si>
  <si>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</si>
  <si>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</si>
  <si>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</si>
  <si>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</si>
  <si>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</si>
  <si>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</si>
  <si>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</si>
  <si>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</si>
  <si>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</si>
  <si>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</si>
  <si>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</si>
  <si>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</si>
  <si>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</si>
  <si>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</si>
  <si>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</si>
  <si>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</si>
  <si>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</si>
  <si>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</si>
  <si>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</si>
  <si>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</si>
  <si>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</si>
  <si>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</si>
  <si>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</si>
  <si>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</si>
  <si>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</si>
  <si>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</si>
  <si>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</si>
  <si>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</si>
  <si>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</si>
  <si>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</si>
  <si>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</si>
  <si>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</si>
  <si>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</si>
  <si>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</si>
  <si>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</si>
  <si>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</si>
  <si>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</si>
  <si>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</si>
  <si>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</si>
  <si>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</si>
  <si>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</si>
  <si>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</si>
  <si>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</si>
  <si>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</si>
  <si>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</si>
  <si>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</si>
  <si>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</si>
  <si>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</si>
  <si>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</si>
  <si>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</si>
  <si>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</si>
  <si>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</si>
  <si>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</si>
  <si>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</si>
  <si>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</si>
  <si>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</si>
  <si>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</si>
  <si>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</si>
  <si>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</si>
  <si>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</si>
  <si>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</si>
  <si>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</si>
  <si>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</si>
  <si>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</si>
  <si>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</si>
  <si>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</si>
  <si>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</si>
  <si>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</si>
  <si>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</si>
  <si>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</si>
  <si>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</si>
  <si>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</si>
  <si>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</si>
  <si>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</si>
  <si>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</si>
  <si>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</si>
  <si>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</si>
  <si>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</si>
  <si>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</si>
  <si>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</si>
  <si>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</si>
  <si>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</si>
  <si>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</si>
  <si>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</si>
  <si>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</si>
  <si>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</si>
  <si>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</si>
  <si>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</si>
  <si>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</si>
  <si>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</si>
  <si>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</si>
  <si>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</si>
  <si>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40 Cross Street</t>
  </si>
  <si>
    <t>Norwalk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</si>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</sst>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26310543</v>
      </c>
      <c r="D13" s="23">
        <v>61458676</v>
      </c>
      <c r="E13" s="23">
        <f t="shared" ref="E13:E22" si="0">D13-C13</f>
        <v>35148133</v>
      </c>
      <c r="F13" s="24">
        <f t="shared" ref="F13:F22" si="1">IF(C13=0,0,E13/C13)</f>
        <v>1.3358953861195491</v>
      </c>
    </row>
    <row r="14" spans="1:8" ht="24" customHeight="1" x14ac:dyDescent="0.2">
      <c r="A14" s="21">
        <v>2</v>
      </c>
      <c r="B14" s="22" t="s">
        <v>17</v>
      </c>
      <c r="C14" s="23">
        <v>8655334</v>
      </c>
      <c r="D14" s="23">
        <v>8693538</v>
      </c>
      <c r="E14" s="23">
        <f t="shared" si="0"/>
        <v>38204</v>
      </c>
      <c r="F14" s="24">
        <f t="shared" si="1"/>
        <v>4.4139255631267379E-3</v>
      </c>
    </row>
    <row r="15" spans="1:8" ht="30" customHeight="1" x14ac:dyDescent="0.2">
      <c r="A15" s="21">
        <v>3</v>
      </c>
      <c r="B15" s="22" t="s">
        <v>18</v>
      </c>
      <c r="C15" s="23">
        <v>40941651</v>
      </c>
      <c r="D15" s="23">
        <v>37299759</v>
      </c>
      <c r="E15" s="23">
        <f t="shared" si="0"/>
        <v>-3641892</v>
      </c>
      <c r="F15" s="24">
        <f t="shared" si="1"/>
        <v>-8.8953227606771407E-2</v>
      </c>
    </row>
    <row r="16" spans="1:8" ht="24" customHeight="1" x14ac:dyDescent="0.2">
      <c r="A16" s="21">
        <v>4</v>
      </c>
      <c r="B16" s="22" t="s">
        <v>19</v>
      </c>
      <c r="C16" s="23">
        <v>371800</v>
      </c>
      <c r="D16" s="23">
        <v>372429</v>
      </c>
      <c r="E16" s="23">
        <f t="shared" si="0"/>
        <v>629</v>
      </c>
      <c r="F16" s="24">
        <f t="shared" si="1"/>
        <v>1.6917697686928456E-3</v>
      </c>
    </row>
    <row r="17" spans="1:11" ht="24" customHeight="1" x14ac:dyDescent="0.2">
      <c r="A17" s="21">
        <v>5</v>
      </c>
      <c r="B17" s="22" t="s">
        <v>20</v>
      </c>
      <c r="C17" s="23">
        <v>446142</v>
      </c>
      <c r="D17" s="23">
        <v>2640682</v>
      </c>
      <c r="E17" s="23">
        <f t="shared" si="0"/>
        <v>2194540</v>
      </c>
      <c r="F17" s="24">
        <f t="shared" si="1"/>
        <v>4.9189271577210842</v>
      </c>
    </row>
    <row r="18" spans="1:11" ht="24" customHeight="1" x14ac:dyDescent="0.2">
      <c r="A18" s="21">
        <v>6</v>
      </c>
      <c r="B18" s="22" t="s">
        <v>21</v>
      </c>
      <c r="C18" s="23">
        <v>573584</v>
      </c>
      <c r="D18" s="23">
        <v>81421</v>
      </c>
      <c r="E18" s="23">
        <f t="shared" si="0"/>
        <v>-492163</v>
      </c>
      <c r="F18" s="24">
        <f t="shared" si="1"/>
        <v>-0.85804869034003739</v>
      </c>
    </row>
    <row r="19" spans="1:11" ht="24" customHeight="1" x14ac:dyDescent="0.2">
      <c r="A19" s="21">
        <v>7</v>
      </c>
      <c r="B19" s="22" t="s">
        <v>22</v>
      </c>
      <c r="C19" s="23">
        <v>2361637</v>
      </c>
      <c r="D19" s="23">
        <v>1879253</v>
      </c>
      <c r="E19" s="23">
        <f t="shared" si="0"/>
        <v>-482384</v>
      </c>
      <c r="F19" s="24">
        <f t="shared" si="1"/>
        <v>-0.20425831742981668</v>
      </c>
    </row>
    <row r="20" spans="1:11" ht="24" customHeight="1" x14ac:dyDescent="0.2">
      <c r="A20" s="21">
        <v>8</v>
      </c>
      <c r="B20" s="22" t="s">
        <v>23</v>
      </c>
      <c r="C20" s="23">
        <v>1831130</v>
      </c>
      <c r="D20" s="23">
        <v>2698590</v>
      </c>
      <c r="E20" s="23">
        <f t="shared" si="0"/>
        <v>867460</v>
      </c>
      <c r="F20" s="24">
        <f t="shared" si="1"/>
        <v>0.47372933652990229</v>
      </c>
    </row>
    <row r="21" spans="1:11" ht="24" customHeight="1" x14ac:dyDescent="0.2">
      <c r="A21" s="21">
        <v>9</v>
      </c>
      <c r="B21" s="22" t="s">
        <v>24</v>
      </c>
      <c r="C21" s="23">
        <v>0</v>
      </c>
      <c r="D21" s="23">
        <v>0</v>
      </c>
      <c r="E21" s="23">
        <f t="shared" si="0"/>
        <v>0</v>
      </c>
      <c r="F21" s="24">
        <f t="shared" si="1"/>
        <v>0</v>
      </c>
    </row>
    <row r="22" spans="1:11" ht="24" customHeight="1" x14ac:dyDescent="0.25">
      <c r="A22" s="25"/>
      <c r="B22" s="26" t="s">
        <v>25</v>
      </c>
      <c r="C22" s="27">
        <f>SUM(C13:C21)</f>
        <v>81491821</v>
      </c>
      <c r="D22" s="27">
        <f>SUM(D13:D21)</f>
        <v>115124348</v>
      </c>
      <c r="E22" s="27">
        <f t="shared" si="0"/>
        <v>33632527</v>
      </c>
      <c r="F22" s="28">
        <f t="shared" si="1"/>
        <v>0.41271046084489876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1075930</v>
      </c>
      <c r="D25" s="23">
        <v>15111873</v>
      </c>
      <c r="E25" s="23">
        <f>D25-C25</f>
        <v>14035943</v>
      </c>
      <c r="F25" s="24">
        <f>IF(C25=0,0,E25/C25)</f>
        <v>13.045405370237841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5954228</v>
      </c>
      <c r="D28" s="23">
        <v>4567394</v>
      </c>
      <c r="E28" s="23">
        <f>D28-C28</f>
        <v>-1386834</v>
      </c>
      <c r="F28" s="24">
        <f>IF(C28=0,0,E28/C28)</f>
        <v>-0.23291583728402743</v>
      </c>
    </row>
    <row r="29" spans="1:11" ht="24" customHeight="1" x14ac:dyDescent="0.25">
      <c r="A29" s="25"/>
      <c r="B29" s="26" t="s">
        <v>32</v>
      </c>
      <c r="C29" s="27">
        <f>SUM(C25:C28)</f>
        <v>7030158</v>
      </c>
      <c r="D29" s="27">
        <f>SUM(D25:D28)</f>
        <v>19679267</v>
      </c>
      <c r="E29" s="27">
        <f>D29-C29</f>
        <v>12649109</v>
      </c>
      <c r="F29" s="28">
        <f>IF(C29=0,0,E29/C29)</f>
        <v>1.7992638287788127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28803532</v>
      </c>
      <c r="D31" s="23">
        <v>36399874</v>
      </c>
      <c r="E31" s="23">
        <f>D31-C31</f>
        <v>7596342</v>
      </c>
      <c r="F31" s="24">
        <f>IF(C31=0,0,E31/C31)</f>
        <v>0.26372953150328926</v>
      </c>
    </row>
    <row r="32" spans="1:11" ht="24" customHeight="1" x14ac:dyDescent="0.2">
      <c r="A32" s="21">
        <v>6</v>
      </c>
      <c r="B32" s="22" t="s">
        <v>34</v>
      </c>
      <c r="C32" s="23">
        <v>21535624</v>
      </c>
      <c r="D32" s="23">
        <v>21526072</v>
      </c>
      <c r="E32" s="23">
        <f>D32-C32</f>
        <v>-9552</v>
      </c>
      <c r="F32" s="24">
        <f>IF(C32=0,0,E32/C32)</f>
        <v>-4.4354414805904856E-4</v>
      </c>
    </row>
    <row r="33" spans="1:8" ht="24" customHeight="1" x14ac:dyDescent="0.2">
      <c r="A33" s="21">
        <v>7</v>
      </c>
      <c r="B33" s="22" t="s">
        <v>35</v>
      </c>
      <c r="C33" s="23">
        <v>12699168</v>
      </c>
      <c r="D33" s="23">
        <v>30544744</v>
      </c>
      <c r="E33" s="23">
        <f>D33-C33</f>
        <v>17845576</v>
      </c>
      <c r="F33" s="24">
        <f>IF(C33=0,0,E33/C33)</f>
        <v>1.4052555254013492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367512614</v>
      </c>
      <c r="D36" s="23">
        <v>381916604</v>
      </c>
      <c r="E36" s="23">
        <f>D36-C36</f>
        <v>14403990</v>
      </c>
      <c r="F36" s="24">
        <f>IF(C36=0,0,E36/C36)</f>
        <v>3.9193185352816219E-2</v>
      </c>
    </row>
    <row r="37" spans="1:8" ht="24" customHeight="1" x14ac:dyDescent="0.2">
      <c r="A37" s="21">
        <v>2</v>
      </c>
      <c r="B37" s="22" t="s">
        <v>39</v>
      </c>
      <c r="C37" s="23">
        <v>261142100</v>
      </c>
      <c r="D37" s="23">
        <v>277722033</v>
      </c>
      <c r="E37" s="23">
        <f>D37-C37</f>
        <v>16579933</v>
      </c>
      <c r="F37" s="24">
        <f>IF(C37=0,0,E37/C37)</f>
        <v>6.3490080687870709E-2</v>
      </c>
    </row>
    <row r="38" spans="1:8" ht="24" customHeight="1" x14ac:dyDescent="0.25">
      <c r="A38" s="25"/>
      <c r="B38" s="26" t="s">
        <v>40</v>
      </c>
      <c r="C38" s="27">
        <f>C36-C37</f>
        <v>106370514</v>
      </c>
      <c r="D38" s="27">
        <f>D36-D37</f>
        <v>104194571</v>
      </c>
      <c r="E38" s="27">
        <f>D38-C38</f>
        <v>-2175943</v>
      </c>
      <c r="F38" s="28">
        <f>IF(C38=0,0,E38/C38)</f>
        <v>-2.0456261027374561E-2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5120280</v>
      </c>
      <c r="D40" s="23">
        <v>22713647</v>
      </c>
      <c r="E40" s="23">
        <f>D40-C40</f>
        <v>17593367</v>
      </c>
      <c r="F40" s="24">
        <f>IF(C40=0,0,E40/C40)</f>
        <v>3.4360165850305062</v>
      </c>
    </row>
    <row r="41" spans="1:8" ht="24" customHeight="1" x14ac:dyDescent="0.25">
      <c r="A41" s="25"/>
      <c r="B41" s="26" t="s">
        <v>42</v>
      </c>
      <c r="C41" s="27">
        <f>+C38+C40</f>
        <v>111490794</v>
      </c>
      <c r="D41" s="27">
        <f>+D38+D40</f>
        <v>126908218</v>
      </c>
      <c r="E41" s="27">
        <f>D41-C41</f>
        <v>15417424</v>
      </c>
      <c r="F41" s="28">
        <f>IF(C41=0,0,E41/C41)</f>
        <v>0.13828427843109628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263051097</v>
      </c>
      <c r="D43" s="27">
        <f>D22+D29+D31+D32+D33+D41</f>
        <v>350182523</v>
      </c>
      <c r="E43" s="27">
        <f>D43-C43</f>
        <v>87131426</v>
      </c>
      <c r="F43" s="28">
        <f>IF(C43=0,0,E43/C43)</f>
        <v>0.33123384389459515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19616137</v>
      </c>
      <c r="D49" s="23">
        <v>26154825</v>
      </c>
      <c r="E49" s="23">
        <f t="shared" ref="E49:E56" si="2">D49-C49</f>
        <v>6538688</v>
      </c>
      <c r="F49" s="24">
        <f t="shared" ref="F49:F56" si="3">IF(C49=0,0,E49/C49)</f>
        <v>0.33333209285803828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17233599</v>
      </c>
      <c r="D50" s="23">
        <v>17600200</v>
      </c>
      <c r="E50" s="23">
        <f t="shared" si="2"/>
        <v>366601</v>
      </c>
      <c r="F50" s="24">
        <f t="shared" si="3"/>
        <v>2.1272457366566321E-2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1001192</v>
      </c>
      <c r="D51" s="23">
        <v>4525191</v>
      </c>
      <c r="E51" s="23">
        <f t="shared" si="2"/>
        <v>3523999</v>
      </c>
      <c r="F51" s="24">
        <f t="shared" si="3"/>
        <v>3.51980339435393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625000</v>
      </c>
      <c r="D53" s="23">
        <v>3665000</v>
      </c>
      <c r="E53" s="23">
        <f t="shared" si="2"/>
        <v>3040000</v>
      </c>
      <c r="F53" s="24">
        <f t="shared" si="3"/>
        <v>4.8639999999999999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1042606</v>
      </c>
      <c r="D54" s="23">
        <v>1169597</v>
      </c>
      <c r="E54" s="23">
        <f t="shared" si="2"/>
        <v>126991</v>
      </c>
      <c r="F54" s="24">
        <f t="shared" si="3"/>
        <v>0.12180152425748557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150221</v>
      </c>
      <c r="D55" s="23">
        <v>818737</v>
      </c>
      <c r="E55" s="23">
        <f t="shared" si="2"/>
        <v>668516</v>
      </c>
      <c r="F55" s="24">
        <f t="shared" si="3"/>
        <v>4.450216680757018</v>
      </c>
    </row>
    <row r="56" spans="1:6" ht="24" customHeight="1" x14ac:dyDescent="0.25">
      <c r="A56" s="25"/>
      <c r="B56" s="26" t="s">
        <v>54</v>
      </c>
      <c r="C56" s="27">
        <f>SUM(C49:C55)</f>
        <v>39668755</v>
      </c>
      <c r="D56" s="27">
        <f>SUM(D49:D55)</f>
        <v>53933550</v>
      </c>
      <c r="E56" s="27">
        <f t="shared" si="2"/>
        <v>14264795</v>
      </c>
      <c r="F56" s="28">
        <f t="shared" si="3"/>
        <v>0.35959774890842933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9220000</v>
      </c>
      <c r="D59" s="23">
        <v>52395000</v>
      </c>
      <c r="E59" s="23">
        <f>D59-C59</f>
        <v>43175000</v>
      </c>
      <c r="F59" s="24">
        <f>IF(C59=0,0,E59/C59)</f>
        <v>4.6827548806941435</v>
      </c>
    </row>
    <row r="60" spans="1:6" ht="24" customHeight="1" x14ac:dyDescent="0.2">
      <c r="A60" s="21">
        <v>2</v>
      </c>
      <c r="B60" s="22" t="s">
        <v>57</v>
      </c>
      <c r="C60" s="23">
        <v>6522952</v>
      </c>
      <c r="D60" s="23">
        <v>5375819</v>
      </c>
      <c r="E60" s="23">
        <f>D60-C60</f>
        <v>-1147133</v>
      </c>
      <c r="F60" s="24">
        <f>IF(C60=0,0,E60/C60)</f>
        <v>-0.17586102120634953</v>
      </c>
    </row>
    <row r="61" spans="1:6" ht="24" customHeight="1" x14ac:dyDescent="0.25">
      <c r="A61" s="25"/>
      <c r="B61" s="26" t="s">
        <v>58</v>
      </c>
      <c r="C61" s="27">
        <f>SUM(C59:C60)</f>
        <v>15742952</v>
      </c>
      <c r="D61" s="27">
        <f>SUM(D59:D60)</f>
        <v>57770819</v>
      </c>
      <c r="E61" s="27">
        <f>D61-C61</f>
        <v>42027867</v>
      </c>
      <c r="F61" s="28">
        <f>IF(C61=0,0,E61/C61)</f>
        <v>2.6696306385231945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37851799</v>
      </c>
      <c r="D63" s="23">
        <v>60019814</v>
      </c>
      <c r="E63" s="23">
        <f>D63-C63</f>
        <v>22168015</v>
      </c>
      <c r="F63" s="24">
        <f>IF(C63=0,0,E63/C63)</f>
        <v>0.5856528774233426</v>
      </c>
    </row>
    <row r="64" spans="1:6" ht="24" customHeight="1" x14ac:dyDescent="0.2">
      <c r="A64" s="21">
        <v>4</v>
      </c>
      <c r="B64" s="22" t="s">
        <v>60</v>
      </c>
      <c r="C64" s="23">
        <v>34610953</v>
      </c>
      <c r="D64" s="23">
        <v>42761539</v>
      </c>
      <c r="E64" s="23">
        <f>D64-C64</f>
        <v>8150586</v>
      </c>
      <c r="F64" s="24">
        <f>IF(C64=0,0,E64/C64)</f>
        <v>0.23549152200460935</v>
      </c>
    </row>
    <row r="65" spans="1:6" ht="24" customHeight="1" x14ac:dyDescent="0.25">
      <c r="A65" s="25"/>
      <c r="B65" s="26" t="s">
        <v>61</v>
      </c>
      <c r="C65" s="27">
        <f>SUM(C61:C64)</f>
        <v>88205704</v>
      </c>
      <c r="D65" s="27">
        <f>SUM(D61:D64)</f>
        <v>160552172</v>
      </c>
      <c r="E65" s="27">
        <f>D65-C65</f>
        <v>72346468</v>
      </c>
      <c r="F65" s="28">
        <f>IF(C65=0,0,E65/C65)</f>
        <v>0.82020169579962765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111900976</v>
      </c>
      <c r="D70" s="23">
        <v>104824797</v>
      </c>
      <c r="E70" s="23">
        <f>D70-C70</f>
        <v>-7076179</v>
      </c>
      <c r="F70" s="24">
        <f>IF(C70=0,0,E70/C70)</f>
        <v>-6.3236079370746504E-2</v>
      </c>
    </row>
    <row r="71" spans="1:6" ht="24" customHeight="1" x14ac:dyDescent="0.2">
      <c r="A71" s="21">
        <v>2</v>
      </c>
      <c r="B71" s="22" t="s">
        <v>65</v>
      </c>
      <c r="C71" s="23">
        <v>13846953</v>
      </c>
      <c r="D71" s="23">
        <v>21432761</v>
      </c>
      <c r="E71" s="23">
        <f>D71-C71</f>
        <v>7585808</v>
      </c>
      <c r="F71" s="24">
        <f>IF(C71=0,0,E71/C71)</f>
        <v>0.5478322920573212</v>
      </c>
    </row>
    <row r="72" spans="1:6" ht="24" customHeight="1" x14ac:dyDescent="0.2">
      <c r="A72" s="21">
        <v>3</v>
      </c>
      <c r="B72" s="22" t="s">
        <v>66</v>
      </c>
      <c r="C72" s="23">
        <v>9428709</v>
      </c>
      <c r="D72" s="23">
        <v>9439243</v>
      </c>
      <c r="E72" s="23">
        <f>D72-C72</f>
        <v>10534</v>
      </c>
      <c r="F72" s="24">
        <f>IF(C72=0,0,E72/C72)</f>
        <v>1.1172261228976311E-3</v>
      </c>
    </row>
    <row r="73" spans="1:6" ht="24" customHeight="1" x14ac:dyDescent="0.25">
      <c r="A73" s="21"/>
      <c r="B73" s="26" t="s">
        <v>67</v>
      </c>
      <c r="C73" s="27">
        <f>SUM(C70:C72)</f>
        <v>135176638</v>
      </c>
      <c r="D73" s="27">
        <f>SUM(D70:D72)</f>
        <v>135696801</v>
      </c>
      <c r="E73" s="27">
        <f>D73-C73</f>
        <v>520163</v>
      </c>
      <c r="F73" s="28">
        <f>IF(C73=0,0,E73/C73)</f>
        <v>3.8480243901316733E-3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263051097</v>
      </c>
      <c r="D75" s="27">
        <f>D56+D65+D67+D73</f>
        <v>350182523</v>
      </c>
      <c r="E75" s="27">
        <f>D75-C75</f>
        <v>87131426</v>
      </c>
      <c r="F75" s="28">
        <f>IF(C75=0,0,E75/C75)</f>
        <v>0.33123384389459515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345514638</v>
      </c>
      <c r="D11" s="51">
        <v>350695373</v>
      </c>
      <c r="E11" s="51">
        <v>374982882</v>
      </c>
      <c r="F11" s="28"/>
    </row>
    <row r="12" spans="1:6" ht="24" customHeight="1" x14ac:dyDescent="0.25">
      <c r="A12" s="44">
        <v>2</v>
      </c>
      <c r="B12" s="48" t="s">
        <v>76</v>
      </c>
      <c r="C12" s="49">
        <v>23542171</v>
      </c>
      <c r="D12" s="49">
        <v>24687471</v>
      </c>
      <c r="E12" s="49">
        <v>23390919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369056809</v>
      </c>
      <c r="D13" s="51">
        <f>+D11+D12</f>
        <v>375382844</v>
      </c>
      <c r="E13" s="51">
        <f>+E11+E12</f>
        <v>398373801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357223168</v>
      </c>
      <c r="D14" s="49">
        <v>377200353</v>
      </c>
      <c r="E14" s="49">
        <v>382748783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11833641</v>
      </c>
      <c r="D15" s="51">
        <f>+D13-D14</f>
        <v>-1817509</v>
      </c>
      <c r="E15" s="51">
        <f>+E13-E14</f>
        <v>15625018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809408</v>
      </c>
      <c r="D16" s="49">
        <v>3595122</v>
      </c>
      <c r="E16" s="49">
        <v>-4026811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12643049</v>
      </c>
      <c r="D17" s="51">
        <f>D15+D16</f>
        <v>1777613</v>
      </c>
      <c r="E17" s="51">
        <f>E15+E16</f>
        <v>11598207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3.1994381903768195E-2</v>
      </c>
      <c r="D20" s="169">
        <f>IF(+D27=0,0,+D24/+D27)</f>
        <v>-4.7958170739667754E-3</v>
      </c>
      <c r="E20" s="169">
        <f>IF(+E27=0,0,+E24/+E27)</f>
        <v>3.9622511129094706E-2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2.1883804543305994E-3</v>
      </c>
      <c r="D21" s="169">
        <f>IF(+D27=0,0,+D26/+D27)</f>
        <v>9.4863615369132036E-3</v>
      </c>
      <c r="E21" s="169">
        <f>IF(+E27=0,0,+E26/+E27)</f>
        <v>-1.0211339510921588E-2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3.4182762358098792E-2</v>
      </c>
      <c r="D22" s="169">
        <f>IF(+D27=0,0,+D28/+D27)</f>
        <v>4.6905444629464291E-3</v>
      </c>
      <c r="E22" s="169">
        <f>IF(+E27=0,0,+E28/+E27)</f>
        <v>2.9411171618173124E-2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11833641</v>
      </c>
      <c r="D24" s="51">
        <f>+D15</f>
        <v>-1817509</v>
      </c>
      <c r="E24" s="51">
        <f>+E15</f>
        <v>15625018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369056809</v>
      </c>
      <c r="D25" s="51">
        <f>+D13</f>
        <v>375382844</v>
      </c>
      <c r="E25" s="51">
        <f>+E13</f>
        <v>398373801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809408</v>
      </c>
      <c r="D26" s="51">
        <f>+D16</f>
        <v>3595122</v>
      </c>
      <c r="E26" s="51">
        <f>+E16</f>
        <v>-4026811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369866217</v>
      </c>
      <c r="D27" s="51">
        <f>SUM(D25:D26)</f>
        <v>378977966</v>
      </c>
      <c r="E27" s="51">
        <f>SUM(E25:E26)</f>
        <v>394346990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12643049</v>
      </c>
      <c r="D28" s="51">
        <f>+D17</f>
        <v>1777613</v>
      </c>
      <c r="E28" s="51">
        <f>+E17</f>
        <v>11598207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145071590</v>
      </c>
      <c r="D31" s="51">
        <v>138968662</v>
      </c>
      <c r="E31" s="52">
        <v>126940368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180142734</v>
      </c>
      <c r="D32" s="51">
        <v>174695130</v>
      </c>
      <c r="E32" s="51">
        <v>169919697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-10739273</v>
      </c>
      <c r="D33" s="51">
        <f>+D32-C32</f>
        <v>-5447604</v>
      </c>
      <c r="E33" s="51">
        <f>+E32-D32</f>
        <v>-4775433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0.94369999999999998</v>
      </c>
      <c r="D34" s="171">
        <f>IF(C32=0,0,+D33/C32)</f>
        <v>-3.0240486968516864E-2</v>
      </c>
      <c r="E34" s="171">
        <f>IF(D32=0,0,+E33/D32)</f>
        <v>-2.7335810677721811E-2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2.1805275140716298</v>
      </c>
      <c r="D38" s="269">
        <f>IF(+D40=0,0,+D39/+D40)</f>
        <v>2.4356411075525384</v>
      </c>
      <c r="E38" s="269">
        <f>IF(+E40=0,0,+E39/+E40)</f>
        <v>2.4118318503665144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89031767</v>
      </c>
      <c r="D39" s="270">
        <v>110652425</v>
      </c>
      <c r="E39" s="270">
        <v>162996642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40830380</v>
      </c>
      <c r="D40" s="270">
        <v>45430513</v>
      </c>
      <c r="E40" s="270">
        <v>67582092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36.417822486937759</v>
      </c>
      <c r="D42" s="271">
        <f>IF((D48/365)=0,0,+D45/(D48/365))</f>
        <v>61.762952658200064</v>
      </c>
      <c r="E42" s="271">
        <f>IF((E48/365)=0,0,+E45/(E48/365))</f>
        <v>116.79998383404558</v>
      </c>
    </row>
    <row r="43" spans="1:14" ht="24" customHeight="1" x14ac:dyDescent="0.2">
      <c r="A43" s="17">
        <v>5</v>
      </c>
      <c r="B43" s="188" t="s">
        <v>16</v>
      </c>
      <c r="C43" s="272">
        <v>17551919</v>
      </c>
      <c r="D43" s="272">
        <v>28741901</v>
      </c>
      <c r="E43" s="272">
        <v>77594791</v>
      </c>
    </row>
    <row r="44" spans="1:14" ht="24" customHeight="1" x14ac:dyDescent="0.2">
      <c r="A44" s="17">
        <v>6</v>
      </c>
      <c r="B44" s="273" t="s">
        <v>17</v>
      </c>
      <c r="C44" s="274">
        <v>16173831</v>
      </c>
      <c r="D44" s="274">
        <v>31620264</v>
      </c>
      <c r="E44" s="274">
        <v>38584167</v>
      </c>
    </row>
    <row r="45" spans="1:14" ht="24" customHeight="1" x14ac:dyDescent="0.2">
      <c r="A45" s="17">
        <v>7</v>
      </c>
      <c r="B45" s="45" t="s">
        <v>346</v>
      </c>
      <c r="C45" s="270">
        <f>+C43+C44</f>
        <v>33725750</v>
      </c>
      <c r="D45" s="270">
        <f>+D43+D44</f>
        <v>60362165</v>
      </c>
      <c r="E45" s="270">
        <f>+E43+E44</f>
        <v>116178958</v>
      </c>
    </row>
    <row r="46" spans="1:14" ht="24" customHeight="1" x14ac:dyDescent="0.2">
      <c r="A46" s="17">
        <v>8</v>
      </c>
      <c r="B46" s="45" t="s">
        <v>324</v>
      </c>
      <c r="C46" s="270">
        <f>+C14</f>
        <v>357223168</v>
      </c>
      <c r="D46" s="270">
        <f>+D14</f>
        <v>377200353</v>
      </c>
      <c r="E46" s="270">
        <f>+E14</f>
        <v>382748783</v>
      </c>
    </row>
    <row r="47" spans="1:14" ht="24" customHeight="1" x14ac:dyDescent="0.2">
      <c r="A47" s="17">
        <v>9</v>
      </c>
      <c r="B47" s="45" t="s">
        <v>347</v>
      </c>
      <c r="C47" s="270">
        <v>19204640</v>
      </c>
      <c r="D47" s="270">
        <v>20478576</v>
      </c>
      <c r="E47" s="270">
        <v>19689489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338018528</v>
      </c>
      <c r="D48" s="270">
        <f>+D46-D47</f>
        <v>356721777</v>
      </c>
      <c r="E48" s="270">
        <f>+E46-E47</f>
        <v>363059294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46.697151583488051</v>
      </c>
      <c r="D50" s="278">
        <f>IF((D55/365)=0,0,+D54/(D55/365))</f>
        <v>43.738735227054164</v>
      </c>
      <c r="E50" s="278">
        <f>IF((E55/365)=0,0,+E54/(E55/365))</f>
        <v>33.136372235786482</v>
      </c>
    </row>
    <row r="51" spans="1:5" ht="24" customHeight="1" x14ac:dyDescent="0.2">
      <c r="A51" s="17">
        <v>12</v>
      </c>
      <c r="B51" s="188" t="s">
        <v>350</v>
      </c>
      <c r="C51" s="279">
        <v>45676015</v>
      </c>
      <c r="D51" s="279">
        <v>42567297</v>
      </c>
      <c r="E51" s="279">
        <v>38601542</v>
      </c>
    </row>
    <row r="52" spans="1:5" ht="24" customHeight="1" x14ac:dyDescent="0.2">
      <c r="A52" s="17">
        <v>13</v>
      </c>
      <c r="B52" s="188" t="s">
        <v>21</v>
      </c>
      <c r="C52" s="270">
        <v>313892</v>
      </c>
      <c r="D52" s="270">
        <v>573584</v>
      </c>
      <c r="E52" s="270">
        <v>81421</v>
      </c>
    </row>
    <row r="53" spans="1:5" ht="24" customHeight="1" x14ac:dyDescent="0.2">
      <c r="A53" s="17">
        <v>14</v>
      </c>
      <c r="B53" s="188" t="s">
        <v>49</v>
      </c>
      <c r="C53" s="270">
        <v>1785662</v>
      </c>
      <c r="D53" s="270">
        <v>1116300</v>
      </c>
      <c r="E53" s="270">
        <v>4640299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44204245</v>
      </c>
      <c r="D54" s="280">
        <f>+D51+D52-D53</f>
        <v>42024581</v>
      </c>
      <c r="E54" s="280">
        <f>+E51+E52-E53</f>
        <v>34042664</v>
      </c>
    </row>
    <row r="55" spans="1:5" ht="24" customHeight="1" x14ac:dyDescent="0.2">
      <c r="A55" s="17">
        <v>16</v>
      </c>
      <c r="B55" s="45" t="s">
        <v>75</v>
      </c>
      <c r="C55" s="270">
        <f>+C11</f>
        <v>345514638</v>
      </c>
      <c r="D55" s="270">
        <f>+D11</f>
        <v>350695373</v>
      </c>
      <c r="E55" s="270">
        <f>+E11</f>
        <v>374982882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44.089561563915218</v>
      </c>
      <c r="D57" s="283">
        <f>IF((D61/365)=0,0,+D58/(D61/365))</f>
        <v>46.484790988804704</v>
      </c>
      <c r="E57" s="283">
        <f>IF((E61/365)=0,0,+E58/(E61/365))</f>
        <v>67.943346961942808</v>
      </c>
    </row>
    <row r="58" spans="1:5" ht="24" customHeight="1" x14ac:dyDescent="0.2">
      <c r="A58" s="17">
        <v>18</v>
      </c>
      <c r="B58" s="45" t="s">
        <v>54</v>
      </c>
      <c r="C58" s="281">
        <f>+C40</f>
        <v>40830380</v>
      </c>
      <c r="D58" s="281">
        <f>+D40</f>
        <v>45430513</v>
      </c>
      <c r="E58" s="281">
        <f>+E40</f>
        <v>67582092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357223168</v>
      </c>
      <c r="D59" s="281">
        <f t="shared" si="0"/>
        <v>377200353</v>
      </c>
      <c r="E59" s="281">
        <f t="shared" si="0"/>
        <v>382748783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19204640</v>
      </c>
      <c r="D60" s="176">
        <f t="shared" si="0"/>
        <v>20478576</v>
      </c>
      <c r="E60" s="176">
        <f t="shared" si="0"/>
        <v>19689489</v>
      </c>
    </row>
    <row r="61" spans="1:5" ht="24" customHeight="1" x14ac:dyDescent="0.2">
      <c r="A61" s="17">
        <v>21</v>
      </c>
      <c r="B61" s="45" t="s">
        <v>353</v>
      </c>
      <c r="C61" s="281">
        <f>+C59-C60</f>
        <v>338018528</v>
      </c>
      <c r="D61" s="281">
        <f>+D59-D60</f>
        <v>356721777</v>
      </c>
      <c r="E61" s="281">
        <f>+E59-E60</f>
        <v>363059294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54.783267723910114</v>
      </c>
      <c r="D65" s="284">
        <f>IF(D67=0,0,(D66/D67)*100)</f>
        <v>51.429176433220306</v>
      </c>
      <c r="E65" s="284">
        <f>IF(E67=0,0,(E66/E67)*100)</f>
        <v>39.382058659069102</v>
      </c>
    </row>
    <row r="66" spans="1:5" ht="24" customHeight="1" x14ac:dyDescent="0.2">
      <c r="A66" s="17">
        <v>2</v>
      </c>
      <c r="B66" s="45" t="s">
        <v>67</v>
      </c>
      <c r="C66" s="281">
        <f>+C32</f>
        <v>180142734</v>
      </c>
      <c r="D66" s="281">
        <f>+D32</f>
        <v>174695130</v>
      </c>
      <c r="E66" s="281">
        <f>+E32</f>
        <v>169919697</v>
      </c>
    </row>
    <row r="67" spans="1:5" ht="24" customHeight="1" x14ac:dyDescent="0.2">
      <c r="A67" s="17">
        <v>3</v>
      </c>
      <c r="B67" s="45" t="s">
        <v>43</v>
      </c>
      <c r="C67" s="281">
        <v>328828019</v>
      </c>
      <c r="D67" s="281">
        <v>339680979</v>
      </c>
      <c r="E67" s="281">
        <v>431464740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47.752229422494807</v>
      </c>
      <c r="D69" s="284">
        <f>IF(D75=0,0,(D72/D75)*100)</f>
        <v>32.265416460050247</v>
      </c>
      <c r="E69" s="284">
        <f>IF(E75=0,0,(E72/E75)*100)</f>
        <v>24.197764353264034</v>
      </c>
    </row>
    <row r="70" spans="1:5" ht="24" customHeight="1" x14ac:dyDescent="0.2">
      <c r="A70" s="17">
        <v>5</v>
      </c>
      <c r="B70" s="45" t="s">
        <v>358</v>
      </c>
      <c r="C70" s="281">
        <f>+C28</f>
        <v>12643049</v>
      </c>
      <c r="D70" s="281">
        <f>+D28</f>
        <v>1777613</v>
      </c>
      <c r="E70" s="281">
        <f>+E28</f>
        <v>11598207</v>
      </c>
    </row>
    <row r="71" spans="1:5" ht="24" customHeight="1" x14ac:dyDescent="0.2">
      <c r="A71" s="17">
        <v>6</v>
      </c>
      <c r="B71" s="45" t="s">
        <v>347</v>
      </c>
      <c r="C71" s="176">
        <f>+C47</f>
        <v>19204640</v>
      </c>
      <c r="D71" s="176">
        <f>+D47</f>
        <v>20478576</v>
      </c>
      <c r="E71" s="176">
        <f>+E47</f>
        <v>19689489</v>
      </c>
    </row>
    <row r="72" spans="1:5" ht="24" customHeight="1" x14ac:dyDescent="0.2">
      <c r="A72" s="17">
        <v>7</v>
      </c>
      <c r="B72" s="45" t="s">
        <v>359</v>
      </c>
      <c r="C72" s="281">
        <f>+C70+C71</f>
        <v>31847689</v>
      </c>
      <c r="D72" s="281">
        <f>+D70+D71</f>
        <v>22256189</v>
      </c>
      <c r="E72" s="281">
        <f>+E70+E71</f>
        <v>31287696</v>
      </c>
    </row>
    <row r="73" spans="1:5" ht="24" customHeight="1" x14ac:dyDescent="0.2">
      <c r="A73" s="17">
        <v>8</v>
      </c>
      <c r="B73" s="45" t="s">
        <v>54</v>
      </c>
      <c r="C73" s="270">
        <f>+C40</f>
        <v>40830380</v>
      </c>
      <c r="D73" s="270">
        <f>+D40</f>
        <v>45430513</v>
      </c>
      <c r="E73" s="270">
        <f>+E40</f>
        <v>67582092</v>
      </c>
    </row>
    <row r="74" spans="1:5" ht="24" customHeight="1" x14ac:dyDescent="0.2">
      <c r="A74" s="17">
        <v>9</v>
      </c>
      <c r="B74" s="45" t="s">
        <v>58</v>
      </c>
      <c r="C74" s="281">
        <v>25863237</v>
      </c>
      <c r="D74" s="281">
        <v>23547952</v>
      </c>
      <c r="E74" s="281">
        <v>61717853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66693617</v>
      </c>
      <c r="D75" s="270">
        <f>+D73+D74</f>
        <v>68978465</v>
      </c>
      <c r="E75" s="270">
        <f>+E73+E74</f>
        <v>129299945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12.554605516749803</v>
      </c>
      <c r="D77" s="286">
        <f>IF(D80=0,0,(D78/D80)*100)</f>
        <v>11.87832219032995</v>
      </c>
      <c r="E77" s="286">
        <f>IF(E80=0,0,(E78/E80)*100)</f>
        <v>26.644148584717808</v>
      </c>
    </row>
    <row r="78" spans="1:5" ht="24" customHeight="1" x14ac:dyDescent="0.2">
      <c r="A78" s="17">
        <v>12</v>
      </c>
      <c r="B78" s="45" t="s">
        <v>58</v>
      </c>
      <c r="C78" s="270">
        <f>+C74</f>
        <v>25863237</v>
      </c>
      <c r="D78" s="270">
        <f>+D74</f>
        <v>23547952</v>
      </c>
      <c r="E78" s="270">
        <f>+E74</f>
        <v>61717853</v>
      </c>
    </row>
    <row r="79" spans="1:5" ht="24" customHeight="1" x14ac:dyDescent="0.2">
      <c r="A79" s="17">
        <v>13</v>
      </c>
      <c r="B79" s="45" t="s">
        <v>67</v>
      </c>
      <c r="C79" s="270">
        <f>+C32</f>
        <v>180142734</v>
      </c>
      <c r="D79" s="270">
        <f>+D32</f>
        <v>174695130</v>
      </c>
      <c r="E79" s="270">
        <f>+E32</f>
        <v>169919697</v>
      </c>
    </row>
    <row r="80" spans="1:5" ht="24" customHeight="1" x14ac:dyDescent="0.2">
      <c r="A80" s="17">
        <v>14</v>
      </c>
      <c r="B80" s="45" t="s">
        <v>362</v>
      </c>
      <c r="C80" s="270">
        <f>+C78+C79</f>
        <v>206005971</v>
      </c>
      <c r="D80" s="270">
        <f>+D78+D79</f>
        <v>198243082</v>
      </c>
      <c r="E80" s="270">
        <f>+E78+E79</f>
        <v>231637550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FILING&amp;R&amp;8NORWALK HEALTH SERVICES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495</v>
      </c>
      <c r="E6" s="126" t="s">
        <v>496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497</v>
      </c>
      <c r="I7" s="126" t="s">
        <v>497</v>
      </c>
      <c r="J7" s="125"/>
      <c r="K7" s="289"/>
    </row>
    <row r="8" spans="1:11" ht="15.75" customHeight="1" x14ac:dyDescent="0.25">
      <c r="A8" s="287"/>
      <c r="B8" s="126"/>
      <c r="C8" s="126" t="s">
        <v>498</v>
      </c>
      <c r="D8" s="126" t="s">
        <v>499</v>
      </c>
      <c r="E8" s="126" t="s">
        <v>500</v>
      </c>
      <c r="F8" s="126" t="s">
        <v>501</v>
      </c>
      <c r="G8" s="126" t="s">
        <v>502</v>
      </c>
      <c r="H8" s="126" t="s">
        <v>503</v>
      </c>
      <c r="I8" s="126" t="s">
        <v>504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505</v>
      </c>
      <c r="D9" s="292" t="s">
        <v>506</v>
      </c>
      <c r="E9" s="292" t="s">
        <v>507</v>
      </c>
      <c r="F9" s="292" t="s">
        <v>508</v>
      </c>
      <c r="G9" s="292" t="s">
        <v>509</v>
      </c>
      <c r="H9" s="292" t="s">
        <v>508</v>
      </c>
      <c r="I9" s="292" t="s">
        <v>509</v>
      </c>
      <c r="J9" s="125"/>
      <c r="K9" s="56"/>
    </row>
    <row r="10" spans="1:11" ht="15.75" customHeight="1" x14ac:dyDescent="0.25">
      <c r="A10" s="293" t="s">
        <v>507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510</v>
      </c>
      <c r="C11" s="296">
        <v>33794</v>
      </c>
      <c r="D11" s="296">
        <v>9995</v>
      </c>
      <c r="E11" s="296">
        <v>7942</v>
      </c>
      <c r="F11" s="297">
        <v>93</v>
      </c>
      <c r="G11" s="297">
        <v>136</v>
      </c>
      <c r="H11" s="298">
        <f>IF(F11=0,0,$C11/(F11*365))</f>
        <v>0.99555162763293559</v>
      </c>
      <c r="I11" s="298">
        <f>IF(G11=0,0,$C11/(G11*365))</f>
        <v>0.68078162771958095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511</v>
      </c>
      <c r="C13" s="296">
        <v>13611</v>
      </c>
      <c r="D13" s="296">
        <v>2053</v>
      </c>
      <c r="E13" s="296">
        <v>0</v>
      </c>
      <c r="F13" s="297">
        <v>38</v>
      </c>
      <c r="G13" s="297">
        <v>49</v>
      </c>
      <c r="H13" s="298">
        <f>IF(F13=0,0,$C13/(F13*365))</f>
        <v>0.98132660418168705</v>
      </c>
      <c r="I13" s="298">
        <f>IF(G13=0,0,$C13/(G13*365))</f>
        <v>0.76102879507967569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512</v>
      </c>
      <c r="C15" s="296">
        <v>6</v>
      </c>
      <c r="D15" s="296">
        <v>1</v>
      </c>
      <c r="E15" s="296">
        <v>1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513</v>
      </c>
      <c r="C16" s="296">
        <v>3245</v>
      </c>
      <c r="D16" s="296">
        <v>506</v>
      </c>
      <c r="E16" s="296">
        <v>501</v>
      </c>
      <c r="F16" s="297">
        <v>9</v>
      </c>
      <c r="G16" s="297">
        <v>22</v>
      </c>
      <c r="H16" s="298">
        <f t="shared" si="0"/>
        <v>0.9878234398782344</v>
      </c>
      <c r="I16" s="298">
        <f t="shared" si="0"/>
        <v>0.4041095890410959</v>
      </c>
      <c r="J16" s="125"/>
      <c r="K16" s="299"/>
    </row>
    <row r="17" spans="1:11" ht="15.75" customHeight="1" x14ac:dyDescent="0.25">
      <c r="A17" s="293"/>
      <c r="B17" s="135" t="s">
        <v>514</v>
      </c>
      <c r="C17" s="300">
        <f>SUM(C15:C16)</f>
        <v>3251</v>
      </c>
      <c r="D17" s="300">
        <f>SUM(D15:D16)</f>
        <v>507</v>
      </c>
      <c r="E17" s="300">
        <f>SUM(E15:E16)</f>
        <v>502</v>
      </c>
      <c r="F17" s="300">
        <f>SUM(F15:F16)</f>
        <v>9</v>
      </c>
      <c r="G17" s="300">
        <f>SUM(G15:G16)</f>
        <v>22</v>
      </c>
      <c r="H17" s="301">
        <f t="shared" si="0"/>
        <v>0.9896499238964992</v>
      </c>
      <c r="I17" s="301">
        <f t="shared" si="0"/>
        <v>0.40485678704856787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515</v>
      </c>
      <c r="C19" s="296">
        <v>8343</v>
      </c>
      <c r="D19" s="296">
        <v>442</v>
      </c>
      <c r="E19" s="296">
        <v>438</v>
      </c>
      <c r="F19" s="297">
        <v>23</v>
      </c>
      <c r="G19" s="297">
        <v>25</v>
      </c>
      <c r="H19" s="298">
        <f>IF(F19=0,0,$C19/(F19*365))</f>
        <v>0.99380583680762358</v>
      </c>
      <c r="I19" s="298">
        <f>IF(G19=0,0,$C19/(G19*365))</f>
        <v>0.91430136986301369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516</v>
      </c>
      <c r="C21" s="296">
        <v>4907</v>
      </c>
      <c r="D21" s="296">
        <v>1655</v>
      </c>
      <c r="E21" s="296">
        <v>1657</v>
      </c>
      <c r="F21" s="297">
        <v>14</v>
      </c>
      <c r="G21" s="297">
        <v>27</v>
      </c>
      <c r="H21" s="298">
        <f>IF(F21=0,0,$C21/(F21*365))</f>
        <v>0.96027397260273972</v>
      </c>
      <c r="I21" s="298">
        <f>IF(G21=0,0,$C21/(G21*365))</f>
        <v>0.49791983764586506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517</v>
      </c>
      <c r="C23" s="296">
        <v>3706</v>
      </c>
      <c r="D23" s="296">
        <v>1463</v>
      </c>
      <c r="E23" s="296">
        <v>1459</v>
      </c>
      <c r="F23" s="297">
        <v>11</v>
      </c>
      <c r="G23" s="297">
        <v>20</v>
      </c>
      <c r="H23" s="298">
        <f>IF(F23=0,0,$C23/(F23*365))</f>
        <v>0.92303860523038606</v>
      </c>
      <c r="I23" s="298">
        <f>IF(G23=0,0,$C23/(G23*365))</f>
        <v>0.50767123287671234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295</v>
      </c>
      <c r="C25" s="296">
        <v>1419</v>
      </c>
      <c r="D25" s="296">
        <v>160</v>
      </c>
      <c r="E25" s="296">
        <v>0</v>
      </c>
      <c r="F25" s="297">
        <v>4</v>
      </c>
      <c r="G25" s="297">
        <v>16</v>
      </c>
      <c r="H25" s="298">
        <f>IF(F25=0,0,$C25/(F25*365))</f>
        <v>0.97191780821917806</v>
      </c>
      <c r="I25" s="298">
        <f>IF(G25=0,0,$C25/(G25*365))</f>
        <v>0.24297945205479451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518</v>
      </c>
      <c r="C27" s="296">
        <v>1324</v>
      </c>
      <c r="D27" s="296">
        <v>656</v>
      </c>
      <c r="E27" s="296">
        <v>684</v>
      </c>
      <c r="F27" s="297">
        <v>4</v>
      </c>
      <c r="G27" s="297">
        <v>17</v>
      </c>
      <c r="H27" s="298">
        <f>IF(F27=0,0,$C27/(F27*365))</f>
        <v>0.9068493150684932</v>
      </c>
      <c r="I27" s="298">
        <f>IF(G27=0,0,$C27/(G27*365))</f>
        <v>0.21337630942788074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519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520</v>
      </c>
      <c r="C31" s="300">
        <f>SUM(C10:C29)-C17-C23</f>
        <v>66649</v>
      </c>
      <c r="D31" s="300">
        <f>SUM(D10:D29)-D13-D17-D23</f>
        <v>13415</v>
      </c>
      <c r="E31" s="300">
        <f>SUM(E10:E29)-E17-E23</f>
        <v>11223</v>
      </c>
      <c r="F31" s="300">
        <f>SUM(F10:F29)-F17-F23</f>
        <v>185</v>
      </c>
      <c r="G31" s="300">
        <f>SUM(G10:G29)-G17-G23</f>
        <v>292</v>
      </c>
      <c r="H31" s="301">
        <f>IF(F31=0,0,$C31/(F31*365))</f>
        <v>0.98702702702702705</v>
      </c>
      <c r="I31" s="301">
        <f>IF(G31=0,0,$C31/(G31*365))</f>
        <v>0.62534246575342467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521</v>
      </c>
      <c r="C33" s="300">
        <f>SUM(C10:C29)-C17</f>
        <v>70355</v>
      </c>
      <c r="D33" s="300">
        <f>SUM(D10:D29)-D13-D17</f>
        <v>14878</v>
      </c>
      <c r="E33" s="300">
        <f>SUM(E10:E29)-E17</f>
        <v>12682</v>
      </c>
      <c r="F33" s="300">
        <f>SUM(F10:F29)-F17</f>
        <v>196</v>
      </c>
      <c r="G33" s="300">
        <f>SUM(G10:G29)-G17</f>
        <v>312</v>
      </c>
      <c r="H33" s="301">
        <f>IF(F33=0,0,$C33/(F33*365))</f>
        <v>0.98343584008946039</v>
      </c>
      <c r="I33" s="301">
        <f>IF(G33=0,0,$C33/(G33*365))</f>
        <v>0.61779943800491743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522</v>
      </c>
      <c r="C36" s="300">
        <f t="shared" ref="C36:I36" si="1">+C33</f>
        <v>70355</v>
      </c>
      <c r="D36" s="300">
        <f t="shared" si="1"/>
        <v>14878</v>
      </c>
      <c r="E36" s="300">
        <f t="shared" si="1"/>
        <v>12682</v>
      </c>
      <c r="F36" s="300">
        <f t="shared" si="1"/>
        <v>196</v>
      </c>
      <c r="G36" s="300">
        <f t="shared" si="1"/>
        <v>312</v>
      </c>
      <c r="H36" s="301">
        <f t="shared" si="1"/>
        <v>0.98343584008946039</v>
      </c>
      <c r="I36" s="301">
        <f t="shared" si="1"/>
        <v>0.61779943800491743</v>
      </c>
      <c r="J36" s="125"/>
      <c r="K36" s="299"/>
    </row>
    <row r="37" spans="1:11" ht="15.75" customHeight="1" x14ac:dyDescent="0.25">
      <c r="A37" s="293"/>
      <c r="B37" s="135" t="s">
        <v>523</v>
      </c>
      <c r="C37" s="300">
        <v>69417</v>
      </c>
      <c r="D37" s="300">
        <v>0</v>
      </c>
      <c r="E37" s="300">
        <v>0</v>
      </c>
      <c r="F37" s="302">
        <v>194</v>
      </c>
      <c r="G37" s="302">
        <v>312</v>
      </c>
      <c r="H37" s="301">
        <f>IF(F37=0,0,$C37/(F37*365))</f>
        <v>0.98032763733935879</v>
      </c>
      <c r="I37" s="301">
        <f>IF(G37=0,0,$C37/(G37*365))</f>
        <v>0.60956269757639625</v>
      </c>
      <c r="J37" s="125"/>
      <c r="K37" s="299"/>
    </row>
    <row r="38" spans="1:11" ht="15.75" customHeight="1" x14ac:dyDescent="0.25">
      <c r="A38" s="293"/>
      <c r="B38" s="135" t="s">
        <v>524</v>
      </c>
      <c r="C38" s="300">
        <f t="shared" ref="C38:I38" si="2">+C36-C37</f>
        <v>938</v>
      </c>
      <c r="D38" s="300">
        <f t="shared" si="2"/>
        <v>14878</v>
      </c>
      <c r="E38" s="300">
        <f t="shared" si="2"/>
        <v>12682</v>
      </c>
      <c r="F38" s="300">
        <f t="shared" si="2"/>
        <v>2</v>
      </c>
      <c r="G38" s="300">
        <f t="shared" si="2"/>
        <v>0</v>
      </c>
      <c r="H38" s="301">
        <f t="shared" si="2"/>
        <v>3.1082027501015963E-3</v>
      </c>
      <c r="I38" s="301">
        <f t="shared" si="2"/>
        <v>8.2367404285211832E-3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525</v>
      </c>
      <c r="C40" s="148">
        <f t="shared" ref="C40:I40" si="3">IF(C37=0,0,C38/C37)</f>
        <v>1.35125401558696E-2</v>
      </c>
      <c r="D40" s="148">
        <f t="shared" si="3"/>
        <v>0</v>
      </c>
      <c r="E40" s="148">
        <f t="shared" si="3"/>
        <v>0</v>
      </c>
      <c r="F40" s="148">
        <f t="shared" si="3"/>
        <v>1.0309278350515464E-2</v>
      </c>
      <c r="G40" s="148">
        <f t="shared" si="3"/>
        <v>0</v>
      </c>
      <c r="H40" s="148">
        <f t="shared" si="3"/>
        <v>3.1705754604015451E-3</v>
      </c>
      <c r="I40" s="148">
        <f t="shared" si="3"/>
        <v>1.3512540155869489E-2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526</v>
      </c>
      <c r="C42" s="295">
        <v>366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527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507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FILING&amp;RNORWALK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528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529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530</v>
      </c>
      <c r="C12" s="296">
        <v>10207</v>
      </c>
      <c r="D12" s="296">
        <v>9009</v>
      </c>
      <c r="E12" s="296">
        <f>+D12-C12</f>
        <v>-1198</v>
      </c>
      <c r="F12" s="316">
        <f>IF(C12=0,0,+E12/C12)</f>
        <v>-0.11737043205643186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531</v>
      </c>
      <c r="C13" s="296">
        <v>4556</v>
      </c>
      <c r="D13" s="296">
        <v>10378</v>
      </c>
      <c r="E13" s="296">
        <f>+D13-C13</f>
        <v>5822</v>
      </c>
      <c r="F13" s="316">
        <f>IF(C13=0,0,+E13/C13)</f>
        <v>1.277875329236172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532</v>
      </c>
      <c r="C14" s="296">
        <v>10781</v>
      </c>
      <c r="D14" s="296">
        <v>6458</v>
      </c>
      <c r="E14" s="296">
        <f>+D14-C14</f>
        <v>-4323</v>
      </c>
      <c r="F14" s="316">
        <f>IF(C14=0,0,+E14/C14)</f>
        <v>-0.40098321120489749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533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534</v>
      </c>
      <c r="C16" s="300">
        <f>SUM(C12:C15)</f>
        <v>25544</v>
      </c>
      <c r="D16" s="300">
        <f>SUM(D12:D15)</f>
        <v>25845</v>
      </c>
      <c r="E16" s="300">
        <f>+D16-C16</f>
        <v>301</v>
      </c>
      <c r="F16" s="309">
        <f>IF(C16=0,0,+E16/C16)</f>
        <v>1.1783589101158785E-2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535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530</v>
      </c>
      <c r="C19" s="296">
        <v>1111</v>
      </c>
      <c r="D19" s="296">
        <v>1272</v>
      </c>
      <c r="E19" s="296">
        <f>+D19-C19</f>
        <v>161</v>
      </c>
      <c r="F19" s="316">
        <f>IF(C19=0,0,+E19/C19)</f>
        <v>0.14491449144914492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531</v>
      </c>
      <c r="C20" s="296">
        <v>11998</v>
      </c>
      <c r="D20" s="296">
        <v>10687</v>
      </c>
      <c r="E20" s="296">
        <f>+D20-C20</f>
        <v>-1311</v>
      </c>
      <c r="F20" s="316">
        <f>IF(C20=0,0,+E20/C20)</f>
        <v>-0.10926821136856142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532</v>
      </c>
      <c r="C21" s="296">
        <v>113</v>
      </c>
      <c r="D21" s="296">
        <v>189</v>
      </c>
      <c r="E21" s="296">
        <f>+D21-C21</f>
        <v>76</v>
      </c>
      <c r="F21" s="316">
        <f>IF(C21=0,0,+E21/C21)</f>
        <v>0.67256637168141598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533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536</v>
      </c>
      <c r="C23" s="300">
        <f>SUM(C19:C22)</f>
        <v>13222</v>
      </c>
      <c r="D23" s="300">
        <f>SUM(D19:D22)</f>
        <v>12148</v>
      </c>
      <c r="E23" s="300">
        <f>+D23-C23</f>
        <v>-1074</v>
      </c>
      <c r="F23" s="309">
        <f>IF(C23=0,0,+E23/C23)</f>
        <v>-8.122825593707457E-2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537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530</v>
      </c>
      <c r="C26" s="296">
        <v>16</v>
      </c>
      <c r="D26" s="296">
        <v>2</v>
      </c>
      <c r="E26" s="296">
        <f>+D26-C26</f>
        <v>-14</v>
      </c>
      <c r="F26" s="316">
        <f>IF(C26=0,0,+E26/C26)</f>
        <v>-0.875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531</v>
      </c>
      <c r="C27" s="296">
        <v>583</v>
      </c>
      <c r="D27" s="296">
        <v>643</v>
      </c>
      <c r="E27" s="296">
        <f>+D27-C27</f>
        <v>60</v>
      </c>
      <c r="F27" s="316">
        <f>IF(C27=0,0,+E27/C27)</f>
        <v>0.10291595197255575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532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533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538</v>
      </c>
      <c r="C30" s="300">
        <f>SUM(C26:C29)</f>
        <v>599</v>
      </c>
      <c r="D30" s="300">
        <f>SUM(D26:D29)</f>
        <v>645</v>
      </c>
      <c r="E30" s="300">
        <f>+D30-C30</f>
        <v>46</v>
      </c>
      <c r="F30" s="309">
        <f>IF(C30=0,0,+E30/C30)</f>
        <v>7.6794657762938229E-2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539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530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531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532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533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540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541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542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543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544</v>
      </c>
      <c r="C43" s="296">
        <v>207</v>
      </c>
      <c r="D43" s="296">
        <v>235</v>
      </c>
      <c r="E43" s="296">
        <f>+D43-C43</f>
        <v>28</v>
      </c>
      <c r="F43" s="316">
        <f>IF(C43=0,0,+E43/C43)</f>
        <v>0.13526570048309178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545</v>
      </c>
      <c r="C44" s="296">
        <v>7349</v>
      </c>
      <c r="D44" s="296">
        <v>7401</v>
      </c>
      <c r="E44" s="296">
        <f>+D44-C44</f>
        <v>52</v>
      </c>
      <c r="F44" s="316">
        <f>IF(C44=0,0,+E44/C44)</f>
        <v>7.0757926248469181E-3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546</v>
      </c>
      <c r="C45" s="300">
        <f>SUM(C43:C44)</f>
        <v>7556</v>
      </c>
      <c r="D45" s="300">
        <f>SUM(D43:D44)</f>
        <v>7636</v>
      </c>
      <c r="E45" s="300">
        <f>+D45-C45</f>
        <v>80</v>
      </c>
      <c r="F45" s="309">
        <f>IF(C45=0,0,+E45/C45)</f>
        <v>1.0587612493382742E-2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547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544</v>
      </c>
      <c r="C48" s="296">
        <v>126</v>
      </c>
      <c r="D48" s="296">
        <v>150</v>
      </c>
      <c r="E48" s="296">
        <f>+D48-C48</f>
        <v>24</v>
      </c>
      <c r="F48" s="316">
        <f>IF(C48=0,0,+E48/C48)</f>
        <v>0.19047619047619047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545</v>
      </c>
      <c r="C49" s="296">
        <v>59</v>
      </c>
      <c r="D49" s="296">
        <v>28</v>
      </c>
      <c r="E49" s="296">
        <f>+D49-C49</f>
        <v>-31</v>
      </c>
      <c r="F49" s="316">
        <f>IF(C49=0,0,+E49/C49)</f>
        <v>-0.52542372881355937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548</v>
      </c>
      <c r="C50" s="300">
        <f>SUM(C48:C49)</f>
        <v>185</v>
      </c>
      <c r="D50" s="300">
        <f>SUM(D48:D49)</f>
        <v>178</v>
      </c>
      <c r="E50" s="300">
        <f>+D50-C50</f>
        <v>-7</v>
      </c>
      <c r="F50" s="309">
        <f>IF(C50=0,0,+E50/C50)</f>
        <v>-3.783783783783784E-2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549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550</v>
      </c>
      <c r="C53" s="296">
        <v>59</v>
      </c>
      <c r="D53" s="296">
        <v>65</v>
      </c>
      <c r="E53" s="296">
        <f>+D53-C53</f>
        <v>6</v>
      </c>
      <c r="F53" s="316">
        <f>IF(C53=0,0,+E53/C53)</f>
        <v>0.10169491525423729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551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552</v>
      </c>
      <c r="C55" s="300">
        <f>SUM(C53:C54)</f>
        <v>59</v>
      </c>
      <c r="D55" s="300">
        <f>SUM(D53:D54)</f>
        <v>65</v>
      </c>
      <c r="E55" s="300">
        <f>+D55-C55</f>
        <v>6</v>
      </c>
      <c r="F55" s="309">
        <f>IF(C55=0,0,+E55/C55)</f>
        <v>0.10169491525423729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553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554</v>
      </c>
      <c r="C58" s="296">
        <v>120</v>
      </c>
      <c r="D58" s="296">
        <v>96</v>
      </c>
      <c r="E58" s="296">
        <f>+D58-C58</f>
        <v>-24</v>
      </c>
      <c r="F58" s="316">
        <f>IF(C58=0,0,+E58/C58)</f>
        <v>-0.2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555</v>
      </c>
      <c r="C59" s="296">
        <v>200</v>
      </c>
      <c r="D59" s="296">
        <v>209</v>
      </c>
      <c r="E59" s="296">
        <f>+D59-C59</f>
        <v>9</v>
      </c>
      <c r="F59" s="316">
        <f>IF(C59=0,0,+E59/C59)</f>
        <v>4.4999999999999998E-2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556</v>
      </c>
      <c r="C60" s="300">
        <f>SUM(C58:C59)</f>
        <v>320</v>
      </c>
      <c r="D60" s="300">
        <f>SUM(D58:D59)</f>
        <v>305</v>
      </c>
      <c r="E60" s="300">
        <f>SUM(E58:E59)</f>
        <v>-15</v>
      </c>
      <c r="F60" s="309">
        <f>IF(C60=0,0,+E60/C60)</f>
        <v>-4.6875E-2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557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558</v>
      </c>
      <c r="C63" s="296">
        <v>3615</v>
      </c>
      <c r="D63" s="296">
        <v>3403</v>
      </c>
      <c r="E63" s="296">
        <f>+D63-C63</f>
        <v>-212</v>
      </c>
      <c r="F63" s="316">
        <f>IF(C63=0,0,+E63/C63)</f>
        <v>-5.8644536652835408E-2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559</v>
      </c>
      <c r="C64" s="296">
        <v>9539</v>
      </c>
      <c r="D64" s="296">
        <v>10004</v>
      </c>
      <c r="E64" s="296">
        <f>+D64-C64</f>
        <v>465</v>
      </c>
      <c r="F64" s="316">
        <f>IF(C64=0,0,+E64/C64)</f>
        <v>4.874724813921795E-2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560</v>
      </c>
      <c r="C65" s="300">
        <f>SUM(C63:C64)</f>
        <v>13154</v>
      </c>
      <c r="D65" s="300">
        <f>SUM(D63:D64)</f>
        <v>13407</v>
      </c>
      <c r="E65" s="300">
        <f>+D65-C65</f>
        <v>253</v>
      </c>
      <c r="F65" s="309">
        <f>IF(C65=0,0,+E65/C65)</f>
        <v>1.9233693173179262E-2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561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562</v>
      </c>
      <c r="C68" s="296">
        <v>668</v>
      </c>
      <c r="D68" s="296">
        <v>727</v>
      </c>
      <c r="E68" s="296">
        <f>+D68-C68</f>
        <v>59</v>
      </c>
      <c r="F68" s="316">
        <f>IF(C68=0,0,+E68/C68)</f>
        <v>8.8323353293413176E-2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563</v>
      </c>
      <c r="C69" s="296">
        <v>8652</v>
      </c>
      <c r="D69" s="296">
        <v>9098</v>
      </c>
      <c r="E69" s="296">
        <f>+D69-C69</f>
        <v>446</v>
      </c>
      <c r="F69" s="318">
        <f>IF(C69=0,0,+E69/C69)</f>
        <v>5.1548774849745724E-2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564</v>
      </c>
      <c r="C70" s="300">
        <f>SUM(C68:C69)</f>
        <v>9320</v>
      </c>
      <c r="D70" s="300">
        <f>SUM(D68:D69)</f>
        <v>9825</v>
      </c>
      <c r="E70" s="300">
        <f>+D70-C70</f>
        <v>505</v>
      </c>
      <c r="F70" s="309">
        <f>IF(C70=0,0,+E70/C70)</f>
        <v>5.4184549356223174E-2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565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566</v>
      </c>
      <c r="C73" s="319">
        <v>9008</v>
      </c>
      <c r="D73" s="319">
        <v>9538</v>
      </c>
      <c r="E73" s="296">
        <f>+D73-C73</f>
        <v>530</v>
      </c>
      <c r="F73" s="316">
        <f>IF(C73=0,0,+E73/C73)</f>
        <v>5.8836589698046178E-2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567</v>
      </c>
      <c r="C74" s="319">
        <v>39491</v>
      </c>
      <c r="D74" s="319">
        <v>40107</v>
      </c>
      <c r="E74" s="296">
        <f>+D74-C74</f>
        <v>616</v>
      </c>
      <c r="F74" s="316">
        <f>IF(C74=0,0,+E74/C74)</f>
        <v>1.5598490795371097E-2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48499</v>
      </c>
      <c r="D75" s="300">
        <f>SUM(D73:D74)</f>
        <v>49645</v>
      </c>
      <c r="E75" s="300">
        <f>SUM(E73:E74)</f>
        <v>1146</v>
      </c>
      <c r="F75" s="309">
        <f>IF(C75=0,0,+E75/C75)</f>
        <v>2.3629353182539847E-2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568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569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570</v>
      </c>
      <c r="C80" s="319">
        <v>1634</v>
      </c>
      <c r="D80" s="319">
        <v>1230</v>
      </c>
      <c r="E80" s="296">
        <f t="shared" si="0"/>
        <v>-404</v>
      </c>
      <c r="F80" s="316">
        <f t="shared" si="1"/>
        <v>-0.24724602203182375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571</v>
      </c>
      <c r="C81" s="319">
        <v>10629</v>
      </c>
      <c r="D81" s="319">
        <v>11176</v>
      </c>
      <c r="E81" s="296">
        <f t="shared" si="0"/>
        <v>547</v>
      </c>
      <c r="F81" s="316">
        <f t="shared" si="1"/>
        <v>5.1462978643334274E-2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572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573</v>
      </c>
      <c r="C83" s="319">
        <v>9080</v>
      </c>
      <c r="D83" s="319">
        <v>9207</v>
      </c>
      <c r="E83" s="296">
        <f t="shared" si="0"/>
        <v>127</v>
      </c>
      <c r="F83" s="316">
        <f t="shared" si="1"/>
        <v>1.3986784140969164E-2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574</v>
      </c>
      <c r="C84" s="320">
        <f>SUM(C79:C83)</f>
        <v>21343</v>
      </c>
      <c r="D84" s="320">
        <f>SUM(D79:D83)</f>
        <v>21613</v>
      </c>
      <c r="E84" s="300">
        <f t="shared" si="0"/>
        <v>270</v>
      </c>
      <c r="F84" s="309">
        <f t="shared" si="1"/>
        <v>1.2650517734151712E-2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575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576</v>
      </c>
      <c r="C87" s="322">
        <v>8166</v>
      </c>
      <c r="D87" s="322">
        <v>8224</v>
      </c>
      <c r="E87" s="323">
        <f t="shared" ref="E87:E92" si="2">+D87-C87</f>
        <v>58</v>
      </c>
      <c r="F87" s="318">
        <f t="shared" ref="F87:F92" si="3">IF(C87=0,0,+E87/C87)</f>
        <v>7.1026206220915992E-3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818</v>
      </c>
      <c r="D88" s="322">
        <v>838</v>
      </c>
      <c r="E88" s="296">
        <f t="shared" si="2"/>
        <v>20</v>
      </c>
      <c r="F88" s="316">
        <f t="shared" si="3"/>
        <v>2.4449877750611249E-2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577</v>
      </c>
      <c r="C89" s="322">
        <v>332</v>
      </c>
      <c r="D89" s="322">
        <v>318</v>
      </c>
      <c r="E89" s="296">
        <f t="shared" si="2"/>
        <v>-14</v>
      </c>
      <c r="F89" s="316">
        <f t="shared" si="3"/>
        <v>-4.2168674698795178E-2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578</v>
      </c>
      <c r="C90" s="322">
        <v>9089</v>
      </c>
      <c r="D90" s="322">
        <v>9637</v>
      </c>
      <c r="E90" s="296">
        <f t="shared" si="2"/>
        <v>548</v>
      </c>
      <c r="F90" s="316">
        <f t="shared" si="3"/>
        <v>6.0292661458906369E-2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579</v>
      </c>
      <c r="C91" s="322">
        <v>127568</v>
      </c>
      <c r="D91" s="322">
        <v>140204</v>
      </c>
      <c r="E91" s="296">
        <f t="shared" si="2"/>
        <v>12636</v>
      </c>
      <c r="F91" s="316">
        <f t="shared" si="3"/>
        <v>9.9053054057443871E-2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580</v>
      </c>
      <c r="C92" s="320">
        <f>SUM(C87:C91)</f>
        <v>145973</v>
      </c>
      <c r="D92" s="320">
        <f>SUM(D87:D91)</f>
        <v>159221</v>
      </c>
      <c r="E92" s="300">
        <f t="shared" si="2"/>
        <v>13248</v>
      </c>
      <c r="F92" s="309">
        <f t="shared" si="3"/>
        <v>9.0756509765504575E-2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581</v>
      </c>
      <c r="B95" s="291" t="s">
        <v>582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583</v>
      </c>
      <c r="C96" s="325">
        <v>488.6</v>
      </c>
      <c r="D96" s="325">
        <v>462.7</v>
      </c>
      <c r="E96" s="326">
        <f>+D96-C96</f>
        <v>-25.900000000000034</v>
      </c>
      <c r="F96" s="316">
        <f>IF(C96=0,0,+E96/C96)</f>
        <v>-5.3008595988538749E-2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584</v>
      </c>
      <c r="C97" s="325">
        <v>105.8</v>
      </c>
      <c r="D97" s="325">
        <v>103.9</v>
      </c>
      <c r="E97" s="326">
        <f>+D97-C97</f>
        <v>-1.8999999999999915</v>
      </c>
      <c r="F97" s="316">
        <f>IF(C97=0,0,+E97/C97)</f>
        <v>-1.7958412098298595E-2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585</v>
      </c>
      <c r="C98" s="325">
        <v>1132.2</v>
      </c>
      <c r="D98" s="325">
        <v>1131.8</v>
      </c>
      <c r="E98" s="326">
        <f>+D98-C98</f>
        <v>-0.40000000000009095</v>
      </c>
      <c r="F98" s="316">
        <f>IF(C98=0,0,+E98/C98)</f>
        <v>-3.5329447094161007E-4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586</v>
      </c>
      <c r="C99" s="327">
        <f>SUM(C96:C98)</f>
        <v>1726.6</v>
      </c>
      <c r="D99" s="327">
        <f>SUM(D96:D98)</f>
        <v>1698.4</v>
      </c>
      <c r="E99" s="327">
        <f>+D99-C99</f>
        <v>-28.199999999999818</v>
      </c>
      <c r="F99" s="309">
        <f>IF(C99=0,0,+E99/C99)</f>
        <v>-1.6332676937333382E-2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FILING&amp;RNORWALK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587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559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588</v>
      </c>
      <c r="C12" s="296">
        <v>1090</v>
      </c>
      <c r="D12" s="296">
        <v>0</v>
      </c>
      <c r="E12" s="296">
        <f>+D12-C12</f>
        <v>-1090</v>
      </c>
      <c r="F12" s="316">
        <f>IF(C12=0,0,+E12/C12)</f>
        <v>-1</v>
      </c>
    </row>
    <row r="13" spans="1:16" ht="15.75" customHeight="1" x14ac:dyDescent="0.2">
      <c r="A13" s="294">
        <v>2</v>
      </c>
      <c r="B13" s="295" t="s">
        <v>589</v>
      </c>
      <c r="C13" s="296">
        <v>8449</v>
      </c>
      <c r="D13" s="296">
        <v>10004</v>
      </c>
      <c r="E13" s="296">
        <f>+D13-C13</f>
        <v>1555</v>
      </c>
      <c r="F13" s="316">
        <f>IF(C13=0,0,+E13/C13)</f>
        <v>0.18404544916558171</v>
      </c>
    </row>
    <row r="14" spans="1:16" ht="15.75" customHeight="1" x14ac:dyDescent="0.25">
      <c r="A14" s="294"/>
      <c r="B14" s="135" t="s">
        <v>590</v>
      </c>
      <c r="C14" s="300">
        <f>SUM(C11:C13)</f>
        <v>9539</v>
      </c>
      <c r="D14" s="300">
        <f>SUM(D11:D13)</f>
        <v>10004</v>
      </c>
      <c r="E14" s="300">
        <f>+D14-C14</f>
        <v>465</v>
      </c>
      <c r="F14" s="309">
        <f>IF(C14=0,0,+E14/C14)</f>
        <v>4.874724813921795E-2</v>
      </c>
    </row>
    <row r="15" spans="1:16" ht="15.75" customHeight="1" x14ac:dyDescent="0.25">
      <c r="A15" s="293"/>
      <c r="B15" s="135"/>
      <c r="C15" s="300"/>
      <c r="D15" s="300"/>
      <c r="E15" s="300"/>
      <c r="F15" s="309"/>
    </row>
    <row r="16" spans="1:16" ht="15.75" customHeight="1" x14ac:dyDescent="0.25">
      <c r="A16" s="293" t="s">
        <v>124</v>
      </c>
      <c r="B16" s="291" t="s">
        <v>563</v>
      </c>
      <c r="C16" s="296"/>
      <c r="D16" s="296"/>
      <c r="E16" s="296"/>
      <c r="F16" s="316"/>
    </row>
    <row r="17" spans="1:6" ht="15.75" customHeight="1" x14ac:dyDescent="0.2">
      <c r="A17" s="294">
        <v>1</v>
      </c>
      <c r="B17" s="295" t="s">
        <v>589</v>
      </c>
      <c r="C17" s="296">
        <v>8652</v>
      </c>
      <c r="D17" s="296">
        <v>9098</v>
      </c>
      <c r="E17" s="296">
        <f>+D17-C17</f>
        <v>446</v>
      </c>
      <c r="F17" s="316">
        <f>IF(C17=0,0,+E17/C17)</f>
        <v>5.1548774849745724E-2</v>
      </c>
    </row>
    <row r="18" spans="1:6" ht="15.75" customHeight="1" x14ac:dyDescent="0.25">
      <c r="A18" s="294"/>
      <c r="B18" s="135" t="s">
        <v>591</v>
      </c>
      <c r="C18" s="300">
        <f>SUM(C16:C17)</f>
        <v>8652</v>
      </c>
      <c r="D18" s="300">
        <f>SUM(D16:D17)</f>
        <v>9098</v>
      </c>
      <c r="E18" s="300">
        <f>+D18-C18</f>
        <v>446</v>
      </c>
      <c r="F18" s="309">
        <f>IF(C18=0,0,+E18/C18)</f>
        <v>5.1548774849745724E-2</v>
      </c>
    </row>
    <row r="19" spans="1:6" ht="15.75" customHeight="1" x14ac:dyDescent="0.25">
      <c r="A19" s="293"/>
      <c r="B19" s="135"/>
      <c r="C19" s="300"/>
      <c r="D19" s="300"/>
      <c r="E19" s="300"/>
      <c r="F19" s="309"/>
    </row>
    <row r="20" spans="1:6" ht="15.75" customHeight="1" x14ac:dyDescent="0.25">
      <c r="A20" s="293" t="s">
        <v>141</v>
      </c>
      <c r="B20" s="291" t="s">
        <v>592</v>
      </c>
      <c r="C20" s="296"/>
      <c r="D20" s="296"/>
      <c r="E20" s="296"/>
      <c r="F20" s="316"/>
    </row>
    <row r="21" spans="1:6" ht="15.75" customHeight="1" x14ac:dyDescent="0.2">
      <c r="A21" s="294">
        <v>1</v>
      </c>
      <c r="B21" s="295" t="s">
        <v>589</v>
      </c>
      <c r="C21" s="296">
        <v>39491</v>
      </c>
      <c r="D21" s="296">
        <v>40107</v>
      </c>
      <c r="E21" s="296">
        <f>+D21-C21</f>
        <v>616</v>
      </c>
      <c r="F21" s="316">
        <f>IF(C21=0,0,+E21/C21)</f>
        <v>1.5598490795371097E-2</v>
      </c>
    </row>
    <row r="22" spans="1:6" ht="15.75" customHeight="1" x14ac:dyDescent="0.25">
      <c r="A22" s="294"/>
      <c r="B22" s="135" t="s">
        <v>593</v>
      </c>
      <c r="C22" s="300">
        <f>SUM(C20:C21)</f>
        <v>39491</v>
      </c>
      <c r="D22" s="300">
        <f>SUM(D20:D21)</f>
        <v>40107</v>
      </c>
      <c r="E22" s="300">
        <f>+D22-C22</f>
        <v>616</v>
      </c>
      <c r="F22" s="309">
        <f>IF(C22=0,0,+E22/C22)</f>
        <v>1.5598490795371097E-2</v>
      </c>
    </row>
    <row r="23" spans="1:6" ht="15.75" customHeight="1" x14ac:dyDescent="0.25">
      <c r="A23" s="293"/>
      <c r="B23" s="135"/>
      <c r="C23" s="300"/>
      <c r="D23" s="300"/>
      <c r="E23" s="300"/>
      <c r="F23" s="309"/>
    </row>
    <row r="24" spans="1:6" ht="15.75" customHeight="1" x14ac:dyDescent="0.25">
      <c r="B24" s="699" t="s">
        <v>594</v>
      </c>
      <c r="C24" s="700"/>
      <c r="D24" s="700"/>
      <c r="E24" s="700"/>
      <c r="F24" s="701"/>
    </row>
    <row r="25" spans="1:6" ht="15.75" customHeight="1" x14ac:dyDescent="0.25">
      <c r="A25" s="293"/>
      <c r="B25" s="135"/>
      <c r="C25" s="300"/>
      <c r="D25" s="300"/>
      <c r="E25" s="300"/>
      <c r="F25" s="309"/>
    </row>
    <row r="26" spans="1:6" ht="15.75" customHeight="1" x14ac:dyDescent="0.25">
      <c r="B26" s="699" t="s">
        <v>595</v>
      </c>
      <c r="C26" s="700"/>
      <c r="D26" s="700"/>
      <c r="E26" s="700"/>
      <c r="F26" s="701"/>
    </row>
    <row r="27" spans="1:6" ht="15.75" customHeight="1" x14ac:dyDescent="0.25">
      <c r="A27" s="293"/>
      <c r="B27" s="135"/>
      <c r="C27" s="300"/>
      <c r="D27" s="300"/>
      <c r="E27" s="300"/>
      <c r="F27" s="309"/>
    </row>
    <row r="28" spans="1:6" ht="15.75" customHeight="1" x14ac:dyDescent="0.25">
      <c r="B28" s="699" t="s">
        <v>596</v>
      </c>
      <c r="C28" s="700"/>
      <c r="D28" s="700"/>
      <c r="E28" s="700"/>
      <c r="F28" s="701"/>
    </row>
    <row r="29" spans="1:6" ht="15.75" customHeight="1" x14ac:dyDescent="0.25">
      <c r="A29" s="293"/>
      <c r="B29" s="135"/>
      <c r="C29" s="300"/>
      <c r="D29" s="300"/>
      <c r="E29" s="300"/>
      <c r="F29" s="309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FILING&amp;RNORWALK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597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598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599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600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601</v>
      </c>
      <c r="D7" s="341" t="s">
        <v>601</v>
      </c>
      <c r="E7" s="341" t="s">
        <v>602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603</v>
      </c>
      <c r="D8" s="344" t="s">
        <v>604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605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606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607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608</v>
      </c>
      <c r="C15" s="361">
        <v>218145148</v>
      </c>
      <c r="D15" s="361">
        <v>242274230</v>
      </c>
      <c r="E15" s="361">
        <f t="shared" ref="E15:E24" si="0">D15-C15</f>
        <v>24129082</v>
      </c>
      <c r="F15" s="362">
        <f t="shared" ref="F15:F24" si="1">IF(C15=0,0,E15/C15)</f>
        <v>0.11061021627673333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609</v>
      </c>
      <c r="C16" s="361">
        <v>74017104</v>
      </c>
      <c r="D16" s="361">
        <v>74279977</v>
      </c>
      <c r="E16" s="361">
        <f t="shared" si="0"/>
        <v>262873</v>
      </c>
      <c r="F16" s="362">
        <f t="shared" si="1"/>
        <v>3.5515169574859345E-3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610</v>
      </c>
      <c r="C17" s="366">
        <f>IF(C15=0,0,C16/C15)</f>
        <v>0.33930208706727688</v>
      </c>
      <c r="D17" s="366">
        <f>IF(LN_IA1=0,0,LN_IA2/LN_IA1)</f>
        <v>0.30659462626297479</v>
      </c>
      <c r="E17" s="367">
        <f t="shared" si="0"/>
        <v>-3.2707460804302091E-2</v>
      </c>
      <c r="F17" s="362">
        <f t="shared" si="1"/>
        <v>-9.6396285348568603E-2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5684</v>
      </c>
      <c r="D18" s="369">
        <v>6008</v>
      </c>
      <c r="E18" s="369">
        <f t="shared" si="0"/>
        <v>324</v>
      </c>
      <c r="F18" s="362">
        <f t="shared" si="1"/>
        <v>5.700211118930331E-2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611</v>
      </c>
      <c r="C19" s="372">
        <v>1.4781299999999999</v>
      </c>
      <c r="D19" s="372">
        <v>1.41103</v>
      </c>
      <c r="E19" s="373">
        <f t="shared" si="0"/>
        <v>-6.7099999999999937E-2</v>
      </c>
      <c r="F19" s="362">
        <f t="shared" si="1"/>
        <v>-4.5395195280523326E-2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612</v>
      </c>
      <c r="C20" s="376">
        <f>C18*C19</f>
        <v>8401.6909199999991</v>
      </c>
      <c r="D20" s="376">
        <f>LN_IA4*LN_IA5</f>
        <v>8477.4682400000002</v>
      </c>
      <c r="E20" s="376">
        <f t="shared" si="0"/>
        <v>75.777320000001055</v>
      </c>
      <c r="F20" s="362">
        <f t="shared" si="1"/>
        <v>9.0192939399395405E-3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613</v>
      </c>
      <c r="C21" s="378">
        <f>IF(C20=0,0,C16/C20)</f>
        <v>8809.7865899594417</v>
      </c>
      <c r="D21" s="378">
        <f>IF(LN_IA6=0,0,LN_IA2/LN_IA6)</f>
        <v>8762.0472170592293</v>
      </c>
      <c r="E21" s="378">
        <f t="shared" si="0"/>
        <v>-47.739372900212402</v>
      </c>
      <c r="F21" s="362">
        <f t="shared" si="1"/>
        <v>-5.4189023096905898E-3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37668</v>
      </c>
      <c r="D22" s="369">
        <v>37388</v>
      </c>
      <c r="E22" s="369">
        <f t="shared" si="0"/>
        <v>-280</v>
      </c>
      <c r="F22" s="362">
        <f t="shared" si="1"/>
        <v>-7.4333651906127217E-3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614</v>
      </c>
      <c r="C23" s="378">
        <f>IF(C22=0,0,C16/C22)</f>
        <v>1964.986301369863</v>
      </c>
      <c r="D23" s="378">
        <f>IF(LN_IA8=0,0,LN_IA2/LN_IA8)</f>
        <v>1986.7330961805926</v>
      </c>
      <c r="E23" s="378">
        <f t="shared" si="0"/>
        <v>21.746794810729625</v>
      </c>
      <c r="F23" s="362">
        <f t="shared" si="1"/>
        <v>1.1067148303053893E-2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615</v>
      </c>
      <c r="C24" s="379">
        <f>IF(C18=0,0,C22/C18)</f>
        <v>6.627023223082336</v>
      </c>
      <c r="D24" s="379">
        <f>IF(LN_IA4=0,0,LN_IA8/LN_IA4)</f>
        <v>6.2230359520639151</v>
      </c>
      <c r="E24" s="379">
        <f t="shared" si="0"/>
        <v>-0.40398727101842091</v>
      </c>
      <c r="F24" s="362">
        <f t="shared" si="1"/>
        <v>-6.0960593832130844E-2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616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617</v>
      </c>
      <c r="C27" s="361">
        <v>98994847</v>
      </c>
      <c r="D27" s="361">
        <v>112935784</v>
      </c>
      <c r="E27" s="361">
        <f t="shared" ref="E27:E32" si="2">D27-C27</f>
        <v>13940937</v>
      </c>
      <c r="F27" s="362">
        <f t="shared" ref="F27:F32" si="3">IF(C27=0,0,E27/C27)</f>
        <v>0.14082487546043684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618</v>
      </c>
      <c r="C28" s="361">
        <v>25486345</v>
      </c>
      <c r="D28" s="361">
        <v>23751858</v>
      </c>
      <c r="E28" s="361">
        <f t="shared" si="2"/>
        <v>-1734487</v>
      </c>
      <c r="F28" s="362">
        <f t="shared" si="3"/>
        <v>-6.8055541114271187E-2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619</v>
      </c>
      <c r="C29" s="366">
        <f>IF(C27=0,0,C28/C27)</f>
        <v>0.25745122874931053</v>
      </c>
      <c r="D29" s="366">
        <f>IF(LN_IA11=0,0,LN_IA12/LN_IA11)</f>
        <v>0.21031295094210353</v>
      </c>
      <c r="E29" s="367">
        <f t="shared" si="2"/>
        <v>-4.7138277807207002E-2</v>
      </c>
      <c r="F29" s="362">
        <f t="shared" si="3"/>
        <v>-0.18309595194477485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620</v>
      </c>
      <c r="C30" s="366">
        <f>IF(C15=0,0,C27/C15)</f>
        <v>0.45380265345163673</v>
      </c>
      <c r="D30" s="366">
        <f>IF(LN_IA1=0,0,LN_IA11/LN_IA1)</f>
        <v>0.46614856231304502</v>
      </c>
      <c r="E30" s="367">
        <f t="shared" si="2"/>
        <v>1.2345908861408295E-2</v>
      </c>
      <c r="F30" s="362">
        <f t="shared" si="3"/>
        <v>2.7205457631208053E-2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621</v>
      </c>
      <c r="C31" s="376">
        <f>C30*C18</f>
        <v>2579.4142822191034</v>
      </c>
      <c r="D31" s="376">
        <f>LN_IA14*LN_IA4</f>
        <v>2800.6205623767746</v>
      </c>
      <c r="E31" s="376">
        <f t="shared" si="2"/>
        <v>221.20628015767124</v>
      </c>
      <c r="F31" s="362">
        <f t="shared" si="3"/>
        <v>8.5758337341361318E-2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622</v>
      </c>
      <c r="C32" s="378">
        <f>IF(C31=0,0,C28/C31)</f>
        <v>9880.6714282723788</v>
      </c>
      <c r="D32" s="378">
        <f>IF(LN_IA15=0,0,LN_IA12/LN_IA15)</f>
        <v>8480.9268056800775</v>
      </c>
      <c r="E32" s="378">
        <f t="shared" si="2"/>
        <v>-1399.7446225923013</v>
      </c>
      <c r="F32" s="362">
        <f t="shared" si="3"/>
        <v>-0.14166492963090513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623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624</v>
      </c>
      <c r="C35" s="361">
        <f>C15+C27</f>
        <v>317139995</v>
      </c>
      <c r="D35" s="361">
        <f>LN_IA1+LN_IA11</f>
        <v>355210014</v>
      </c>
      <c r="E35" s="361">
        <f>D35-C35</f>
        <v>38070019</v>
      </c>
      <c r="F35" s="362">
        <f>IF(C35=0,0,E35/C35)</f>
        <v>0.12004168379961033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625</v>
      </c>
      <c r="C36" s="361">
        <f>C16+C28</f>
        <v>99503449</v>
      </c>
      <c r="D36" s="361">
        <f>LN_IA2+LN_IA12</f>
        <v>98031835</v>
      </c>
      <c r="E36" s="361">
        <f>D36-C36</f>
        <v>-1471614</v>
      </c>
      <c r="F36" s="362">
        <f>IF(C36=0,0,E36/C36)</f>
        <v>-1.478957779644402E-2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626</v>
      </c>
      <c r="C37" s="361">
        <f>C35-C36</f>
        <v>217636546</v>
      </c>
      <c r="D37" s="361">
        <f>LN_IA17-LN_IA18</f>
        <v>257178179</v>
      </c>
      <c r="E37" s="361">
        <f>D37-C37</f>
        <v>39541633</v>
      </c>
      <c r="F37" s="362">
        <f>IF(C37=0,0,E37/C37)</f>
        <v>0.18168654909640039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627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628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608</v>
      </c>
      <c r="C42" s="361">
        <v>131955415</v>
      </c>
      <c r="D42" s="361">
        <v>139842858</v>
      </c>
      <c r="E42" s="361">
        <f t="shared" ref="E42:E53" si="4">D42-C42</f>
        <v>7887443</v>
      </c>
      <c r="F42" s="362">
        <f t="shared" ref="F42:F53" si="5">IF(C42=0,0,E42/C42)</f>
        <v>5.9773545481252133E-2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609</v>
      </c>
      <c r="C43" s="361">
        <v>65894943</v>
      </c>
      <c r="D43" s="361">
        <v>73058253</v>
      </c>
      <c r="E43" s="361">
        <f t="shared" si="4"/>
        <v>7163310</v>
      </c>
      <c r="F43" s="362">
        <f t="shared" si="5"/>
        <v>0.10870803849090514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610</v>
      </c>
      <c r="C44" s="366">
        <f>IF(C42=0,0,C43/C42)</f>
        <v>0.49937278436053573</v>
      </c>
      <c r="D44" s="366">
        <f>IF(LN_IB1=0,0,LN_IB2/LN_IB1)</f>
        <v>0.52243106330106615</v>
      </c>
      <c r="E44" s="367">
        <f t="shared" si="4"/>
        <v>2.3058278940530419E-2</v>
      </c>
      <c r="F44" s="362">
        <f t="shared" si="5"/>
        <v>4.6174480593805987E-2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6117</v>
      </c>
      <c r="D45" s="369">
        <v>5773</v>
      </c>
      <c r="E45" s="369">
        <f t="shared" si="4"/>
        <v>-344</v>
      </c>
      <c r="F45" s="362">
        <f t="shared" si="5"/>
        <v>-5.6236717345103812E-2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611</v>
      </c>
      <c r="C46" s="372">
        <v>1.00613</v>
      </c>
      <c r="D46" s="372">
        <v>1.04515</v>
      </c>
      <c r="E46" s="373">
        <f t="shared" si="4"/>
        <v>3.9020000000000055E-2</v>
      </c>
      <c r="F46" s="362">
        <f t="shared" si="5"/>
        <v>3.8782264717283112E-2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612</v>
      </c>
      <c r="C47" s="376">
        <f>C45*C46</f>
        <v>6154.4972099999995</v>
      </c>
      <c r="D47" s="376">
        <f>LN_IB4*LN_IB5</f>
        <v>6033.6509500000002</v>
      </c>
      <c r="E47" s="376">
        <f t="shared" si="4"/>
        <v>-120.84625999999935</v>
      </c>
      <c r="F47" s="362">
        <f t="shared" si="5"/>
        <v>-1.963543988672949E-2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613</v>
      </c>
      <c r="C48" s="378">
        <f>IF(C47=0,0,C43/C47)</f>
        <v>10706.7954946721</v>
      </c>
      <c r="D48" s="378">
        <f>IF(LN_IB6=0,0,LN_IB2/LN_IB6)</f>
        <v>12108.465273417913</v>
      </c>
      <c r="E48" s="378">
        <f t="shared" si="4"/>
        <v>1401.6697787458124</v>
      </c>
      <c r="F48" s="362">
        <f t="shared" si="5"/>
        <v>0.13091403300299415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629</v>
      </c>
      <c r="C49" s="378">
        <f>C21-C48</f>
        <v>-1897.0089047126585</v>
      </c>
      <c r="D49" s="378">
        <f>LN_IA7-LN_IB7</f>
        <v>-3346.4180563586833</v>
      </c>
      <c r="E49" s="378">
        <f t="shared" si="4"/>
        <v>-1449.4091516460248</v>
      </c>
      <c r="F49" s="362">
        <f t="shared" si="5"/>
        <v>0.76404973537304932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630</v>
      </c>
      <c r="C50" s="391">
        <f>C49*C47</f>
        <v>-11675136.011399211</v>
      </c>
      <c r="D50" s="391">
        <f>LN_IB8*LN_IB6</f>
        <v>-20191118.484845724</v>
      </c>
      <c r="E50" s="391">
        <f t="shared" si="4"/>
        <v>-8515982.4734465126</v>
      </c>
      <c r="F50" s="362">
        <f t="shared" si="5"/>
        <v>0.72941184283693083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20790</v>
      </c>
      <c r="D51" s="369">
        <v>20360</v>
      </c>
      <c r="E51" s="369">
        <f t="shared" si="4"/>
        <v>-430</v>
      </c>
      <c r="F51" s="362">
        <f t="shared" si="5"/>
        <v>-2.0683020683020682E-2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614</v>
      </c>
      <c r="C52" s="378">
        <f>IF(C51=0,0,C43/C51)</f>
        <v>3169.5499278499278</v>
      </c>
      <c r="D52" s="378">
        <f>IF(LN_IB10=0,0,LN_IB2/LN_IB10)</f>
        <v>3588.3228388998036</v>
      </c>
      <c r="E52" s="378">
        <f t="shared" si="4"/>
        <v>418.7729110498758</v>
      </c>
      <c r="F52" s="362">
        <f t="shared" si="5"/>
        <v>0.13212377800716693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615</v>
      </c>
      <c r="C53" s="379">
        <f>IF(C45=0,0,C51/C45)</f>
        <v>3.3987248651299655</v>
      </c>
      <c r="D53" s="379">
        <f>IF(LN_IB4=0,0,LN_IB10/LN_IB4)</f>
        <v>3.5267625151567641</v>
      </c>
      <c r="E53" s="379">
        <f t="shared" si="4"/>
        <v>0.12803765002679857</v>
      </c>
      <c r="F53" s="362">
        <f t="shared" si="5"/>
        <v>3.7672260953050832E-2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631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617</v>
      </c>
      <c r="C56" s="361">
        <v>193359311</v>
      </c>
      <c r="D56" s="361">
        <v>231808657</v>
      </c>
      <c r="E56" s="361">
        <f t="shared" ref="E56:E63" si="6">D56-C56</f>
        <v>38449346</v>
      </c>
      <c r="F56" s="362">
        <f t="shared" ref="F56:F63" si="7">IF(C56=0,0,E56/C56)</f>
        <v>0.19884920876657447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618</v>
      </c>
      <c r="C57" s="361">
        <v>102580884</v>
      </c>
      <c r="D57" s="361">
        <v>123582855</v>
      </c>
      <c r="E57" s="361">
        <f t="shared" si="6"/>
        <v>21001971</v>
      </c>
      <c r="F57" s="362">
        <f t="shared" si="7"/>
        <v>0.20473571859645898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619</v>
      </c>
      <c r="C58" s="366">
        <f>IF(C56=0,0,C57/C56)</f>
        <v>0.53051949486932126</v>
      </c>
      <c r="D58" s="366">
        <f>IF(LN_IB13=0,0,LN_IB14/LN_IB13)</f>
        <v>0.53312441648803477</v>
      </c>
      <c r="E58" s="367">
        <f t="shared" si="6"/>
        <v>2.6049216187135071E-3</v>
      </c>
      <c r="F58" s="362">
        <f t="shared" si="7"/>
        <v>4.9101336405274936E-3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620</v>
      </c>
      <c r="C59" s="366">
        <f>IF(C42=0,0,C56/C42)</f>
        <v>1.4653382053324602</v>
      </c>
      <c r="D59" s="366">
        <f>IF(LN_IB1=0,0,LN_IB13/LN_IB1)</f>
        <v>1.6576367239290832</v>
      </c>
      <c r="E59" s="367">
        <f t="shared" si="6"/>
        <v>0.19229851859662306</v>
      </c>
      <c r="F59" s="362">
        <f t="shared" si="7"/>
        <v>0.13123149174493393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621</v>
      </c>
      <c r="C60" s="376">
        <f>C59*C45</f>
        <v>8963.4738020186596</v>
      </c>
      <c r="D60" s="376">
        <f>LN_IB16*LN_IB4</f>
        <v>9569.5368072425972</v>
      </c>
      <c r="E60" s="376">
        <f t="shared" si="6"/>
        <v>606.06300522393758</v>
      </c>
      <c r="F60" s="362">
        <f t="shared" si="7"/>
        <v>6.761474609179384E-2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622</v>
      </c>
      <c r="C61" s="378">
        <f>IF(C60=0,0,C57/C60)</f>
        <v>11444.322398409622</v>
      </c>
      <c r="D61" s="378">
        <f>IF(LN_IB17=0,0,LN_IB14/LN_IB17)</f>
        <v>12914.194018927614</v>
      </c>
      <c r="E61" s="378">
        <f t="shared" si="6"/>
        <v>1469.8716205179917</v>
      </c>
      <c r="F61" s="362">
        <f t="shared" si="7"/>
        <v>0.12843675399447455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632</v>
      </c>
      <c r="C62" s="378">
        <f>C32-C61</f>
        <v>-1563.6509701372433</v>
      </c>
      <c r="D62" s="378">
        <f>LN_IA16-LN_IB18</f>
        <v>-4433.2672132475363</v>
      </c>
      <c r="E62" s="378">
        <f t="shared" si="6"/>
        <v>-2869.616243110293</v>
      </c>
      <c r="F62" s="362">
        <f t="shared" si="7"/>
        <v>1.8352025470610129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633</v>
      </c>
      <c r="C63" s="361">
        <f>C62*C60</f>
        <v>-14015744.506326241</v>
      </c>
      <c r="D63" s="361">
        <f>LN_IB19*LN_IB17</f>
        <v>-42424313.773514114</v>
      </c>
      <c r="E63" s="361">
        <f t="shared" si="6"/>
        <v>-28408569.267187871</v>
      </c>
      <c r="F63" s="362">
        <f t="shared" si="7"/>
        <v>2.0269040473993507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634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624</v>
      </c>
      <c r="C66" s="361">
        <f>C42+C56</f>
        <v>325314726</v>
      </c>
      <c r="D66" s="361">
        <f>LN_IB1+LN_IB13</f>
        <v>371651515</v>
      </c>
      <c r="E66" s="361">
        <f>D66-C66</f>
        <v>46336789</v>
      </c>
      <c r="F66" s="362">
        <f>IF(C66=0,0,E66/C66)</f>
        <v>0.14243680133926676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625</v>
      </c>
      <c r="C67" s="361">
        <f>C43+C57</f>
        <v>168475827</v>
      </c>
      <c r="D67" s="361">
        <f>LN_IB2+LN_IB14</f>
        <v>196641108</v>
      </c>
      <c r="E67" s="361">
        <f>D67-C67</f>
        <v>28165281</v>
      </c>
      <c r="F67" s="362">
        <f>IF(C67=0,0,E67/C67)</f>
        <v>0.16717698616787321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626</v>
      </c>
      <c r="C68" s="361">
        <f>C66-C67</f>
        <v>156838899</v>
      </c>
      <c r="D68" s="361">
        <f>LN_IB21-LN_IB22</f>
        <v>175010407</v>
      </c>
      <c r="E68" s="361">
        <f>D68-C68</f>
        <v>18171508</v>
      </c>
      <c r="F68" s="362">
        <f>IF(C68=0,0,E68/C68)</f>
        <v>0.11586097655531234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635</v>
      </c>
      <c r="C70" s="353">
        <f>C50+C63</f>
        <v>-25690880.517725453</v>
      </c>
      <c r="D70" s="353">
        <f>LN_IB9+LN_IB20</f>
        <v>-62615432.258359835</v>
      </c>
      <c r="E70" s="361">
        <f>D70-C70</f>
        <v>-36924551.740634382</v>
      </c>
      <c r="F70" s="362">
        <f>IF(C70=0,0,E70/C70)</f>
        <v>1.4372629896884321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636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637</v>
      </c>
      <c r="C73" s="400">
        <v>278634332</v>
      </c>
      <c r="D73" s="400">
        <v>327394936</v>
      </c>
      <c r="E73" s="400">
        <f>D73-C73</f>
        <v>48760604</v>
      </c>
      <c r="F73" s="401">
        <f>IF(C73=0,0,E73/C73)</f>
        <v>0.1749985497121008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638</v>
      </c>
      <c r="C74" s="400">
        <v>175093299</v>
      </c>
      <c r="D74" s="400">
        <v>186810436</v>
      </c>
      <c r="E74" s="400">
        <f>D74-C74</f>
        <v>11717137</v>
      </c>
      <c r="F74" s="401">
        <f>IF(C74=0,0,E74/C74)</f>
        <v>6.6919391358318064E-2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639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640</v>
      </c>
      <c r="C76" s="353">
        <f>C73-C74</f>
        <v>103541033</v>
      </c>
      <c r="D76" s="353">
        <f>LN_IB32-LN_IB33</f>
        <v>140584500</v>
      </c>
      <c r="E76" s="400">
        <f>D76-C76</f>
        <v>37043467</v>
      </c>
      <c r="F76" s="401">
        <f>IF(C76=0,0,E76/C76)</f>
        <v>0.35776605589785837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641</v>
      </c>
      <c r="C77" s="366">
        <f>IF(C73=0,0,C76/C73)</f>
        <v>0.3716018491217371</v>
      </c>
      <c r="D77" s="366">
        <f>IF(LN_IB1=0,0,LN_IB34/LN_IB32)</f>
        <v>0.42940340408930455</v>
      </c>
      <c r="E77" s="405">
        <f>D77-C77</f>
        <v>5.7801554967567448E-2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642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643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608</v>
      </c>
      <c r="C83" s="361">
        <v>10004655</v>
      </c>
      <c r="D83" s="361">
        <v>5664173</v>
      </c>
      <c r="E83" s="361">
        <f t="shared" ref="E83:E95" si="8">D83-C83</f>
        <v>-4340482</v>
      </c>
      <c r="F83" s="362">
        <f t="shared" ref="F83:F95" si="9">IF(C83=0,0,E83/C83)</f>
        <v>-0.43384624457315119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609</v>
      </c>
      <c r="C84" s="361">
        <v>864294</v>
      </c>
      <c r="D84" s="361">
        <v>233862</v>
      </c>
      <c r="E84" s="361">
        <f t="shared" si="8"/>
        <v>-630432</v>
      </c>
      <c r="F84" s="362">
        <f t="shared" si="9"/>
        <v>-0.72941846177342429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610</v>
      </c>
      <c r="C85" s="366">
        <f>IF(C83=0,0,C84/C83)</f>
        <v>8.638918583399427E-2</v>
      </c>
      <c r="D85" s="366">
        <f>IF(LN_IC1=0,0,LN_IC2/LN_IC1)</f>
        <v>4.1287933825467547E-2</v>
      </c>
      <c r="E85" s="367">
        <f t="shared" si="8"/>
        <v>-4.5101252008526722E-2</v>
      </c>
      <c r="F85" s="362">
        <f t="shared" si="9"/>
        <v>-0.5220705760000266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426</v>
      </c>
      <c r="D86" s="369">
        <v>223</v>
      </c>
      <c r="E86" s="369">
        <f t="shared" si="8"/>
        <v>-203</v>
      </c>
      <c r="F86" s="362">
        <f t="shared" si="9"/>
        <v>-0.47652582159624413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611</v>
      </c>
      <c r="C87" s="372">
        <v>1.0328200000000001</v>
      </c>
      <c r="D87" s="372">
        <v>1.03169</v>
      </c>
      <c r="E87" s="373">
        <f t="shared" si="8"/>
        <v>-1.1300000000000754E-3</v>
      </c>
      <c r="F87" s="362">
        <f t="shared" si="9"/>
        <v>-1.0940919037199853E-3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612</v>
      </c>
      <c r="C88" s="376">
        <f>C86*C87</f>
        <v>439.98132000000004</v>
      </c>
      <c r="D88" s="376">
        <f>LN_IC4*LN_IC5</f>
        <v>230.06686999999999</v>
      </c>
      <c r="E88" s="376">
        <f t="shared" si="8"/>
        <v>-209.91445000000004</v>
      </c>
      <c r="F88" s="362">
        <f t="shared" si="9"/>
        <v>-0.47709855045664218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613</v>
      </c>
      <c r="C89" s="378">
        <f>IF(C88=0,0,C84/C88)</f>
        <v>1964.3879426517469</v>
      </c>
      <c r="D89" s="378">
        <f>IF(LN_IC6=0,0,LN_IC2/LN_IC6)</f>
        <v>1016.4957692517833</v>
      </c>
      <c r="E89" s="378">
        <f t="shared" si="8"/>
        <v>-947.89217339996367</v>
      </c>
      <c r="F89" s="362">
        <f t="shared" si="9"/>
        <v>-0.48253817528547571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644</v>
      </c>
      <c r="C90" s="378">
        <f>C48-C89</f>
        <v>8742.4075520203533</v>
      </c>
      <c r="D90" s="378">
        <f>LN_IB7-LN_IC7</f>
        <v>11091.969504166129</v>
      </c>
      <c r="E90" s="378">
        <f t="shared" si="8"/>
        <v>2349.5619521457756</v>
      </c>
      <c r="F90" s="362">
        <f t="shared" si="9"/>
        <v>0.26875456653845847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645</v>
      </c>
      <c r="C91" s="378">
        <f>C21-C89</f>
        <v>6845.3986473076948</v>
      </c>
      <c r="D91" s="378">
        <f>LN_IA7-LN_IC7</f>
        <v>7745.5514478074456</v>
      </c>
      <c r="E91" s="378">
        <f t="shared" si="8"/>
        <v>900.15280049975081</v>
      </c>
      <c r="F91" s="362">
        <f t="shared" si="9"/>
        <v>0.1314974988131308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630</v>
      </c>
      <c r="C92" s="353">
        <f>C91*C88</f>
        <v>3011847.5327686542</v>
      </c>
      <c r="D92" s="353">
        <f>LN_IC9*LN_IC6</f>
        <v>1781994.7780210273</v>
      </c>
      <c r="E92" s="353">
        <f t="shared" si="8"/>
        <v>-1229852.7547476268</v>
      </c>
      <c r="F92" s="362">
        <f t="shared" si="9"/>
        <v>-0.4083383177159301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1527</v>
      </c>
      <c r="D93" s="369">
        <v>745</v>
      </c>
      <c r="E93" s="369">
        <f t="shared" si="8"/>
        <v>-782</v>
      </c>
      <c r="F93" s="362">
        <f t="shared" si="9"/>
        <v>-0.51211525867714469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614</v>
      </c>
      <c r="C94" s="411">
        <f>IF(C93=0,0,C84/C93)</f>
        <v>566.0078585461689</v>
      </c>
      <c r="D94" s="411">
        <f>IF(LN_IC11=0,0,LN_IC2/LN_IC11)</f>
        <v>313.90872483221477</v>
      </c>
      <c r="E94" s="411">
        <f t="shared" si="8"/>
        <v>-252.09913371395413</v>
      </c>
      <c r="F94" s="362">
        <f t="shared" si="9"/>
        <v>-0.44539864580942135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615</v>
      </c>
      <c r="C95" s="379">
        <f>IF(C86=0,0,C93/C86)</f>
        <v>3.584507042253521</v>
      </c>
      <c r="D95" s="379">
        <f>IF(LN_IC4=0,0,LN_IC11/LN_IC4)</f>
        <v>3.3408071748878925</v>
      </c>
      <c r="E95" s="379">
        <f t="shared" si="8"/>
        <v>-0.24369986736562854</v>
      </c>
      <c r="F95" s="362">
        <f t="shared" si="9"/>
        <v>-6.7986996396697946E-2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646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617</v>
      </c>
      <c r="C98" s="361">
        <v>23606244</v>
      </c>
      <c r="D98" s="361">
        <v>24549726</v>
      </c>
      <c r="E98" s="361">
        <f t="shared" ref="E98:E106" si="10">D98-C98</f>
        <v>943482</v>
      </c>
      <c r="F98" s="362">
        <f t="shared" ref="F98:F106" si="11">IF(C98=0,0,E98/C98)</f>
        <v>3.9967476401582568E-2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618</v>
      </c>
      <c r="C99" s="361">
        <v>1670341</v>
      </c>
      <c r="D99" s="361">
        <v>1444995</v>
      </c>
      <c r="E99" s="361">
        <f t="shared" si="10"/>
        <v>-225346</v>
      </c>
      <c r="F99" s="362">
        <f t="shared" si="11"/>
        <v>-0.13491017702373348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619</v>
      </c>
      <c r="C100" s="366">
        <f>IF(C98=0,0,C99/C98)</f>
        <v>7.075844001273561E-2</v>
      </c>
      <c r="D100" s="366">
        <f>IF(LN_IC14=0,0,LN_IC15/LN_IC14)</f>
        <v>5.8859923731939004E-2</v>
      </c>
      <c r="E100" s="367">
        <f t="shared" si="10"/>
        <v>-1.1898516280796606E-2</v>
      </c>
      <c r="F100" s="362">
        <f t="shared" si="11"/>
        <v>-0.16815684854916285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620</v>
      </c>
      <c r="C101" s="366">
        <f>IF(C83=0,0,C98/C83)</f>
        <v>2.3595260406280878</v>
      </c>
      <c r="D101" s="366">
        <f>IF(LN_IC1=0,0,LN_IC14/LN_IC1)</f>
        <v>4.3342118964233611</v>
      </c>
      <c r="E101" s="367">
        <f t="shared" si="10"/>
        <v>1.9746858557952733</v>
      </c>
      <c r="F101" s="362">
        <f t="shared" si="11"/>
        <v>0.8368993695316993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621</v>
      </c>
      <c r="C102" s="376">
        <f>C101*C86</f>
        <v>1005.1580933075654</v>
      </c>
      <c r="D102" s="376">
        <f>LN_IC17*LN_IC4</f>
        <v>966.52925290240955</v>
      </c>
      <c r="E102" s="376">
        <f t="shared" si="10"/>
        <v>-38.62884040515587</v>
      </c>
      <c r="F102" s="362">
        <f t="shared" si="11"/>
        <v>-3.8430611724016572E-2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622</v>
      </c>
      <c r="C103" s="378">
        <f>IF(C102=0,0,C99/C102)</f>
        <v>1661.7694381821957</v>
      </c>
      <c r="D103" s="378">
        <f>IF(LN_IC18=0,0,LN_IC15/LN_IC18)</f>
        <v>1495.0349362533998</v>
      </c>
      <c r="E103" s="378">
        <f t="shared" si="10"/>
        <v>-166.73450192879591</v>
      </c>
      <c r="F103" s="362">
        <f t="shared" si="11"/>
        <v>-0.10033552073937901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647</v>
      </c>
      <c r="C104" s="378">
        <f>C61-C103</f>
        <v>9782.5529602274255</v>
      </c>
      <c r="D104" s="378">
        <f>LN_IB18-LN_IC19</f>
        <v>11419.159082674214</v>
      </c>
      <c r="E104" s="378">
        <f t="shared" si="10"/>
        <v>1636.6061224467885</v>
      </c>
      <c r="F104" s="362">
        <f t="shared" si="11"/>
        <v>0.16729846790512448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648</v>
      </c>
      <c r="C105" s="378">
        <f>C32-C103</f>
        <v>8218.901990090184</v>
      </c>
      <c r="D105" s="378">
        <f>LN_IA16-LN_IC19</f>
        <v>6985.8918694266777</v>
      </c>
      <c r="E105" s="378">
        <f t="shared" si="10"/>
        <v>-1233.0101206635063</v>
      </c>
      <c r="F105" s="362">
        <f t="shared" si="11"/>
        <v>-0.15002127074275731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633</v>
      </c>
      <c r="C106" s="361">
        <f>C105*C102</f>
        <v>8261295.8534408044</v>
      </c>
      <c r="D106" s="361">
        <f>LN_IC21*LN_IC18</f>
        <v>6752068.8494139835</v>
      </c>
      <c r="E106" s="361">
        <f t="shared" si="10"/>
        <v>-1509227.0040268209</v>
      </c>
      <c r="F106" s="362">
        <f t="shared" si="11"/>
        <v>-0.18268647326051549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649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624</v>
      </c>
      <c r="C109" s="361">
        <f>C83+C98</f>
        <v>33610899</v>
      </c>
      <c r="D109" s="361">
        <f>LN_IC1+LN_IC14</f>
        <v>30213899</v>
      </c>
      <c r="E109" s="361">
        <f>D109-C109</f>
        <v>-3397000</v>
      </c>
      <c r="F109" s="362">
        <f>IF(C109=0,0,E109/C109)</f>
        <v>-0.10106840641186063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625</v>
      </c>
      <c r="C110" s="361">
        <f>C84+C99</f>
        <v>2534635</v>
      </c>
      <c r="D110" s="361">
        <f>LN_IC2+LN_IC15</f>
        <v>1678857</v>
      </c>
      <c r="E110" s="361">
        <f>D110-C110</f>
        <v>-855778</v>
      </c>
      <c r="F110" s="362">
        <f>IF(C110=0,0,E110/C110)</f>
        <v>-0.33763362377620448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626</v>
      </c>
      <c r="C111" s="361">
        <f>C109-C110</f>
        <v>31076264</v>
      </c>
      <c r="D111" s="361">
        <f>LN_IC23-LN_IC24</f>
        <v>28535042</v>
      </c>
      <c r="E111" s="361">
        <f>D111-C111</f>
        <v>-2541222</v>
      </c>
      <c r="F111" s="362">
        <f>IF(C111=0,0,E111/C111)</f>
        <v>-8.1773729300278819E-2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635</v>
      </c>
      <c r="C113" s="361">
        <f>C92+C106</f>
        <v>11273143.386209458</v>
      </c>
      <c r="D113" s="361">
        <f>LN_IC10+LN_IC22</f>
        <v>8534063.6274350099</v>
      </c>
      <c r="E113" s="361">
        <f>D113-C113</f>
        <v>-2739079.7587744482</v>
      </c>
      <c r="F113" s="362">
        <f>IF(C113=0,0,E113/C113)</f>
        <v>-0.24297391285958361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650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651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608</v>
      </c>
      <c r="C118" s="361">
        <v>52751440</v>
      </c>
      <c r="D118" s="361">
        <v>72509396</v>
      </c>
      <c r="E118" s="361">
        <f t="shared" ref="E118:E130" si="12">D118-C118</f>
        <v>19757956</v>
      </c>
      <c r="F118" s="362">
        <f t="shared" ref="F118:F130" si="13">IF(C118=0,0,E118/C118)</f>
        <v>0.3745481829500768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609</v>
      </c>
      <c r="C119" s="361">
        <v>13969936</v>
      </c>
      <c r="D119" s="361">
        <v>18227494</v>
      </c>
      <c r="E119" s="361">
        <f t="shared" si="12"/>
        <v>4257558</v>
      </c>
      <c r="F119" s="362">
        <f t="shared" si="13"/>
        <v>0.30476574838997117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610</v>
      </c>
      <c r="C120" s="366">
        <f>IF(C118=0,0,C119/C118)</f>
        <v>0.264825680588056</v>
      </c>
      <c r="D120" s="366">
        <f>IF(LN_ID1=0,0,LN_1D2/LN_ID1)</f>
        <v>0.25138113135020462</v>
      </c>
      <c r="E120" s="367">
        <f t="shared" si="12"/>
        <v>-1.3444549237851378E-2</v>
      </c>
      <c r="F120" s="362">
        <f t="shared" si="13"/>
        <v>-5.0767543419494736E-2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2458</v>
      </c>
      <c r="D121" s="369">
        <v>3038</v>
      </c>
      <c r="E121" s="369">
        <f t="shared" si="12"/>
        <v>580</v>
      </c>
      <c r="F121" s="362">
        <f t="shared" si="13"/>
        <v>0.23596419853539463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611</v>
      </c>
      <c r="C122" s="372">
        <v>0.89512000000000003</v>
      </c>
      <c r="D122" s="372">
        <v>0.94935999999999998</v>
      </c>
      <c r="E122" s="373">
        <f t="shared" si="12"/>
        <v>5.4239999999999955E-2</v>
      </c>
      <c r="F122" s="362">
        <f t="shared" si="13"/>
        <v>6.0595227455536638E-2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612</v>
      </c>
      <c r="C123" s="376">
        <f>C121*C122</f>
        <v>2200.20496</v>
      </c>
      <c r="D123" s="376">
        <f>LN_ID4*LN_ID5</f>
        <v>2884.1556799999998</v>
      </c>
      <c r="E123" s="376">
        <f t="shared" si="12"/>
        <v>683.95071999999982</v>
      </c>
      <c r="F123" s="362">
        <f t="shared" si="13"/>
        <v>0.31085773027254687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613</v>
      </c>
      <c r="C124" s="378">
        <f>IF(C123=0,0,C119/C123)</f>
        <v>6349.3793778194195</v>
      </c>
      <c r="D124" s="378">
        <f>IF(LN_ID6=0,0,LN_1D2/LN_ID6)</f>
        <v>6319.8717483932769</v>
      </c>
      <c r="E124" s="378">
        <f t="shared" si="12"/>
        <v>-29.507629426142557</v>
      </c>
      <c r="F124" s="362">
        <f t="shared" si="13"/>
        <v>-4.6473249856864634E-3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652</v>
      </c>
      <c r="C125" s="378">
        <f>C48-C124</f>
        <v>4357.4161168526807</v>
      </c>
      <c r="D125" s="378">
        <f>LN_IB7-LN_ID7</f>
        <v>5788.5935250246357</v>
      </c>
      <c r="E125" s="378">
        <f t="shared" si="12"/>
        <v>1431.177408171955</v>
      </c>
      <c r="F125" s="362">
        <f t="shared" si="13"/>
        <v>0.32844634751240614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653</v>
      </c>
      <c r="C126" s="378">
        <f>C21-C124</f>
        <v>2460.4072121400222</v>
      </c>
      <c r="D126" s="378">
        <f>LN_IA7-LN_ID7</f>
        <v>2442.1754686659524</v>
      </c>
      <c r="E126" s="378">
        <f t="shared" si="12"/>
        <v>-18.231743474069845</v>
      </c>
      <c r="F126" s="362">
        <f t="shared" si="13"/>
        <v>-7.4100512240866711E-3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630</v>
      </c>
      <c r="C127" s="391">
        <f>C126*C123</f>
        <v>5413400.151770249</v>
      </c>
      <c r="D127" s="391">
        <f>LN_ID9*LN_ID6</f>
        <v>7043614.2495095683</v>
      </c>
      <c r="E127" s="391">
        <f t="shared" si="12"/>
        <v>1630214.0977393193</v>
      </c>
      <c r="F127" s="362">
        <f t="shared" si="13"/>
        <v>0.30114420734373737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9876</v>
      </c>
      <c r="D128" s="369">
        <v>12344</v>
      </c>
      <c r="E128" s="369">
        <f t="shared" si="12"/>
        <v>2468</v>
      </c>
      <c r="F128" s="362">
        <f t="shared" si="13"/>
        <v>0.2498987444309437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614</v>
      </c>
      <c r="C129" s="378">
        <f>IF(C128=0,0,C119/C128)</f>
        <v>1414.5338193600649</v>
      </c>
      <c r="D129" s="378">
        <f>IF(LN_ID11=0,0,LN_1D2/LN_ID11)</f>
        <v>1476.6278353856123</v>
      </c>
      <c r="E129" s="378">
        <f t="shared" si="12"/>
        <v>62.094016025547489</v>
      </c>
      <c r="F129" s="362">
        <f t="shared" si="13"/>
        <v>4.3897159032676096E-2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615</v>
      </c>
      <c r="C130" s="379">
        <f>IF(C121=0,0,C128/C121)</f>
        <v>4.0179007323026852</v>
      </c>
      <c r="D130" s="379">
        <f>IF(LN_ID4=0,0,LN_ID11/LN_ID4)</f>
        <v>4.0631994733377219</v>
      </c>
      <c r="E130" s="379">
        <f t="shared" si="12"/>
        <v>4.5298741035036727E-2</v>
      </c>
      <c r="F130" s="362">
        <f t="shared" si="13"/>
        <v>1.127423101094778E-2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654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617</v>
      </c>
      <c r="C133" s="361">
        <v>35764665</v>
      </c>
      <c r="D133" s="361">
        <v>52188301</v>
      </c>
      <c r="E133" s="361">
        <f t="shared" ref="E133:E141" si="14">D133-C133</f>
        <v>16423636</v>
      </c>
      <c r="F133" s="362">
        <f t="shared" ref="F133:F141" si="15">IF(C133=0,0,E133/C133)</f>
        <v>0.45921403150288143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618</v>
      </c>
      <c r="C134" s="361">
        <v>8956356</v>
      </c>
      <c r="D134" s="361">
        <v>13444714</v>
      </c>
      <c r="E134" s="361">
        <f t="shared" si="14"/>
        <v>4488358</v>
      </c>
      <c r="F134" s="362">
        <f t="shared" si="15"/>
        <v>0.50113662297479022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619</v>
      </c>
      <c r="C135" s="366">
        <f>IF(C133=0,0,C134/C133)</f>
        <v>0.25042471389009235</v>
      </c>
      <c r="D135" s="366">
        <f>IF(LN_ID14=0,0,LN_ID15/LN_ID14)</f>
        <v>0.25761930820472578</v>
      </c>
      <c r="E135" s="367">
        <f t="shared" si="14"/>
        <v>7.194594314633429E-3</v>
      </c>
      <c r="F135" s="362">
        <f t="shared" si="15"/>
        <v>2.8729569869014718E-2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620</v>
      </c>
      <c r="C136" s="366">
        <f>IF(C118=0,0,C133/C118)</f>
        <v>0.67798461994591996</v>
      </c>
      <c r="D136" s="366">
        <f>IF(LN_ID1=0,0,LN_ID14/LN_ID1)</f>
        <v>0.71974535548468777</v>
      </c>
      <c r="E136" s="367">
        <f t="shared" si="14"/>
        <v>4.1760735538767801E-2</v>
      </c>
      <c r="F136" s="362">
        <f t="shared" si="15"/>
        <v>6.1595402476974898E-2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621</v>
      </c>
      <c r="C137" s="376">
        <f>C136*C121</f>
        <v>1666.4861958270712</v>
      </c>
      <c r="D137" s="376">
        <f>LN_ID17*LN_ID4</f>
        <v>2186.5863899624815</v>
      </c>
      <c r="E137" s="376">
        <f t="shared" si="14"/>
        <v>520.10019413541022</v>
      </c>
      <c r="F137" s="362">
        <f t="shared" si="15"/>
        <v>0.31209391079131399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622</v>
      </c>
      <c r="C138" s="378">
        <f>IF(C137=0,0,C134/C137)</f>
        <v>5374.3955530066614</v>
      </c>
      <c r="D138" s="378">
        <f>IF(LN_ID18=0,0,LN_ID15/LN_ID18)</f>
        <v>6148.7229874465156</v>
      </c>
      <c r="E138" s="378">
        <f t="shared" si="14"/>
        <v>774.32743443985419</v>
      </c>
      <c r="F138" s="362">
        <f t="shared" si="15"/>
        <v>0.14407712026455943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655</v>
      </c>
      <c r="C139" s="378">
        <f>C61-C138</f>
        <v>6069.9268454029607</v>
      </c>
      <c r="D139" s="378">
        <f>LN_IB18-LN_ID19</f>
        <v>6765.4710314810982</v>
      </c>
      <c r="E139" s="378">
        <f t="shared" si="14"/>
        <v>695.5441860781375</v>
      </c>
      <c r="F139" s="362">
        <f t="shared" si="15"/>
        <v>0.11458856157465977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656</v>
      </c>
      <c r="C140" s="378">
        <f>C32-C138</f>
        <v>4506.2758752657173</v>
      </c>
      <c r="D140" s="378">
        <f>LN_IA16-LN_ID19</f>
        <v>2332.2038182335618</v>
      </c>
      <c r="E140" s="378">
        <f t="shared" si="14"/>
        <v>-2174.0720570321555</v>
      </c>
      <c r="F140" s="362">
        <f t="shared" si="15"/>
        <v>-0.4824542742634369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633</v>
      </c>
      <c r="C141" s="353">
        <f>C140*C137</f>
        <v>7509646.5407188712</v>
      </c>
      <c r="D141" s="353">
        <f>LN_ID21*LN_ID18</f>
        <v>5099565.1275680391</v>
      </c>
      <c r="E141" s="353">
        <f t="shared" si="14"/>
        <v>-2410081.4131508321</v>
      </c>
      <c r="F141" s="362">
        <f t="shared" si="15"/>
        <v>-0.3209314047049841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657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624</v>
      </c>
      <c r="C144" s="361">
        <f>C118+C133</f>
        <v>88516105</v>
      </c>
      <c r="D144" s="361">
        <f>LN_ID1+LN_ID14</f>
        <v>124697697</v>
      </c>
      <c r="E144" s="361">
        <f>D144-C144</f>
        <v>36181592</v>
      </c>
      <c r="F144" s="362">
        <f>IF(C144=0,0,E144/C144)</f>
        <v>0.40875716345629987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625</v>
      </c>
      <c r="C145" s="361">
        <f>C119+C134</f>
        <v>22926292</v>
      </c>
      <c r="D145" s="361">
        <f>LN_1D2+LN_ID15</f>
        <v>31672208</v>
      </c>
      <c r="E145" s="361">
        <f>D145-C145</f>
        <v>8745916</v>
      </c>
      <c r="F145" s="362">
        <f>IF(C145=0,0,E145/C145)</f>
        <v>0.38147974386787015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626</v>
      </c>
      <c r="C146" s="361">
        <f>C144-C145</f>
        <v>65589813</v>
      </c>
      <c r="D146" s="361">
        <f>LN_ID23-LN_ID24</f>
        <v>93025489</v>
      </c>
      <c r="E146" s="361">
        <f>D146-C146</f>
        <v>27435676</v>
      </c>
      <c r="F146" s="362">
        <f>IF(C146=0,0,E146/C146)</f>
        <v>0.41829172466157205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635</v>
      </c>
      <c r="C148" s="361">
        <f>C127+C141</f>
        <v>12923046.692489121</v>
      </c>
      <c r="D148" s="361">
        <f>LN_ID10+LN_ID22</f>
        <v>12143179.377077607</v>
      </c>
      <c r="E148" s="361">
        <f>D148-C148</f>
        <v>-779867.31541151367</v>
      </c>
      <c r="F148" s="415">
        <f>IF(C148=0,0,E148/C148)</f>
        <v>-6.0347016765386507E-2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658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659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608</v>
      </c>
      <c r="C153" s="361">
        <v>5755112</v>
      </c>
      <c r="D153" s="361">
        <v>1053370</v>
      </c>
      <c r="E153" s="361">
        <f t="shared" ref="E153:E165" si="16">D153-C153</f>
        <v>-4701742</v>
      </c>
      <c r="F153" s="362">
        <f t="shared" ref="F153:F165" si="17">IF(C153=0,0,E153/C153)</f>
        <v>-0.81696794084980451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609</v>
      </c>
      <c r="C154" s="361">
        <v>1738197</v>
      </c>
      <c r="D154" s="361">
        <v>360535</v>
      </c>
      <c r="E154" s="361">
        <f t="shared" si="16"/>
        <v>-1377662</v>
      </c>
      <c r="F154" s="362">
        <f t="shared" si="17"/>
        <v>-0.79258104806302165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610</v>
      </c>
      <c r="C155" s="366">
        <f>IF(C153=0,0,C154/C153)</f>
        <v>0.30202661564188499</v>
      </c>
      <c r="D155" s="366">
        <f>IF(LN_IE1=0,0,LN_IE2/LN_IE1)</f>
        <v>0.34226814889355117</v>
      </c>
      <c r="E155" s="367">
        <f t="shared" si="16"/>
        <v>4.0241533251666184E-2</v>
      </c>
      <c r="F155" s="362">
        <f t="shared" si="17"/>
        <v>0.13323836763903232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215</v>
      </c>
      <c r="D156" s="419">
        <v>40</v>
      </c>
      <c r="E156" s="419">
        <f t="shared" si="16"/>
        <v>-175</v>
      </c>
      <c r="F156" s="362">
        <f t="shared" si="17"/>
        <v>-0.81395348837209303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611</v>
      </c>
      <c r="C157" s="372">
        <v>0.99489000000000005</v>
      </c>
      <c r="D157" s="372">
        <v>0.95994999999999997</v>
      </c>
      <c r="E157" s="373">
        <f t="shared" si="16"/>
        <v>-3.4940000000000082E-2</v>
      </c>
      <c r="F157" s="362">
        <f t="shared" si="17"/>
        <v>-3.5119460442863112E-2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612</v>
      </c>
      <c r="C158" s="376">
        <f>C156*C157</f>
        <v>213.90135000000001</v>
      </c>
      <c r="D158" s="376">
        <f>LN_IE4*LN_IE5</f>
        <v>38.397999999999996</v>
      </c>
      <c r="E158" s="376">
        <f t="shared" si="16"/>
        <v>-175.50335000000001</v>
      </c>
      <c r="F158" s="362">
        <f t="shared" si="17"/>
        <v>-0.82048734147774194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613</v>
      </c>
      <c r="C159" s="378">
        <f>IF(C158=0,0,C154/C158)</f>
        <v>8126.1618965939206</v>
      </c>
      <c r="D159" s="378">
        <f>IF(LN_IE6=0,0,LN_IE2/LN_IE6)</f>
        <v>9389.4213240272948</v>
      </c>
      <c r="E159" s="378">
        <f t="shared" si="16"/>
        <v>1263.2594274333742</v>
      </c>
      <c r="F159" s="362">
        <f t="shared" si="17"/>
        <v>0.15545585277631119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660</v>
      </c>
      <c r="C160" s="378">
        <f>C48-C159</f>
        <v>2580.6335980781796</v>
      </c>
      <c r="D160" s="378">
        <f>LN_IB7-LN_IE7</f>
        <v>2719.0439493906179</v>
      </c>
      <c r="E160" s="378">
        <f t="shared" si="16"/>
        <v>138.41035131243825</v>
      </c>
      <c r="F160" s="362">
        <f t="shared" si="17"/>
        <v>5.3634251454958058E-2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661</v>
      </c>
      <c r="C161" s="378">
        <f>C21-C159</f>
        <v>683.62469336552113</v>
      </c>
      <c r="D161" s="378">
        <f>LN_IA7-LN_IE7</f>
        <v>-627.37410696806546</v>
      </c>
      <c r="E161" s="378">
        <f t="shared" si="16"/>
        <v>-1310.9988003335866</v>
      </c>
      <c r="F161" s="362">
        <f t="shared" si="17"/>
        <v>-1.9177171524911849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630</v>
      </c>
      <c r="C162" s="391">
        <f>C161*C158</f>
        <v>146228.24480422103</v>
      </c>
      <c r="D162" s="391">
        <f>LN_IE9*LN_IE6</f>
        <v>-24089.910959359775</v>
      </c>
      <c r="E162" s="391">
        <f t="shared" si="16"/>
        <v>-170318.15576358081</v>
      </c>
      <c r="F162" s="362">
        <f t="shared" si="17"/>
        <v>-1.164741845815169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1059</v>
      </c>
      <c r="D163" s="369">
        <v>166</v>
      </c>
      <c r="E163" s="419">
        <f t="shared" si="16"/>
        <v>-893</v>
      </c>
      <c r="F163" s="362">
        <f t="shared" si="17"/>
        <v>-0.84324834749763933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614</v>
      </c>
      <c r="C164" s="378">
        <f>IF(C163=0,0,C154/C163)</f>
        <v>1641.3569405099149</v>
      </c>
      <c r="D164" s="378">
        <f>IF(LN_IE11=0,0,LN_IE2/LN_IE11)</f>
        <v>2171.897590361446</v>
      </c>
      <c r="E164" s="378">
        <f t="shared" si="16"/>
        <v>530.54064985153104</v>
      </c>
      <c r="F164" s="362">
        <f t="shared" si="17"/>
        <v>0.32323295241722971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615</v>
      </c>
      <c r="C165" s="379">
        <f>IF(C156=0,0,C163/C156)</f>
        <v>4.9255813953488374</v>
      </c>
      <c r="D165" s="379">
        <f>IF(LN_IE4=0,0,LN_IE11/LN_IE4)</f>
        <v>4.1500000000000004</v>
      </c>
      <c r="E165" s="379">
        <f t="shared" si="16"/>
        <v>-0.77558139534883708</v>
      </c>
      <c r="F165" s="362">
        <f t="shared" si="17"/>
        <v>-0.15745986779981111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662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617</v>
      </c>
      <c r="C168" s="424">
        <v>3772821</v>
      </c>
      <c r="D168" s="424">
        <v>472831</v>
      </c>
      <c r="E168" s="424">
        <f t="shared" ref="E168:E176" si="18">D168-C168</f>
        <v>-3299990</v>
      </c>
      <c r="F168" s="362">
        <f t="shared" ref="F168:F176" si="19">IF(C168=0,0,E168/C168)</f>
        <v>-0.87467441471514285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618</v>
      </c>
      <c r="C169" s="424">
        <v>618732</v>
      </c>
      <c r="D169" s="424">
        <v>142148</v>
      </c>
      <c r="E169" s="424">
        <f t="shared" si="18"/>
        <v>-476584</v>
      </c>
      <c r="F169" s="362">
        <f t="shared" si="19"/>
        <v>-0.7702591752164103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619</v>
      </c>
      <c r="C170" s="366">
        <f>IF(C168=0,0,C169/C168)</f>
        <v>0.16399717876888409</v>
      </c>
      <c r="D170" s="366">
        <f>IF(LN_IE14=0,0,LN_IE15/LN_IE14)</f>
        <v>0.30063172676918393</v>
      </c>
      <c r="E170" s="367">
        <f t="shared" si="18"/>
        <v>0.13663454800029984</v>
      </c>
      <c r="F170" s="362">
        <f t="shared" si="19"/>
        <v>0.83315182020816636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620</v>
      </c>
      <c r="C171" s="366">
        <f>IF(C153=0,0,C168/C153)</f>
        <v>0.65555996130049254</v>
      </c>
      <c r="D171" s="366">
        <f>IF(LN_IE1=0,0,LN_IE14/LN_IE1)</f>
        <v>0.44887456449300817</v>
      </c>
      <c r="E171" s="367">
        <f t="shared" si="18"/>
        <v>-0.20668539680748438</v>
      </c>
      <c r="F171" s="362">
        <f t="shared" si="19"/>
        <v>-0.31528068980519219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621</v>
      </c>
      <c r="C172" s="376">
        <f>C171*C156</f>
        <v>140.9453916796059</v>
      </c>
      <c r="D172" s="376">
        <f>LN_IE17*LN_IE4</f>
        <v>17.954982579720326</v>
      </c>
      <c r="E172" s="376">
        <f t="shared" si="18"/>
        <v>-122.99040909988558</v>
      </c>
      <c r="F172" s="362">
        <f t="shared" si="19"/>
        <v>-0.87261036089398925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622</v>
      </c>
      <c r="C173" s="378">
        <f>IF(C172=0,0,C169/C172)</f>
        <v>4389.8703790648833</v>
      </c>
      <c r="D173" s="378">
        <f>IF(LN_IE18=0,0,LN_IE15/LN_IE18)</f>
        <v>7916.9110506713814</v>
      </c>
      <c r="E173" s="378">
        <f t="shared" si="18"/>
        <v>3527.0406716064981</v>
      </c>
      <c r="F173" s="362">
        <f t="shared" si="19"/>
        <v>0.80344984408350972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663</v>
      </c>
      <c r="C174" s="378">
        <f>C61-C173</f>
        <v>7054.4520193447388</v>
      </c>
      <c r="D174" s="378">
        <f>LN_IB18-LN_IE19</f>
        <v>4997.2829682562324</v>
      </c>
      <c r="E174" s="378">
        <f t="shared" si="18"/>
        <v>-2057.1690510885064</v>
      </c>
      <c r="F174" s="362">
        <f t="shared" si="19"/>
        <v>-0.29161287729327967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664</v>
      </c>
      <c r="C175" s="378">
        <f>C32-C173</f>
        <v>5490.8010492074955</v>
      </c>
      <c r="D175" s="378">
        <f>LN_IA16-LN_IE19</f>
        <v>564.01575500869603</v>
      </c>
      <c r="E175" s="378">
        <f t="shared" si="18"/>
        <v>-4926.7852941987994</v>
      </c>
      <c r="F175" s="362">
        <f t="shared" si="19"/>
        <v>-0.89727987775297335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633</v>
      </c>
      <c r="C176" s="353">
        <f>C175*C172</f>
        <v>773903.10451534146</v>
      </c>
      <c r="D176" s="353">
        <f>LN_IE21*LN_IE18</f>
        <v>10126.893055868944</v>
      </c>
      <c r="E176" s="353">
        <f t="shared" si="18"/>
        <v>-763776.21145947254</v>
      </c>
      <c r="F176" s="362">
        <f t="shared" si="19"/>
        <v>-0.98691452069802599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665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624</v>
      </c>
      <c r="C179" s="361">
        <f>C153+C168</f>
        <v>9527933</v>
      </c>
      <c r="D179" s="361">
        <f>LN_IE1+LN_IE14</f>
        <v>1526201</v>
      </c>
      <c r="E179" s="361">
        <f>D179-C179</f>
        <v>-8001732</v>
      </c>
      <c r="F179" s="362">
        <f>IF(C179=0,0,E179/C179)</f>
        <v>-0.83981824809221473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625</v>
      </c>
      <c r="C180" s="361">
        <f>C154+C169</f>
        <v>2356929</v>
      </c>
      <c r="D180" s="361">
        <f>LN_IE15+LN_IE2</f>
        <v>502683</v>
      </c>
      <c r="E180" s="361">
        <f>D180-C180</f>
        <v>-1854246</v>
      </c>
      <c r="F180" s="362">
        <f>IF(C180=0,0,E180/C180)</f>
        <v>-0.78672119525025996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626</v>
      </c>
      <c r="C181" s="361">
        <f>C179-C180</f>
        <v>7171004</v>
      </c>
      <c r="D181" s="361">
        <f>LN_IE23-LN_IE24</f>
        <v>1023518</v>
      </c>
      <c r="E181" s="361">
        <f>D181-C181</f>
        <v>-6147486</v>
      </c>
      <c r="F181" s="362">
        <f>IF(C181=0,0,E181/C181)</f>
        <v>-0.85726991645800221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666</v>
      </c>
      <c r="C183" s="361">
        <f>C162+C176</f>
        <v>920131.34931956255</v>
      </c>
      <c r="D183" s="361">
        <f>LN_IE10+LN_IE22</f>
        <v>-13963.017903490831</v>
      </c>
      <c r="E183" s="353">
        <f>D183-C183</f>
        <v>-934094.36722305336</v>
      </c>
      <c r="F183" s="362">
        <f>IF(C183=0,0,E183/C183)</f>
        <v>-1.0151750268196127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667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668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608</v>
      </c>
      <c r="C188" s="361">
        <f>C118+C153</f>
        <v>58506552</v>
      </c>
      <c r="D188" s="361">
        <f>LN_ID1+LN_IE1</f>
        <v>73562766</v>
      </c>
      <c r="E188" s="361">
        <f t="shared" ref="E188:E200" si="20">D188-C188</f>
        <v>15056214</v>
      </c>
      <c r="F188" s="362">
        <f t="shared" ref="F188:F200" si="21">IF(C188=0,0,E188/C188)</f>
        <v>0.25734235714317943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609</v>
      </c>
      <c r="C189" s="361">
        <f>C119+C154</f>
        <v>15708133</v>
      </c>
      <c r="D189" s="361">
        <f>LN_1D2+LN_IE2</f>
        <v>18588029</v>
      </c>
      <c r="E189" s="361">
        <f t="shared" si="20"/>
        <v>2879896</v>
      </c>
      <c r="F189" s="362">
        <f t="shared" si="21"/>
        <v>0.18333789254267199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610</v>
      </c>
      <c r="C190" s="366">
        <f>IF(C188=0,0,C189/C188)</f>
        <v>0.26848502369444022</v>
      </c>
      <c r="D190" s="366">
        <f>IF(LN_IF1=0,0,LN_IF2/LN_IF1)</f>
        <v>0.2526825731376115</v>
      </c>
      <c r="E190" s="367">
        <f t="shared" si="20"/>
        <v>-1.5802450556828718E-2</v>
      </c>
      <c r="F190" s="362">
        <f t="shared" si="21"/>
        <v>-5.8857847411307784E-2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2673</v>
      </c>
      <c r="D191" s="369">
        <f>LN_ID4+LN_IE4</f>
        <v>3078</v>
      </c>
      <c r="E191" s="369">
        <f t="shared" si="20"/>
        <v>405</v>
      </c>
      <c r="F191" s="362">
        <f t="shared" si="21"/>
        <v>0.15151515151515152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611</v>
      </c>
      <c r="C192" s="372">
        <f>IF((C121+C156)=0,0,(C123+C158)/(C121+C156))</f>
        <v>0.90314489711934165</v>
      </c>
      <c r="D192" s="372">
        <f>IF((LN_ID4+LN_IE4)=0,0,(LN_ID6+LN_IE6)/(LN_ID4+LN_IE4))</f>
        <v>0.94949762183235864</v>
      </c>
      <c r="E192" s="373">
        <f t="shared" si="20"/>
        <v>4.6352724713016991E-2</v>
      </c>
      <c r="F192" s="362">
        <f t="shared" si="21"/>
        <v>5.1323685557946454E-2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612</v>
      </c>
      <c r="C193" s="376">
        <f>C123+C158</f>
        <v>2414.1063100000001</v>
      </c>
      <c r="D193" s="376">
        <f>LN_IF4*LN_IF5</f>
        <v>2922.55368</v>
      </c>
      <c r="E193" s="376">
        <f t="shared" si="20"/>
        <v>508.44736999999986</v>
      </c>
      <c r="F193" s="362">
        <f t="shared" si="21"/>
        <v>0.21061515306672632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613</v>
      </c>
      <c r="C194" s="378">
        <f>IF(C193=0,0,C189/C193)</f>
        <v>6506.8107957515749</v>
      </c>
      <c r="D194" s="378">
        <f>IF(LN_IF6=0,0,LN_IF2/LN_IF6)</f>
        <v>6360.20105540029</v>
      </c>
      <c r="E194" s="378">
        <f t="shared" si="20"/>
        <v>-146.60974035128493</v>
      </c>
      <c r="F194" s="362">
        <f t="shared" si="21"/>
        <v>-2.2531735584967266E-2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669</v>
      </c>
      <c r="C195" s="378">
        <f>C48-C194</f>
        <v>4199.9846989205253</v>
      </c>
      <c r="D195" s="378">
        <f>LN_IB7-LN_IF7</f>
        <v>5748.2642180176226</v>
      </c>
      <c r="E195" s="378">
        <f t="shared" si="20"/>
        <v>1548.2795190970974</v>
      </c>
      <c r="F195" s="362">
        <f t="shared" si="21"/>
        <v>0.3686393237325446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670</v>
      </c>
      <c r="C196" s="378">
        <f>C21-C194</f>
        <v>2302.9757942078668</v>
      </c>
      <c r="D196" s="378">
        <f>LN_IA7-LN_IF7</f>
        <v>2401.8461616589393</v>
      </c>
      <c r="E196" s="378">
        <f t="shared" si="20"/>
        <v>98.870367451072525</v>
      </c>
      <c r="F196" s="362">
        <f t="shared" si="21"/>
        <v>4.2931570405445818E-2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630</v>
      </c>
      <c r="C197" s="391">
        <f>C127+C162</f>
        <v>5559628.3965744702</v>
      </c>
      <c r="D197" s="391">
        <f>LN_IF9*LN_IF6</f>
        <v>7019524.3385502081</v>
      </c>
      <c r="E197" s="391">
        <f t="shared" si="20"/>
        <v>1459895.9419757379</v>
      </c>
      <c r="F197" s="362">
        <f t="shared" si="21"/>
        <v>0.26258876274451071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10935</v>
      </c>
      <c r="D198" s="369">
        <f>LN_ID11+LN_IE11</f>
        <v>12510</v>
      </c>
      <c r="E198" s="369">
        <f t="shared" si="20"/>
        <v>1575</v>
      </c>
      <c r="F198" s="362">
        <f t="shared" si="21"/>
        <v>0.1440329218106996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614</v>
      </c>
      <c r="C199" s="432">
        <f>IF(C198=0,0,C189/C198)</f>
        <v>1436.5005029721078</v>
      </c>
      <c r="D199" s="432">
        <f>IF(LN_IF11=0,0,LN_IF2/LN_IF11)</f>
        <v>1485.8536370903278</v>
      </c>
      <c r="E199" s="432">
        <f t="shared" si="20"/>
        <v>49.353134118219941</v>
      </c>
      <c r="F199" s="362">
        <f t="shared" si="21"/>
        <v>3.4356503193774528E-2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615</v>
      </c>
      <c r="C200" s="379">
        <f>IF(C191=0,0,C198/C191)</f>
        <v>4.0909090909090908</v>
      </c>
      <c r="D200" s="379">
        <f>IF(LN_IF4=0,0,LN_IF11/LN_IF4)</f>
        <v>4.064327485380117</v>
      </c>
      <c r="E200" s="379">
        <f t="shared" si="20"/>
        <v>-2.6581605528973817E-2</v>
      </c>
      <c r="F200" s="362">
        <f t="shared" si="21"/>
        <v>-6.4977257959713776E-3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671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617</v>
      </c>
      <c r="C203" s="361">
        <f>C133+C168</f>
        <v>39537486</v>
      </c>
      <c r="D203" s="361">
        <f>LN_ID14+LN_IE14</f>
        <v>52661132</v>
      </c>
      <c r="E203" s="361">
        <f t="shared" ref="E203:E211" si="22">D203-C203</f>
        <v>13123646</v>
      </c>
      <c r="F203" s="362">
        <f t="shared" ref="F203:F211" si="23">IF(C203=0,0,E203/C203)</f>
        <v>0.33192919752156219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618</v>
      </c>
      <c r="C204" s="361">
        <f>C134+C169</f>
        <v>9575088</v>
      </c>
      <c r="D204" s="361">
        <f>LN_ID15+LN_IE15</f>
        <v>13586862</v>
      </c>
      <c r="E204" s="361">
        <f t="shared" si="22"/>
        <v>4011774</v>
      </c>
      <c r="F204" s="362">
        <f t="shared" si="23"/>
        <v>0.41898037908372227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619</v>
      </c>
      <c r="C205" s="366">
        <f>IF(C203=0,0,C204/C203)</f>
        <v>0.24217746166258522</v>
      </c>
      <c r="D205" s="366">
        <f>IF(LN_IF14=0,0,LN_IF15/LN_IF14)</f>
        <v>0.25800550584442433</v>
      </c>
      <c r="E205" s="367">
        <f t="shared" si="22"/>
        <v>1.5828044181839113E-2</v>
      </c>
      <c r="F205" s="362">
        <f t="shared" si="23"/>
        <v>6.5357213975145226E-2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620</v>
      </c>
      <c r="C206" s="366">
        <f>IF(C188=0,0,C203/C188)</f>
        <v>0.67577877431573818</v>
      </c>
      <c r="D206" s="366">
        <f>IF(LN_IF1=0,0,LN_IF14/LN_IF1)</f>
        <v>0.71586666548128441</v>
      </c>
      <c r="E206" s="367">
        <f t="shared" si="22"/>
        <v>4.008789116554623E-2</v>
      </c>
      <c r="F206" s="362">
        <f t="shared" si="23"/>
        <v>5.932102736748035E-2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621</v>
      </c>
      <c r="C207" s="376">
        <f>C137+C172</f>
        <v>1807.4315875066773</v>
      </c>
      <c r="D207" s="376">
        <f>LN_ID18+LN_IE18</f>
        <v>2204.5413725422018</v>
      </c>
      <c r="E207" s="376">
        <f t="shared" si="22"/>
        <v>397.10978503552451</v>
      </c>
      <c r="F207" s="362">
        <f t="shared" si="23"/>
        <v>0.21970944171852783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622</v>
      </c>
      <c r="C208" s="378">
        <f>IF(C207=0,0,C204/C207)</f>
        <v>5297.6212578030018</v>
      </c>
      <c r="D208" s="378">
        <f>IF(LN_IF18=0,0,LN_IF15/LN_IF18)</f>
        <v>6163.1240716213433</v>
      </c>
      <c r="E208" s="378">
        <f t="shared" si="22"/>
        <v>865.50281381834156</v>
      </c>
      <c r="F208" s="362">
        <f t="shared" si="23"/>
        <v>0.1633757438857148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672</v>
      </c>
      <c r="C209" s="378">
        <f>C61-C208</f>
        <v>6146.7011406066204</v>
      </c>
      <c r="D209" s="378">
        <f>LN_IB18-LN_IF19</f>
        <v>6751.0699473062705</v>
      </c>
      <c r="E209" s="378">
        <f t="shared" si="22"/>
        <v>604.36880669965012</v>
      </c>
      <c r="F209" s="362">
        <f t="shared" si="23"/>
        <v>9.832409171596794E-2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673</v>
      </c>
      <c r="C210" s="378">
        <f>C32-C208</f>
        <v>4583.050170469377</v>
      </c>
      <c r="D210" s="378">
        <f>LN_IA16-LN_IF19</f>
        <v>2317.8027340587341</v>
      </c>
      <c r="E210" s="378">
        <f t="shared" si="22"/>
        <v>-2265.2474364106429</v>
      </c>
      <c r="F210" s="362">
        <f t="shared" si="23"/>
        <v>-0.49426634057087915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633</v>
      </c>
      <c r="C211" s="391">
        <f>C141+C176</f>
        <v>8283549.6452342123</v>
      </c>
      <c r="D211" s="353">
        <f>LN_IF21*LN_IF18</f>
        <v>5109692.0206239093</v>
      </c>
      <c r="E211" s="353">
        <f t="shared" si="22"/>
        <v>-3173857.624610303</v>
      </c>
      <c r="F211" s="362">
        <f t="shared" si="23"/>
        <v>-0.38315188059943883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674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624</v>
      </c>
      <c r="C214" s="361">
        <f>C188+C203</f>
        <v>98044038</v>
      </c>
      <c r="D214" s="361">
        <f>LN_IF1+LN_IF14</f>
        <v>126223898</v>
      </c>
      <c r="E214" s="361">
        <f>D214-C214</f>
        <v>28179860</v>
      </c>
      <c r="F214" s="362">
        <f>IF(C214=0,0,E214/C214)</f>
        <v>0.28742043447863702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625</v>
      </c>
      <c r="C215" s="361">
        <f>C189+C204</f>
        <v>25283221</v>
      </c>
      <c r="D215" s="361">
        <f>LN_IF2+LN_IF15</f>
        <v>32174891</v>
      </c>
      <c r="E215" s="361">
        <f>D215-C215</f>
        <v>6891670</v>
      </c>
      <c r="F215" s="362">
        <f>IF(C215=0,0,E215/C215)</f>
        <v>0.27257879840547217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626</v>
      </c>
      <c r="C216" s="361">
        <f>C214-C215</f>
        <v>72760817</v>
      </c>
      <c r="D216" s="361">
        <f>LN_IF23-LN_IF24</f>
        <v>94049007</v>
      </c>
      <c r="E216" s="361">
        <f>D216-C216</f>
        <v>21288190</v>
      </c>
      <c r="F216" s="362">
        <f>IF(C216=0,0,E216/C216)</f>
        <v>0.29257766580603406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675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676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608</v>
      </c>
      <c r="C221" s="361">
        <v>175423</v>
      </c>
      <c r="D221" s="361">
        <v>514894</v>
      </c>
      <c r="E221" s="361">
        <f t="shared" ref="E221:E230" si="24">D221-C221</f>
        <v>339471</v>
      </c>
      <c r="F221" s="362">
        <f t="shared" ref="F221:F230" si="25">IF(C221=0,0,E221/C221)</f>
        <v>1.93515673543378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609</v>
      </c>
      <c r="C222" s="361">
        <v>74645</v>
      </c>
      <c r="D222" s="361">
        <v>137047</v>
      </c>
      <c r="E222" s="361">
        <f t="shared" si="24"/>
        <v>62402</v>
      </c>
      <c r="F222" s="362">
        <f t="shared" si="25"/>
        <v>0.83598365597159885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610</v>
      </c>
      <c r="C223" s="366">
        <f>IF(C221=0,0,C222/C221)</f>
        <v>0.4255143282237791</v>
      </c>
      <c r="D223" s="366">
        <f>IF(LN_IG1=0,0,LN_IG2/LN_IG1)</f>
        <v>0.26616546318271334</v>
      </c>
      <c r="E223" s="367">
        <f t="shared" si="24"/>
        <v>-0.15934886504106577</v>
      </c>
      <c r="F223" s="362">
        <f t="shared" si="25"/>
        <v>-0.37448530982783684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9</v>
      </c>
      <c r="D224" s="369">
        <v>19</v>
      </c>
      <c r="E224" s="369">
        <f t="shared" si="24"/>
        <v>10</v>
      </c>
      <c r="F224" s="362">
        <f t="shared" si="25"/>
        <v>1.1111111111111112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611</v>
      </c>
      <c r="C225" s="372">
        <v>0.96191000000000004</v>
      </c>
      <c r="D225" s="372">
        <v>0.86317999999999995</v>
      </c>
      <c r="E225" s="373">
        <f t="shared" si="24"/>
        <v>-9.8730000000000095E-2</v>
      </c>
      <c r="F225" s="362">
        <f t="shared" si="25"/>
        <v>-0.10263954008171253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612</v>
      </c>
      <c r="C226" s="376">
        <f>C224*C225</f>
        <v>8.6571899999999999</v>
      </c>
      <c r="D226" s="376">
        <f>LN_IG3*LN_IG4</f>
        <v>16.40042</v>
      </c>
      <c r="E226" s="376">
        <f t="shared" si="24"/>
        <v>7.7432300000000005</v>
      </c>
      <c r="F226" s="362">
        <f t="shared" si="25"/>
        <v>0.89442763760527388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613</v>
      </c>
      <c r="C227" s="378">
        <f>IF(C226=0,0,C222/C226)</f>
        <v>8622.3127827851768</v>
      </c>
      <c r="D227" s="378">
        <f>IF(LN_IG5=0,0,LN_IG2/LN_IG5)</f>
        <v>8356.3103871730109</v>
      </c>
      <c r="E227" s="378">
        <f t="shared" si="24"/>
        <v>-266.00239561216586</v>
      </c>
      <c r="F227" s="362">
        <f t="shared" si="25"/>
        <v>-3.0850469278179193E-2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24</v>
      </c>
      <c r="D228" s="369">
        <v>97</v>
      </c>
      <c r="E228" s="369">
        <f t="shared" si="24"/>
        <v>73</v>
      </c>
      <c r="F228" s="362">
        <f t="shared" si="25"/>
        <v>3.0416666666666665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614</v>
      </c>
      <c r="C229" s="378">
        <f>IF(C228=0,0,C222/C228)</f>
        <v>3110.2083333333335</v>
      </c>
      <c r="D229" s="378">
        <f>IF(LN_IG6=0,0,LN_IG2/LN_IG6)</f>
        <v>1412.8556701030927</v>
      </c>
      <c r="E229" s="378">
        <f t="shared" si="24"/>
        <v>-1697.3526632302408</v>
      </c>
      <c r="F229" s="362">
        <f t="shared" si="25"/>
        <v>-0.54573600264620237</v>
      </c>
      <c r="Q229" s="330"/>
      <c r="U229" s="375"/>
    </row>
    <row r="230" spans="1:21" ht="11.25" customHeight="1" x14ac:dyDescent="0.2">
      <c r="A230" s="364">
        <v>10</v>
      </c>
      <c r="B230" s="360" t="s">
        <v>615</v>
      </c>
      <c r="C230" s="379">
        <f>IF(C224=0,0,C228/C224)</f>
        <v>2.6666666666666665</v>
      </c>
      <c r="D230" s="379">
        <f>IF(LN_IG3=0,0,LN_IG6/LN_IG3)</f>
        <v>5.1052631578947372</v>
      </c>
      <c r="E230" s="379">
        <f t="shared" si="24"/>
        <v>2.4385964912280707</v>
      </c>
      <c r="F230" s="362">
        <f t="shared" si="25"/>
        <v>0.91447368421052655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677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617</v>
      </c>
      <c r="C233" s="361">
        <v>358334</v>
      </c>
      <c r="D233" s="361">
        <v>357785</v>
      </c>
      <c r="E233" s="361">
        <f>D233-C233</f>
        <v>-549</v>
      </c>
      <c r="F233" s="362">
        <f>IF(C233=0,0,E233/C233)</f>
        <v>-1.5320901728554923E-3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618</v>
      </c>
      <c r="C234" s="361">
        <v>40234</v>
      </c>
      <c r="D234" s="361">
        <v>64332</v>
      </c>
      <c r="E234" s="361">
        <f>D234-C234</f>
        <v>24098</v>
      </c>
      <c r="F234" s="362">
        <f>IF(C234=0,0,E234/C234)</f>
        <v>0.59894616493512953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678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624</v>
      </c>
      <c r="C237" s="361">
        <f>C221+C233</f>
        <v>533757</v>
      </c>
      <c r="D237" s="361">
        <f>LN_IG1+LN_IG9</f>
        <v>872679</v>
      </c>
      <c r="E237" s="361">
        <f>D237-C237</f>
        <v>338922</v>
      </c>
      <c r="F237" s="362">
        <f>IF(C237=0,0,E237/C237)</f>
        <v>0.63497434225686966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625</v>
      </c>
      <c r="C238" s="361">
        <f>C222+C234</f>
        <v>114879</v>
      </c>
      <c r="D238" s="361">
        <f>LN_IG2+LN_IG10</f>
        <v>201379</v>
      </c>
      <c r="E238" s="361">
        <f>D238-C238</f>
        <v>86500</v>
      </c>
      <c r="F238" s="362">
        <f>IF(C238=0,0,E238/C238)</f>
        <v>0.75296616439906339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626</v>
      </c>
      <c r="C239" s="361">
        <f>C237-C238</f>
        <v>418878</v>
      </c>
      <c r="D239" s="361">
        <f>LN_IG13-LN_IG14</f>
        <v>671300</v>
      </c>
      <c r="E239" s="361">
        <f>D239-C239</f>
        <v>252422</v>
      </c>
      <c r="F239" s="362">
        <f>IF(C239=0,0,E239/C239)</f>
        <v>0.6026146037748461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679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680</v>
      </c>
      <c r="C243" s="361">
        <v>13756910</v>
      </c>
      <c r="D243" s="361">
        <v>12324861</v>
      </c>
      <c r="E243" s="353">
        <f>D243-C243</f>
        <v>-1432049</v>
      </c>
      <c r="F243" s="415">
        <f>IF(C243=0,0,E243/C243)</f>
        <v>-0.10409670485595966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681</v>
      </c>
      <c r="C244" s="361">
        <v>337444501</v>
      </c>
      <c r="D244" s="361">
        <v>338475864</v>
      </c>
      <c r="E244" s="353">
        <f>D244-C244</f>
        <v>1031363</v>
      </c>
      <c r="F244" s="415">
        <f>IF(C244=0,0,E244/C244)</f>
        <v>3.056392968158044E-3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682</v>
      </c>
      <c r="C245" s="400">
        <v>2414316</v>
      </c>
      <c r="D245" s="400">
        <v>0</v>
      </c>
      <c r="E245" s="400">
        <f>D245-C245</f>
        <v>-2414316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683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684</v>
      </c>
      <c r="C248" s="353">
        <v>18026000</v>
      </c>
      <c r="D248" s="353">
        <v>17327000</v>
      </c>
      <c r="E248" s="353">
        <f>D248-C248</f>
        <v>-699000</v>
      </c>
      <c r="F248" s="362">
        <f>IF(C248=0,0,E248/C248)</f>
        <v>-3.8777321646510599E-2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685</v>
      </c>
      <c r="C249" s="353">
        <v>23255695</v>
      </c>
      <c r="D249" s="353">
        <v>20654069</v>
      </c>
      <c r="E249" s="353">
        <f>D249-C249</f>
        <v>-2601626</v>
      </c>
      <c r="F249" s="362">
        <f>IF(C249=0,0,E249/C249)</f>
        <v>-0.11187049021755746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686</v>
      </c>
      <c r="C250" s="353">
        <f>C248+C249</f>
        <v>41281695</v>
      </c>
      <c r="D250" s="353">
        <f>LN_IH4+LN_IH5</f>
        <v>37981069</v>
      </c>
      <c r="E250" s="353">
        <f>D250-C250</f>
        <v>-3300626</v>
      </c>
      <c r="F250" s="362">
        <f>IF(C250=0,0,E250/C250)</f>
        <v>-7.995374220947081E-2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687</v>
      </c>
      <c r="C251" s="353">
        <f>C250*C313</f>
        <v>16727813.021221217</v>
      </c>
      <c r="D251" s="353">
        <f>LN_IH6*LN_III10</f>
        <v>13950104.782463057</v>
      </c>
      <c r="E251" s="353">
        <f>D251-C251</f>
        <v>-2777708.2387581598</v>
      </c>
      <c r="F251" s="362">
        <f>IF(C251=0,0,E251/C251)</f>
        <v>-0.16605328115721446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688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624</v>
      </c>
      <c r="C254" s="353">
        <f>C188+C203</f>
        <v>98044038</v>
      </c>
      <c r="D254" s="353">
        <f>LN_IF23</f>
        <v>126223898</v>
      </c>
      <c r="E254" s="353">
        <f>D254-C254</f>
        <v>28179860</v>
      </c>
      <c r="F254" s="362">
        <f>IF(C254=0,0,E254/C254)</f>
        <v>0.28742043447863702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625</v>
      </c>
      <c r="C255" s="353">
        <f>C189+C204</f>
        <v>25283221</v>
      </c>
      <c r="D255" s="353">
        <f>LN_IF24</f>
        <v>32174891</v>
      </c>
      <c r="E255" s="353">
        <f>D255-C255</f>
        <v>6891670</v>
      </c>
      <c r="F255" s="362">
        <f>IF(C255=0,0,E255/C255)</f>
        <v>0.27257879840547217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689</v>
      </c>
      <c r="C256" s="353">
        <f>C254*C313</f>
        <v>39728560.939891346</v>
      </c>
      <c r="D256" s="353">
        <f>LN_IH8*LN_III10</f>
        <v>46360901.615247563</v>
      </c>
      <c r="E256" s="353">
        <f>D256-C256</f>
        <v>6632340.6753562167</v>
      </c>
      <c r="F256" s="362">
        <f>IF(C256=0,0,E256/C256)</f>
        <v>0.16694137714655305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690</v>
      </c>
      <c r="C257" s="353">
        <f>C256-C255</f>
        <v>14445339.939891346</v>
      </c>
      <c r="D257" s="353">
        <f>LN_IH10-LN_IH9</f>
        <v>14186010.615247563</v>
      </c>
      <c r="E257" s="353">
        <f>D257-C257</f>
        <v>-259329.32464378327</v>
      </c>
      <c r="F257" s="362">
        <f>IF(C257=0,0,E257/C257)</f>
        <v>-1.7952455651641375E-2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691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692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693</v>
      </c>
      <c r="C261" s="361">
        <f>C15+C42+C188+C221</f>
        <v>408782538</v>
      </c>
      <c r="D261" s="361">
        <f>LN_IA1+LN_IB1+LN_IF1+LN_IG1</f>
        <v>456194748</v>
      </c>
      <c r="E261" s="361">
        <f t="shared" ref="E261:E274" si="26">D261-C261</f>
        <v>47412210</v>
      </c>
      <c r="F261" s="415">
        <f t="shared" ref="F261:F274" si="27">IF(C261=0,0,E261/C261)</f>
        <v>0.11598394156454893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694</v>
      </c>
      <c r="C262" s="361">
        <f>C16+C43+C189+C222</f>
        <v>155694825</v>
      </c>
      <c r="D262" s="361">
        <f>+LN_IA2+LN_IB2+LN_IF2+LN_IG2</f>
        <v>166063306</v>
      </c>
      <c r="E262" s="361">
        <f t="shared" si="26"/>
        <v>10368481</v>
      </c>
      <c r="F262" s="415">
        <f t="shared" si="27"/>
        <v>6.6594898064209901E-2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695</v>
      </c>
      <c r="C263" s="366">
        <f>IF(C261=0,0,C262/C261)</f>
        <v>0.38087445163814704</v>
      </c>
      <c r="D263" s="366">
        <f>IF(LN_IIA1=0,0,LN_IIA2/LN_IIA1)</f>
        <v>0.36401845204934274</v>
      </c>
      <c r="E263" s="367">
        <f t="shared" si="26"/>
        <v>-1.6855999588804293E-2</v>
      </c>
      <c r="F263" s="371">
        <f t="shared" si="27"/>
        <v>-4.4256052135569539E-2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696</v>
      </c>
      <c r="C264" s="369">
        <f>C18+C45+C191+C224</f>
        <v>14483</v>
      </c>
      <c r="D264" s="369">
        <f>LN_IA4+LN_IB4+LN_IF4+LN_IG3</f>
        <v>14878</v>
      </c>
      <c r="E264" s="369">
        <f t="shared" si="26"/>
        <v>395</v>
      </c>
      <c r="F264" s="415">
        <f t="shared" si="27"/>
        <v>2.7273354967893394E-2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697</v>
      </c>
      <c r="C265" s="439">
        <f>IF(C264=0,0,C266/C264)</f>
        <v>1.1723366450321067</v>
      </c>
      <c r="D265" s="439">
        <f>IF(LN_IIA4=0,0,LN_IIA6/LN_IIA4)</f>
        <v>1.1728776240086036</v>
      </c>
      <c r="E265" s="439">
        <f t="shared" si="26"/>
        <v>5.4097897649696414E-4</v>
      </c>
      <c r="F265" s="415">
        <f t="shared" si="27"/>
        <v>4.614536095834046E-4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698</v>
      </c>
      <c r="C266" s="376">
        <f>C20+C47+C193+C226</f>
        <v>16978.95163</v>
      </c>
      <c r="D266" s="376">
        <f>LN_IA6+LN_IB6+LN_IF6+LN_IG5</f>
        <v>17450.073290000004</v>
      </c>
      <c r="E266" s="376">
        <f t="shared" si="26"/>
        <v>471.12166000000434</v>
      </c>
      <c r="F266" s="415">
        <f t="shared" si="27"/>
        <v>2.7747393965572204E-2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699</v>
      </c>
      <c r="C267" s="361">
        <f>C27+C56+C203+C233</f>
        <v>332249978</v>
      </c>
      <c r="D267" s="361">
        <f>LN_IA11+LN_IB13+LN_IF14+LN_IG9</f>
        <v>397763358</v>
      </c>
      <c r="E267" s="361">
        <f t="shared" si="26"/>
        <v>65513380</v>
      </c>
      <c r="F267" s="415">
        <f t="shared" si="27"/>
        <v>0.19718099123546068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620</v>
      </c>
      <c r="C268" s="366">
        <f>IF(C261=0,0,C267/C261)</f>
        <v>0.8127792826610416</v>
      </c>
      <c r="D268" s="366">
        <f>IF(LN_IIA1=0,0,LN_IIA7/LN_IIA1)</f>
        <v>0.87191568895484084</v>
      </c>
      <c r="E268" s="367">
        <f t="shared" si="26"/>
        <v>5.9136406293799237E-2</v>
      </c>
      <c r="F268" s="371">
        <f t="shared" si="27"/>
        <v>7.2758259905673875E-2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700</v>
      </c>
      <c r="C269" s="361">
        <f>C28+C57+C204+C234</f>
        <v>137682551</v>
      </c>
      <c r="D269" s="361">
        <f>LN_IA12+LN_IB14+LN_IF15+LN_IG10</f>
        <v>160985907</v>
      </c>
      <c r="E269" s="361">
        <f t="shared" si="26"/>
        <v>23303356</v>
      </c>
      <c r="F269" s="415">
        <f t="shared" si="27"/>
        <v>0.16925424340808445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619</v>
      </c>
      <c r="C270" s="366">
        <f>IF(C267=0,0,C269/C267)</f>
        <v>0.41439446235268074</v>
      </c>
      <c r="D270" s="366">
        <f>IF(LN_IIA7=0,0,LN_IIA9/LN_IIA7)</f>
        <v>0.40472784574591208</v>
      </c>
      <c r="E270" s="367">
        <f t="shared" si="26"/>
        <v>-9.6666166067686521E-3</v>
      </c>
      <c r="F270" s="371">
        <f t="shared" si="27"/>
        <v>-2.3327089247012274E-2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701</v>
      </c>
      <c r="C271" s="353">
        <f>C261+C267</f>
        <v>741032516</v>
      </c>
      <c r="D271" s="353">
        <f>LN_IIA1+LN_IIA7</f>
        <v>853958106</v>
      </c>
      <c r="E271" s="353">
        <f t="shared" si="26"/>
        <v>112925590</v>
      </c>
      <c r="F271" s="415">
        <f t="shared" si="27"/>
        <v>0.1523895207858868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702</v>
      </c>
      <c r="C272" s="353">
        <f>C262+C269</f>
        <v>293377376</v>
      </c>
      <c r="D272" s="353">
        <f>LN_IIA2+LN_IIA9</f>
        <v>327049213</v>
      </c>
      <c r="E272" s="353">
        <f t="shared" si="26"/>
        <v>33671837</v>
      </c>
      <c r="F272" s="415">
        <f t="shared" si="27"/>
        <v>0.1147731207467068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703</v>
      </c>
      <c r="C273" s="366">
        <f>IF(C271=0,0,C272/C271)</f>
        <v>0.39590351255247752</v>
      </c>
      <c r="D273" s="366">
        <f>IF(LN_IIA11=0,0,LN_IIA12/LN_IIA11)</f>
        <v>0.38298039529353678</v>
      </c>
      <c r="E273" s="367">
        <f t="shared" si="26"/>
        <v>-1.2923117258940742E-2</v>
      </c>
      <c r="F273" s="371">
        <f t="shared" si="27"/>
        <v>-3.2642087905769127E-2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69417</v>
      </c>
      <c r="D274" s="421">
        <f>LN_IA8+LN_IB10+LN_IF11+LN_IG6</f>
        <v>70355</v>
      </c>
      <c r="E274" s="442">
        <f t="shared" si="26"/>
        <v>938</v>
      </c>
      <c r="F274" s="371">
        <f t="shared" si="27"/>
        <v>1.35125401558696E-2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704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705</v>
      </c>
      <c r="C277" s="361">
        <f>C15+C188+C221</f>
        <v>276827123</v>
      </c>
      <c r="D277" s="361">
        <f>LN_IA1+LN_IF1+LN_IG1</f>
        <v>316351890</v>
      </c>
      <c r="E277" s="361">
        <f t="shared" ref="E277:E291" si="28">D277-C277</f>
        <v>39524767</v>
      </c>
      <c r="F277" s="415">
        <f t="shared" ref="F277:F291" si="29">IF(C277=0,0,E277/C277)</f>
        <v>0.14277779782438443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706</v>
      </c>
      <c r="C278" s="361">
        <f>C16+C189+C222</f>
        <v>89799882</v>
      </c>
      <c r="D278" s="361">
        <f>LN_IA2+LN_IF2+LN_IG2</f>
        <v>93005053</v>
      </c>
      <c r="E278" s="361">
        <f t="shared" si="28"/>
        <v>3205171</v>
      </c>
      <c r="F278" s="415">
        <f t="shared" si="29"/>
        <v>3.5692374295102081E-2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707</v>
      </c>
      <c r="C279" s="366">
        <f>IF(C277=0,0,C278/C277)</f>
        <v>0.32438975280612226</v>
      </c>
      <c r="D279" s="366">
        <f>IF(D277=0,0,LN_IIB2/D277)</f>
        <v>0.29399240510306418</v>
      </c>
      <c r="E279" s="367">
        <f t="shared" si="28"/>
        <v>-3.0397347703058075E-2</v>
      </c>
      <c r="F279" s="371">
        <f t="shared" si="29"/>
        <v>-9.3706251323005363E-2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708</v>
      </c>
      <c r="C280" s="369">
        <f>C18+C191+C224</f>
        <v>8366</v>
      </c>
      <c r="D280" s="369">
        <f>LN_IA4+LN_IF4+LN_IG3</f>
        <v>9105</v>
      </c>
      <c r="E280" s="369">
        <f t="shared" si="28"/>
        <v>739</v>
      </c>
      <c r="F280" s="415">
        <f t="shared" si="29"/>
        <v>8.8333731771455898E-2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709</v>
      </c>
      <c r="C281" s="439">
        <f>IF(C280=0,0,C282/C280)</f>
        <v>1.2938625890509203</v>
      </c>
      <c r="D281" s="439">
        <f>IF(LN_IIB4=0,0,LN_IIB6/LN_IIB4)</f>
        <v>1.2538629697968149</v>
      </c>
      <c r="E281" s="439">
        <f t="shared" si="28"/>
        <v>-3.9999619254105445E-2</v>
      </c>
      <c r="F281" s="415">
        <f t="shared" si="29"/>
        <v>-3.091488972058937E-2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710</v>
      </c>
      <c r="C282" s="376">
        <f>C20+C193+C226</f>
        <v>10824.45442</v>
      </c>
      <c r="D282" s="376">
        <f>LN_IA6+LN_IF6+LN_IG5</f>
        <v>11416.422339999999</v>
      </c>
      <c r="E282" s="376">
        <f t="shared" si="28"/>
        <v>591.96791999999914</v>
      </c>
      <c r="F282" s="415">
        <f t="shared" si="29"/>
        <v>5.4688014474543759E-2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711</v>
      </c>
      <c r="C283" s="361">
        <f>C27+C203+C233</f>
        <v>138890667</v>
      </c>
      <c r="D283" s="361">
        <f>LN_IA11+LN_IF14+LN_IG9</f>
        <v>165954701</v>
      </c>
      <c r="E283" s="361">
        <f t="shared" si="28"/>
        <v>27064034</v>
      </c>
      <c r="F283" s="415">
        <f t="shared" si="29"/>
        <v>0.19485855014289766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712</v>
      </c>
      <c r="C284" s="366">
        <f>IF(C277=0,0,C283/C277)</f>
        <v>0.50172347815788265</v>
      </c>
      <c r="D284" s="366">
        <f>IF(D277=0,0,LN_IIB7/D277)</f>
        <v>0.52458893480927205</v>
      </c>
      <c r="E284" s="367">
        <f t="shared" si="28"/>
        <v>2.2865456651389393E-2</v>
      </c>
      <c r="F284" s="371">
        <f t="shared" si="29"/>
        <v>4.5573822328071473E-2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713</v>
      </c>
      <c r="C285" s="361">
        <f>C28+C204+C234</f>
        <v>35101667</v>
      </c>
      <c r="D285" s="361">
        <f>LN_IA12+LN_IF15+LN_IG10</f>
        <v>37403052</v>
      </c>
      <c r="E285" s="361">
        <f t="shared" si="28"/>
        <v>2301385</v>
      </c>
      <c r="F285" s="415">
        <f t="shared" si="29"/>
        <v>6.5563410421505056E-2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714</v>
      </c>
      <c r="C286" s="366">
        <f>IF(C283=0,0,C285/C283)</f>
        <v>0.2527287668652351</v>
      </c>
      <c r="D286" s="366">
        <f>IF(LN_IIB7=0,0,LN_IIB9/LN_IIB7)</f>
        <v>0.2253810936033683</v>
      </c>
      <c r="E286" s="367">
        <f t="shared" si="28"/>
        <v>-2.7347673261866795E-2</v>
      </c>
      <c r="F286" s="371">
        <f t="shared" si="29"/>
        <v>-0.10820957820147814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715</v>
      </c>
      <c r="C287" s="353">
        <f>C277+C283</f>
        <v>415717790</v>
      </c>
      <c r="D287" s="353">
        <f>D277+LN_IIB7</f>
        <v>482306591</v>
      </c>
      <c r="E287" s="353">
        <f t="shared" si="28"/>
        <v>66588801</v>
      </c>
      <c r="F287" s="415">
        <f t="shared" si="29"/>
        <v>0.16017789616364506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716</v>
      </c>
      <c r="C288" s="353">
        <f>C278+C285</f>
        <v>124901549</v>
      </c>
      <c r="D288" s="353">
        <f>LN_IIB2+LN_IIB9</f>
        <v>130408105</v>
      </c>
      <c r="E288" s="353">
        <f t="shared" si="28"/>
        <v>5506556</v>
      </c>
      <c r="F288" s="415">
        <f t="shared" si="29"/>
        <v>4.408717140889902E-2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717</v>
      </c>
      <c r="C289" s="366">
        <f>IF(C287=0,0,C288/C287)</f>
        <v>0.30044792887020783</v>
      </c>
      <c r="D289" s="366">
        <f>IF(LN_IIB11=0,0,LN_IIB12/LN_IIB11)</f>
        <v>0.27038424818042761</v>
      </c>
      <c r="E289" s="367">
        <f t="shared" si="28"/>
        <v>-3.0063680689780214E-2</v>
      </c>
      <c r="F289" s="371">
        <f t="shared" si="29"/>
        <v>-0.10006286547832251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48627</v>
      </c>
      <c r="D290" s="421">
        <f>LN_IA8+LN_IF11+LN_IG6</f>
        <v>49995</v>
      </c>
      <c r="E290" s="442">
        <f t="shared" si="28"/>
        <v>1368</v>
      </c>
      <c r="F290" s="371">
        <f t="shared" si="29"/>
        <v>2.8132518970942069E-2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718</v>
      </c>
      <c r="C291" s="361">
        <f>C287-C288</f>
        <v>290816241</v>
      </c>
      <c r="D291" s="429">
        <f>LN_IIB11-LN_IIB12</f>
        <v>351898486</v>
      </c>
      <c r="E291" s="353">
        <f t="shared" si="28"/>
        <v>61082245</v>
      </c>
      <c r="F291" s="415">
        <f t="shared" si="29"/>
        <v>0.21003725510639551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615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606</v>
      </c>
      <c r="C294" s="379">
        <f>IF(C18=0,0,C22/C18)</f>
        <v>6.627023223082336</v>
      </c>
      <c r="D294" s="379">
        <f>IF(LN_IA4=0,0,LN_IA8/LN_IA4)</f>
        <v>6.2230359520639151</v>
      </c>
      <c r="E294" s="379">
        <f t="shared" ref="E294:E300" si="30">D294-C294</f>
        <v>-0.40398727101842091</v>
      </c>
      <c r="F294" s="415">
        <f t="shared" ref="F294:F300" si="31">IF(C294=0,0,E294/C294)</f>
        <v>-6.0960593832130844E-2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627</v>
      </c>
      <c r="C295" s="379">
        <f>IF(C45=0,0,C51/C45)</f>
        <v>3.3987248651299655</v>
      </c>
      <c r="D295" s="379">
        <f>IF(LN_IB4=0,0,(LN_IB10)/(LN_IB4))</f>
        <v>3.5267625151567641</v>
      </c>
      <c r="E295" s="379">
        <f t="shared" si="30"/>
        <v>0.12803765002679857</v>
      </c>
      <c r="F295" s="415">
        <f t="shared" si="31"/>
        <v>3.7672260953050832E-2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642</v>
      </c>
      <c r="C296" s="379">
        <f>IF(C86=0,0,C93/C86)</f>
        <v>3.584507042253521</v>
      </c>
      <c r="D296" s="379">
        <f>IF(LN_IC4=0,0,LN_IC11/LN_IC4)</f>
        <v>3.3408071748878925</v>
      </c>
      <c r="E296" s="379">
        <f t="shared" si="30"/>
        <v>-0.24369986736562854</v>
      </c>
      <c r="F296" s="415">
        <f t="shared" si="31"/>
        <v>-6.7986996396697946E-2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4.0179007323026852</v>
      </c>
      <c r="D297" s="379">
        <f>IF(LN_ID4=0,0,LN_ID11/LN_ID4)</f>
        <v>4.0631994733377219</v>
      </c>
      <c r="E297" s="379">
        <f t="shared" si="30"/>
        <v>4.5298741035036727E-2</v>
      </c>
      <c r="F297" s="415">
        <f t="shared" si="31"/>
        <v>1.127423101094778E-2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719</v>
      </c>
      <c r="C298" s="379">
        <f>IF(C156=0,0,C163/C156)</f>
        <v>4.9255813953488374</v>
      </c>
      <c r="D298" s="379">
        <f>IF(LN_IE4=0,0,LN_IE11/LN_IE4)</f>
        <v>4.1500000000000004</v>
      </c>
      <c r="E298" s="379">
        <f t="shared" si="30"/>
        <v>-0.77558139534883708</v>
      </c>
      <c r="F298" s="415">
        <f t="shared" si="31"/>
        <v>-0.15745986779981111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2.6666666666666665</v>
      </c>
      <c r="D299" s="379">
        <f>IF(LN_IG3=0,0,LN_IG6/LN_IG3)</f>
        <v>5.1052631578947372</v>
      </c>
      <c r="E299" s="379">
        <f t="shared" si="30"/>
        <v>2.4385964912280707</v>
      </c>
      <c r="F299" s="415">
        <f t="shared" si="31"/>
        <v>0.91447368421052655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720</v>
      </c>
      <c r="C300" s="379">
        <f>IF(C264=0,0,C274/C264)</f>
        <v>4.7929986881171027</v>
      </c>
      <c r="D300" s="379">
        <f>IF(LN_IIA4=0,0,LN_IIA14/LN_IIA4)</f>
        <v>4.728794192767845</v>
      </c>
      <c r="E300" s="379">
        <f t="shared" si="30"/>
        <v>-6.4204495349257762E-2</v>
      </c>
      <c r="F300" s="415">
        <f t="shared" si="31"/>
        <v>-1.3395475260286388E-2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721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715</v>
      </c>
      <c r="C304" s="353">
        <f>C35+C66+C214+C221+C233</f>
        <v>741032516</v>
      </c>
      <c r="D304" s="353">
        <f>LN_IIA11</f>
        <v>853958106</v>
      </c>
      <c r="E304" s="353">
        <f t="shared" ref="E304:E316" si="32">D304-C304</f>
        <v>112925590</v>
      </c>
      <c r="F304" s="362">
        <f>IF(C304=0,0,E304/C304)</f>
        <v>0.1523895207858868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718</v>
      </c>
      <c r="C305" s="353">
        <f>C291</f>
        <v>290816241</v>
      </c>
      <c r="D305" s="353">
        <f>LN_IIB14</f>
        <v>351898486</v>
      </c>
      <c r="E305" s="353">
        <f t="shared" si="32"/>
        <v>61082245</v>
      </c>
      <c r="F305" s="362">
        <f>IF(C305=0,0,E305/C305)</f>
        <v>0.21003725510639551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722</v>
      </c>
      <c r="C306" s="353">
        <f>C250</f>
        <v>41281695</v>
      </c>
      <c r="D306" s="353">
        <f>LN_IH6</f>
        <v>37981069</v>
      </c>
      <c r="E306" s="353">
        <f t="shared" si="32"/>
        <v>-3300626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723</v>
      </c>
      <c r="C307" s="353">
        <f>C73-C74</f>
        <v>103541033</v>
      </c>
      <c r="D307" s="353">
        <f>LN_IB32-LN_IB33</f>
        <v>140584500</v>
      </c>
      <c r="E307" s="353">
        <f t="shared" si="32"/>
        <v>37043467</v>
      </c>
      <c r="F307" s="362">
        <f t="shared" ref="F307:F316" si="33">IF(C307=0,0,E307/C307)</f>
        <v>0.35776605589785837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724</v>
      </c>
      <c r="C308" s="353">
        <v>7533047</v>
      </c>
      <c r="D308" s="353">
        <v>9842925</v>
      </c>
      <c r="E308" s="353">
        <f t="shared" si="32"/>
        <v>2309878</v>
      </c>
      <c r="F308" s="362">
        <f t="shared" si="33"/>
        <v>0.30663262820476228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725</v>
      </c>
      <c r="C309" s="353">
        <f>C305+C307+C308+C306</f>
        <v>443172016</v>
      </c>
      <c r="D309" s="353">
        <f>LN_III2+LN_III3+LN_III4+LN_III5</f>
        <v>540306980</v>
      </c>
      <c r="E309" s="353">
        <f t="shared" si="32"/>
        <v>97134964</v>
      </c>
      <c r="F309" s="362">
        <f t="shared" si="33"/>
        <v>0.21918117681870961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726</v>
      </c>
      <c r="C310" s="353">
        <f>C304-C309</f>
        <v>297860500</v>
      </c>
      <c r="D310" s="353">
        <f>LN_III1-LN_III6</f>
        <v>313651126</v>
      </c>
      <c r="E310" s="353">
        <f t="shared" si="32"/>
        <v>15790626</v>
      </c>
      <c r="F310" s="362">
        <f t="shared" si="33"/>
        <v>5.301349457212353E-2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727</v>
      </c>
      <c r="C311" s="353">
        <f>C245</f>
        <v>2414316</v>
      </c>
      <c r="D311" s="353">
        <f>LN_IH3</f>
        <v>0</v>
      </c>
      <c r="E311" s="353">
        <f t="shared" si="32"/>
        <v>-2414316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728</v>
      </c>
      <c r="C312" s="353">
        <f>C310+C311</f>
        <v>300274816</v>
      </c>
      <c r="D312" s="353">
        <f>LN_III7+LN_III8</f>
        <v>313651126</v>
      </c>
      <c r="E312" s="353">
        <f t="shared" si="32"/>
        <v>13376310</v>
      </c>
      <c r="F312" s="362">
        <f t="shared" si="33"/>
        <v>4.4546892670479565E-2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729</v>
      </c>
      <c r="C313" s="448">
        <f>IF(C304=0,0,C312/C304)</f>
        <v>0.40521139021111457</v>
      </c>
      <c r="D313" s="448">
        <f>IF(LN_III1=0,0,LN_III9/LN_III1)</f>
        <v>0.36729099916758678</v>
      </c>
      <c r="E313" s="448">
        <f t="shared" si="32"/>
        <v>-3.792039104352779E-2</v>
      </c>
      <c r="F313" s="362">
        <f t="shared" si="33"/>
        <v>-9.3581750068208402E-2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687</v>
      </c>
      <c r="C314" s="353">
        <f>C306*C313</f>
        <v>16727813.021221217</v>
      </c>
      <c r="D314" s="353">
        <f>D313*LN_III5</f>
        <v>13950104.782463057</v>
      </c>
      <c r="E314" s="353">
        <f t="shared" si="32"/>
        <v>-2777708.2387581598</v>
      </c>
      <c r="F314" s="362">
        <f t="shared" si="33"/>
        <v>-0.16605328115721446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690</v>
      </c>
      <c r="C315" s="353">
        <f>(C214*C313)-C215</f>
        <v>14445339.939891346</v>
      </c>
      <c r="D315" s="353">
        <f>D313*LN_IH8-LN_IH9</f>
        <v>14186010.615247563</v>
      </c>
      <c r="E315" s="353">
        <f t="shared" si="32"/>
        <v>-259329.32464378327</v>
      </c>
      <c r="F315" s="362">
        <f t="shared" si="33"/>
        <v>-1.7952455651641375E-2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730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731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732</v>
      </c>
      <c r="C318" s="353">
        <f>C314+C315+C316</f>
        <v>31173152.961112563</v>
      </c>
      <c r="D318" s="353">
        <f>D314+D315+D316</f>
        <v>28136115.397710621</v>
      </c>
      <c r="E318" s="353">
        <f>D318-C318</f>
        <v>-3037037.5634019412</v>
      </c>
      <c r="F318" s="362">
        <f>IF(C318=0,0,E318/C318)</f>
        <v>-9.7424779815841578E-2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733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7509646.5407188712</v>
      </c>
      <c r="D322" s="353">
        <f>LN_ID22</f>
        <v>5099565.1275680391</v>
      </c>
      <c r="E322" s="353">
        <f>LN_IV2-C322</f>
        <v>-2410081.4131508321</v>
      </c>
      <c r="F322" s="362">
        <f>IF(C322=0,0,E322/C322)</f>
        <v>-0.3209314047049841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719</v>
      </c>
      <c r="C323" s="353">
        <f>C162+C176</f>
        <v>920131.34931956255</v>
      </c>
      <c r="D323" s="353">
        <f>LN_IE10+LN_IE22</f>
        <v>-13963.017903490831</v>
      </c>
      <c r="E323" s="353">
        <f>LN_IV3-C323</f>
        <v>-934094.36722305336</v>
      </c>
      <c r="F323" s="362">
        <f>IF(C323=0,0,E323/C323)</f>
        <v>-1.0151750268196127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734</v>
      </c>
      <c r="C324" s="353">
        <f>C92+C106</f>
        <v>11273143.386209458</v>
      </c>
      <c r="D324" s="353">
        <f>LN_IC10+LN_IC22</f>
        <v>8534063.6274350099</v>
      </c>
      <c r="E324" s="353">
        <f>LN_IV1-C324</f>
        <v>-2739079.7587744482</v>
      </c>
      <c r="F324" s="362">
        <f>IF(C324=0,0,E324/C324)</f>
        <v>-0.24297391285958361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735</v>
      </c>
      <c r="C325" s="429">
        <f>C324+C322+C323</f>
        <v>19702921.276247893</v>
      </c>
      <c r="D325" s="429">
        <f>LN_IV1+LN_IV2+LN_IV3</f>
        <v>13619665.73709956</v>
      </c>
      <c r="E325" s="353">
        <f>LN_IV4-C325</f>
        <v>-6083255.5391483326</v>
      </c>
      <c r="F325" s="362">
        <f>IF(C325=0,0,E325/C325)</f>
        <v>-0.30874891361829526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736</v>
      </c>
      <c r="B327" s="446" t="s">
        <v>737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738</v>
      </c>
      <c r="C329" s="431">
        <v>13809607</v>
      </c>
      <c r="D329" s="431">
        <v>14007490</v>
      </c>
      <c r="E329" s="431">
        <f t="shared" ref="E329:E335" si="34">D329-C329</f>
        <v>197883</v>
      </c>
      <c r="F329" s="462">
        <f t="shared" ref="F329:F335" si="35">IF(C329=0,0,E329/C329)</f>
        <v>1.4329372298574464E-2</v>
      </c>
    </row>
    <row r="330" spans="1:22" s="333" customFormat="1" ht="11.25" customHeight="1" x14ac:dyDescent="0.2">
      <c r="A330" s="364">
        <v>2</v>
      </c>
      <c r="B330" s="360" t="s">
        <v>739</v>
      </c>
      <c r="C330" s="429">
        <v>30788570</v>
      </c>
      <c r="D330" s="429">
        <v>23544847</v>
      </c>
      <c r="E330" s="431">
        <f t="shared" si="34"/>
        <v>-7243723</v>
      </c>
      <c r="F330" s="463">
        <f t="shared" si="35"/>
        <v>-0.23527312246070539</v>
      </c>
    </row>
    <row r="331" spans="1:22" s="333" customFormat="1" ht="11.25" customHeight="1" x14ac:dyDescent="0.2">
      <c r="A331" s="339">
        <v>3</v>
      </c>
      <c r="B331" s="360" t="s">
        <v>740</v>
      </c>
      <c r="C331" s="429">
        <v>326580432</v>
      </c>
      <c r="D331" s="429">
        <v>350594448</v>
      </c>
      <c r="E331" s="431">
        <f t="shared" si="34"/>
        <v>24014016</v>
      </c>
      <c r="F331" s="462">
        <f t="shared" si="35"/>
        <v>7.3531705047165843E-2</v>
      </c>
    </row>
    <row r="332" spans="1:22" s="333" customFormat="1" ht="11.25" customHeight="1" x14ac:dyDescent="0.2">
      <c r="A332" s="364">
        <v>4</v>
      </c>
      <c r="B332" s="360" t="s">
        <v>741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742</v>
      </c>
      <c r="C333" s="429">
        <v>741032516</v>
      </c>
      <c r="D333" s="429">
        <v>853958106</v>
      </c>
      <c r="E333" s="431">
        <f t="shared" si="34"/>
        <v>112925590</v>
      </c>
      <c r="F333" s="462">
        <f t="shared" si="35"/>
        <v>0.1523895207858868</v>
      </c>
    </row>
    <row r="334" spans="1:22" s="333" customFormat="1" ht="11.25" customHeight="1" x14ac:dyDescent="0.2">
      <c r="A334" s="339">
        <v>6</v>
      </c>
      <c r="B334" s="360" t="s">
        <v>743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744</v>
      </c>
      <c r="C335" s="429">
        <v>41281695</v>
      </c>
      <c r="D335" s="429">
        <v>37981069</v>
      </c>
      <c r="E335" s="429">
        <f t="shared" si="34"/>
        <v>-3300626</v>
      </c>
      <c r="F335" s="462">
        <f t="shared" si="35"/>
        <v>-7.995374220947081E-2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FILING&amp;RNORWALK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597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745</v>
      </c>
      <c r="B5" s="710"/>
      <c r="C5" s="710"/>
      <c r="D5" s="710"/>
      <c r="E5" s="710"/>
    </row>
    <row r="6" spans="1:5" s="338" customFormat="1" ht="15.75" customHeight="1" x14ac:dyDescent="0.25">
      <c r="A6" s="710" t="s">
        <v>746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747</v>
      </c>
      <c r="D9" s="494" t="s">
        <v>748</v>
      </c>
      <c r="E9" s="495" t="s">
        <v>749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750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751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627</v>
      </c>
      <c r="C14" s="513">
        <v>131955415</v>
      </c>
      <c r="D14" s="513">
        <v>139842858</v>
      </c>
      <c r="E14" s="514">
        <f t="shared" ref="E14:E22" si="0">D14-C14</f>
        <v>7887443</v>
      </c>
    </row>
    <row r="15" spans="1:5" s="506" customFormat="1" x14ac:dyDescent="0.2">
      <c r="A15" s="512">
        <v>2</v>
      </c>
      <c r="B15" s="511" t="s">
        <v>606</v>
      </c>
      <c r="C15" s="513">
        <v>218145148</v>
      </c>
      <c r="D15" s="515">
        <v>242274230</v>
      </c>
      <c r="E15" s="514">
        <f t="shared" si="0"/>
        <v>24129082</v>
      </c>
    </row>
    <row r="16" spans="1:5" s="506" customFormat="1" x14ac:dyDescent="0.2">
      <c r="A16" s="512">
        <v>3</v>
      </c>
      <c r="B16" s="511" t="s">
        <v>752</v>
      </c>
      <c r="C16" s="513">
        <v>58506552</v>
      </c>
      <c r="D16" s="515">
        <v>73562766</v>
      </c>
      <c r="E16" s="514">
        <f t="shared" si="0"/>
        <v>15056214</v>
      </c>
    </row>
    <row r="17" spans="1:5" s="506" customFormat="1" x14ac:dyDescent="0.2">
      <c r="A17" s="512">
        <v>4</v>
      </c>
      <c r="B17" s="511" t="s">
        <v>114</v>
      </c>
      <c r="C17" s="513">
        <v>52751440</v>
      </c>
      <c r="D17" s="515">
        <v>72509396</v>
      </c>
      <c r="E17" s="514">
        <f t="shared" si="0"/>
        <v>19757956</v>
      </c>
    </row>
    <row r="18" spans="1:5" s="506" customFormat="1" x14ac:dyDescent="0.2">
      <c r="A18" s="512">
        <v>5</v>
      </c>
      <c r="B18" s="511" t="s">
        <v>719</v>
      </c>
      <c r="C18" s="513">
        <v>5755112</v>
      </c>
      <c r="D18" s="515">
        <v>1053370</v>
      </c>
      <c r="E18" s="514">
        <f t="shared" si="0"/>
        <v>-4701742</v>
      </c>
    </row>
    <row r="19" spans="1:5" s="506" customFormat="1" x14ac:dyDescent="0.2">
      <c r="A19" s="512">
        <v>6</v>
      </c>
      <c r="B19" s="511" t="s">
        <v>418</v>
      </c>
      <c r="C19" s="513">
        <v>175423</v>
      </c>
      <c r="D19" s="515">
        <v>514894</v>
      </c>
      <c r="E19" s="514">
        <f t="shared" si="0"/>
        <v>339471</v>
      </c>
    </row>
    <row r="20" spans="1:5" s="506" customFormat="1" x14ac:dyDescent="0.2">
      <c r="A20" s="512">
        <v>7</v>
      </c>
      <c r="B20" s="511" t="s">
        <v>734</v>
      </c>
      <c r="C20" s="513">
        <v>10004655</v>
      </c>
      <c r="D20" s="515">
        <v>5664173</v>
      </c>
      <c r="E20" s="514">
        <f t="shared" si="0"/>
        <v>-4340482</v>
      </c>
    </row>
    <row r="21" spans="1:5" s="506" customFormat="1" x14ac:dyDescent="0.2">
      <c r="A21" s="512"/>
      <c r="B21" s="516" t="s">
        <v>753</v>
      </c>
      <c r="C21" s="517">
        <f>SUM(C15+C16+C19)</f>
        <v>276827123</v>
      </c>
      <c r="D21" s="517">
        <f>SUM(D15+D16+D19)</f>
        <v>316351890</v>
      </c>
      <c r="E21" s="517">
        <f t="shared" si="0"/>
        <v>39524767</v>
      </c>
    </row>
    <row r="22" spans="1:5" s="506" customFormat="1" x14ac:dyDescent="0.2">
      <c r="A22" s="512"/>
      <c r="B22" s="516" t="s">
        <v>693</v>
      </c>
      <c r="C22" s="517">
        <f>SUM(C14+C21)</f>
        <v>408782538</v>
      </c>
      <c r="D22" s="517">
        <f>SUM(D14+D21)</f>
        <v>456194748</v>
      </c>
      <c r="E22" s="517">
        <f t="shared" si="0"/>
        <v>47412210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754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627</v>
      </c>
      <c r="C25" s="513">
        <v>193359311</v>
      </c>
      <c r="D25" s="513">
        <v>231808657</v>
      </c>
      <c r="E25" s="514">
        <f t="shared" ref="E25:E33" si="1">D25-C25</f>
        <v>38449346</v>
      </c>
    </row>
    <row r="26" spans="1:5" s="506" customFormat="1" x14ac:dyDescent="0.2">
      <c r="A26" s="512">
        <v>2</v>
      </c>
      <c r="B26" s="511" t="s">
        <v>606</v>
      </c>
      <c r="C26" s="513">
        <v>98994847</v>
      </c>
      <c r="D26" s="515">
        <v>112935784</v>
      </c>
      <c r="E26" s="514">
        <f t="shared" si="1"/>
        <v>13940937</v>
      </c>
    </row>
    <row r="27" spans="1:5" s="506" customFormat="1" x14ac:dyDescent="0.2">
      <c r="A27" s="512">
        <v>3</v>
      </c>
      <c r="B27" s="511" t="s">
        <v>752</v>
      </c>
      <c r="C27" s="513">
        <v>39537486</v>
      </c>
      <c r="D27" s="515">
        <v>52661132</v>
      </c>
      <c r="E27" s="514">
        <f t="shared" si="1"/>
        <v>13123646</v>
      </c>
    </row>
    <row r="28" spans="1:5" s="506" customFormat="1" x14ac:dyDescent="0.2">
      <c r="A28" s="512">
        <v>4</v>
      </c>
      <c r="B28" s="511" t="s">
        <v>114</v>
      </c>
      <c r="C28" s="513">
        <v>35764665</v>
      </c>
      <c r="D28" s="515">
        <v>52188301</v>
      </c>
      <c r="E28" s="514">
        <f t="shared" si="1"/>
        <v>16423636</v>
      </c>
    </row>
    <row r="29" spans="1:5" s="506" customFormat="1" x14ac:dyDescent="0.2">
      <c r="A29" s="512">
        <v>5</v>
      </c>
      <c r="B29" s="511" t="s">
        <v>719</v>
      </c>
      <c r="C29" s="513">
        <v>3772821</v>
      </c>
      <c r="D29" s="515">
        <v>472831</v>
      </c>
      <c r="E29" s="514">
        <f t="shared" si="1"/>
        <v>-3299990</v>
      </c>
    </row>
    <row r="30" spans="1:5" s="506" customFormat="1" x14ac:dyDescent="0.2">
      <c r="A30" s="512">
        <v>6</v>
      </c>
      <c r="B30" s="511" t="s">
        <v>418</v>
      </c>
      <c r="C30" s="513">
        <v>358334</v>
      </c>
      <c r="D30" s="515">
        <v>357785</v>
      </c>
      <c r="E30" s="514">
        <f t="shared" si="1"/>
        <v>-549</v>
      </c>
    </row>
    <row r="31" spans="1:5" s="506" customFormat="1" x14ac:dyDescent="0.2">
      <c r="A31" s="512">
        <v>7</v>
      </c>
      <c r="B31" s="511" t="s">
        <v>734</v>
      </c>
      <c r="C31" s="514">
        <v>23606244</v>
      </c>
      <c r="D31" s="518">
        <v>24549726</v>
      </c>
      <c r="E31" s="514">
        <f t="shared" si="1"/>
        <v>943482</v>
      </c>
    </row>
    <row r="32" spans="1:5" s="506" customFormat="1" x14ac:dyDescent="0.2">
      <c r="A32" s="512"/>
      <c r="B32" s="516" t="s">
        <v>755</v>
      </c>
      <c r="C32" s="517">
        <f>SUM(C26+C27+C30)</f>
        <v>138890667</v>
      </c>
      <c r="D32" s="517">
        <f>SUM(D26+D27+D30)</f>
        <v>165954701</v>
      </c>
      <c r="E32" s="517">
        <f t="shared" si="1"/>
        <v>27064034</v>
      </c>
    </row>
    <row r="33" spans="1:5" s="506" customFormat="1" x14ac:dyDescent="0.2">
      <c r="A33" s="512"/>
      <c r="B33" s="516" t="s">
        <v>699</v>
      </c>
      <c r="C33" s="517">
        <f>SUM(C25+C32)</f>
        <v>332249978</v>
      </c>
      <c r="D33" s="517">
        <f>SUM(D25+D32)</f>
        <v>397763358</v>
      </c>
      <c r="E33" s="517">
        <f t="shared" si="1"/>
        <v>65513380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624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756</v>
      </c>
      <c r="C36" s="514">
        <f t="shared" ref="C36:D42" si="2">C14+C25</f>
        <v>325314726</v>
      </c>
      <c r="D36" s="514">
        <f t="shared" si="2"/>
        <v>371651515</v>
      </c>
      <c r="E36" s="514">
        <f t="shared" ref="E36:E44" si="3">D36-C36</f>
        <v>46336789</v>
      </c>
    </row>
    <row r="37" spans="1:5" s="506" customFormat="1" x14ac:dyDescent="0.2">
      <c r="A37" s="512">
        <v>2</v>
      </c>
      <c r="B37" s="511" t="s">
        <v>757</v>
      </c>
      <c r="C37" s="514">
        <f t="shared" si="2"/>
        <v>317139995</v>
      </c>
      <c r="D37" s="514">
        <f t="shared" si="2"/>
        <v>355210014</v>
      </c>
      <c r="E37" s="514">
        <f t="shared" si="3"/>
        <v>38070019</v>
      </c>
    </row>
    <row r="38" spans="1:5" s="506" customFormat="1" x14ac:dyDescent="0.2">
      <c r="A38" s="512">
        <v>3</v>
      </c>
      <c r="B38" s="511" t="s">
        <v>758</v>
      </c>
      <c r="C38" s="514">
        <f t="shared" si="2"/>
        <v>98044038</v>
      </c>
      <c r="D38" s="514">
        <f t="shared" si="2"/>
        <v>126223898</v>
      </c>
      <c r="E38" s="514">
        <f t="shared" si="3"/>
        <v>28179860</v>
      </c>
    </row>
    <row r="39" spans="1:5" s="506" customFormat="1" x14ac:dyDescent="0.2">
      <c r="A39" s="512">
        <v>4</v>
      </c>
      <c r="B39" s="511" t="s">
        <v>759</v>
      </c>
      <c r="C39" s="514">
        <f t="shared" si="2"/>
        <v>88516105</v>
      </c>
      <c r="D39" s="514">
        <f t="shared" si="2"/>
        <v>124697697</v>
      </c>
      <c r="E39" s="514">
        <f t="shared" si="3"/>
        <v>36181592</v>
      </c>
    </row>
    <row r="40" spans="1:5" s="506" customFormat="1" x14ac:dyDescent="0.2">
      <c r="A40" s="512">
        <v>5</v>
      </c>
      <c r="B40" s="511" t="s">
        <v>760</v>
      </c>
      <c r="C40" s="514">
        <f t="shared" si="2"/>
        <v>9527933</v>
      </c>
      <c r="D40" s="514">
        <f t="shared" si="2"/>
        <v>1526201</v>
      </c>
      <c r="E40" s="514">
        <f t="shared" si="3"/>
        <v>-8001732</v>
      </c>
    </row>
    <row r="41" spans="1:5" s="506" customFormat="1" x14ac:dyDescent="0.2">
      <c r="A41" s="512">
        <v>6</v>
      </c>
      <c r="B41" s="511" t="s">
        <v>761</v>
      </c>
      <c r="C41" s="514">
        <f t="shared" si="2"/>
        <v>533757</v>
      </c>
      <c r="D41" s="514">
        <f t="shared" si="2"/>
        <v>872679</v>
      </c>
      <c r="E41" s="514">
        <f t="shared" si="3"/>
        <v>338922</v>
      </c>
    </row>
    <row r="42" spans="1:5" s="506" customFormat="1" x14ac:dyDescent="0.2">
      <c r="A42" s="512">
        <v>7</v>
      </c>
      <c r="B42" s="511" t="s">
        <v>762</v>
      </c>
      <c r="C42" s="514">
        <f t="shared" si="2"/>
        <v>33610899</v>
      </c>
      <c r="D42" s="514">
        <f t="shared" si="2"/>
        <v>30213899</v>
      </c>
      <c r="E42" s="514">
        <f t="shared" si="3"/>
        <v>-3397000</v>
      </c>
    </row>
    <row r="43" spans="1:5" s="506" customFormat="1" x14ac:dyDescent="0.2">
      <c r="A43" s="512"/>
      <c r="B43" s="516" t="s">
        <v>763</v>
      </c>
      <c r="C43" s="517">
        <f>SUM(C37+C38+C41)</f>
        <v>415717790</v>
      </c>
      <c r="D43" s="517">
        <f>SUM(D37+D38+D41)</f>
        <v>482306591</v>
      </c>
      <c r="E43" s="517">
        <f t="shared" si="3"/>
        <v>66588801</v>
      </c>
    </row>
    <row r="44" spans="1:5" s="506" customFormat="1" x14ac:dyDescent="0.2">
      <c r="A44" s="512"/>
      <c r="B44" s="516" t="s">
        <v>701</v>
      </c>
      <c r="C44" s="517">
        <f>SUM(C36+C43)</f>
        <v>741032516</v>
      </c>
      <c r="D44" s="517">
        <f>SUM(D36+D43)</f>
        <v>853958106</v>
      </c>
      <c r="E44" s="517">
        <f t="shared" si="3"/>
        <v>112925590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764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627</v>
      </c>
      <c r="C47" s="513">
        <v>65894943</v>
      </c>
      <c r="D47" s="513">
        <v>73058253</v>
      </c>
      <c r="E47" s="514">
        <f t="shared" ref="E47:E55" si="4">D47-C47</f>
        <v>7163310</v>
      </c>
    </row>
    <row r="48" spans="1:5" s="506" customFormat="1" x14ac:dyDescent="0.2">
      <c r="A48" s="512">
        <v>2</v>
      </c>
      <c r="B48" s="511" t="s">
        <v>606</v>
      </c>
      <c r="C48" s="513">
        <v>74017104</v>
      </c>
      <c r="D48" s="515">
        <v>74279977</v>
      </c>
      <c r="E48" s="514">
        <f t="shared" si="4"/>
        <v>262873</v>
      </c>
    </row>
    <row r="49" spans="1:5" s="506" customFormat="1" x14ac:dyDescent="0.2">
      <c r="A49" s="512">
        <v>3</v>
      </c>
      <c r="B49" s="511" t="s">
        <v>752</v>
      </c>
      <c r="C49" s="513">
        <v>15708133</v>
      </c>
      <c r="D49" s="515">
        <v>18588029</v>
      </c>
      <c r="E49" s="514">
        <f t="shared" si="4"/>
        <v>2879896</v>
      </c>
    </row>
    <row r="50" spans="1:5" s="506" customFormat="1" x14ac:dyDescent="0.2">
      <c r="A50" s="512">
        <v>4</v>
      </c>
      <c r="B50" s="511" t="s">
        <v>114</v>
      </c>
      <c r="C50" s="513">
        <v>13969936</v>
      </c>
      <c r="D50" s="515">
        <v>18227494</v>
      </c>
      <c r="E50" s="514">
        <f t="shared" si="4"/>
        <v>4257558</v>
      </c>
    </row>
    <row r="51" spans="1:5" s="506" customFormat="1" x14ac:dyDescent="0.2">
      <c r="A51" s="512">
        <v>5</v>
      </c>
      <c r="B51" s="511" t="s">
        <v>719</v>
      </c>
      <c r="C51" s="513">
        <v>1738197</v>
      </c>
      <c r="D51" s="515">
        <v>360535</v>
      </c>
      <c r="E51" s="514">
        <f t="shared" si="4"/>
        <v>-1377662</v>
      </c>
    </row>
    <row r="52" spans="1:5" s="506" customFormat="1" x14ac:dyDescent="0.2">
      <c r="A52" s="512">
        <v>6</v>
      </c>
      <c r="B52" s="511" t="s">
        <v>418</v>
      </c>
      <c r="C52" s="513">
        <v>74645</v>
      </c>
      <c r="D52" s="515">
        <v>137047</v>
      </c>
      <c r="E52" s="514">
        <f t="shared" si="4"/>
        <v>62402</v>
      </c>
    </row>
    <row r="53" spans="1:5" s="506" customFormat="1" x14ac:dyDescent="0.2">
      <c r="A53" s="512">
        <v>7</v>
      </c>
      <c r="B53" s="511" t="s">
        <v>734</v>
      </c>
      <c r="C53" s="513">
        <v>864294</v>
      </c>
      <c r="D53" s="515">
        <v>233862</v>
      </c>
      <c r="E53" s="514">
        <f t="shared" si="4"/>
        <v>-630432</v>
      </c>
    </row>
    <row r="54" spans="1:5" s="506" customFormat="1" x14ac:dyDescent="0.2">
      <c r="A54" s="512"/>
      <c r="B54" s="516" t="s">
        <v>765</v>
      </c>
      <c r="C54" s="517">
        <f>SUM(C48+C49+C52)</f>
        <v>89799882</v>
      </c>
      <c r="D54" s="517">
        <f>SUM(D48+D49+D52)</f>
        <v>93005053</v>
      </c>
      <c r="E54" s="517">
        <f t="shared" si="4"/>
        <v>3205171</v>
      </c>
    </row>
    <row r="55" spans="1:5" s="506" customFormat="1" x14ac:dyDescent="0.2">
      <c r="A55" s="512"/>
      <c r="B55" s="516" t="s">
        <v>694</v>
      </c>
      <c r="C55" s="517">
        <f>SUM(C47+C54)</f>
        <v>155694825</v>
      </c>
      <c r="D55" s="517">
        <f>SUM(D47+D54)</f>
        <v>166063306</v>
      </c>
      <c r="E55" s="517">
        <f t="shared" si="4"/>
        <v>10368481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766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627</v>
      </c>
      <c r="C58" s="513">
        <v>102580884</v>
      </c>
      <c r="D58" s="513">
        <v>123582855</v>
      </c>
      <c r="E58" s="514">
        <f t="shared" ref="E58:E66" si="5">D58-C58</f>
        <v>21001971</v>
      </c>
    </row>
    <row r="59" spans="1:5" s="506" customFormat="1" x14ac:dyDescent="0.2">
      <c r="A59" s="512">
        <v>2</v>
      </c>
      <c r="B59" s="511" t="s">
        <v>606</v>
      </c>
      <c r="C59" s="513">
        <v>25486345</v>
      </c>
      <c r="D59" s="515">
        <v>23751858</v>
      </c>
      <c r="E59" s="514">
        <f t="shared" si="5"/>
        <v>-1734487</v>
      </c>
    </row>
    <row r="60" spans="1:5" s="506" customFormat="1" x14ac:dyDescent="0.2">
      <c r="A60" s="512">
        <v>3</v>
      </c>
      <c r="B60" s="511" t="s">
        <v>752</v>
      </c>
      <c r="C60" s="513">
        <f>C61+C62</f>
        <v>9575088</v>
      </c>
      <c r="D60" s="515">
        <f>D61+D62</f>
        <v>13586862</v>
      </c>
      <c r="E60" s="514">
        <f t="shared" si="5"/>
        <v>4011774</v>
      </c>
    </row>
    <row r="61" spans="1:5" s="506" customFormat="1" x14ac:dyDescent="0.2">
      <c r="A61" s="512">
        <v>4</v>
      </c>
      <c r="B61" s="511" t="s">
        <v>114</v>
      </c>
      <c r="C61" s="513">
        <v>8956356</v>
      </c>
      <c r="D61" s="515">
        <v>13444714</v>
      </c>
      <c r="E61" s="514">
        <f t="shared" si="5"/>
        <v>4488358</v>
      </c>
    </row>
    <row r="62" spans="1:5" s="506" customFormat="1" x14ac:dyDescent="0.2">
      <c r="A62" s="512">
        <v>5</v>
      </c>
      <c r="B62" s="511" t="s">
        <v>719</v>
      </c>
      <c r="C62" s="513">
        <v>618732</v>
      </c>
      <c r="D62" s="515">
        <v>142148</v>
      </c>
      <c r="E62" s="514">
        <f t="shared" si="5"/>
        <v>-476584</v>
      </c>
    </row>
    <row r="63" spans="1:5" s="506" customFormat="1" x14ac:dyDescent="0.2">
      <c r="A63" s="512">
        <v>6</v>
      </c>
      <c r="B63" s="511" t="s">
        <v>418</v>
      </c>
      <c r="C63" s="513">
        <v>40234</v>
      </c>
      <c r="D63" s="515">
        <v>64332</v>
      </c>
      <c r="E63" s="514">
        <f t="shared" si="5"/>
        <v>24098</v>
      </c>
    </row>
    <row r="64" spans="1:5" s="506" customFormat="1" x14ac:dyDescent="0.2">
      <c r="A64" s="512">
        <v>7</v>
      </c>
      <c r="B64" s="511" t="s">
        <v>734</v>
      </c>
      <c r="C64" s="513">
        <v>1670341</v>
      </c>
      <c r="D64" s="515">
        <v>1444995</v>
      </c>
      <c r="E64" s="514">
        <f t="shared" si="5"/>
        <v>-225346</v>
      </c>
    </row>
    <row r="65" spans="1:5" s="506" customFormat="1" x14ac:dyDescent="0.2">
      <c r="A65" s="512"/>
      <c r="B65" s="516" t="s">
        <v>767</v>
      </c>
      <c r="C65" s="517">
        <f>SUM(C59+C60+C63)</f>
        <v>35101667</v>
      </c>
      <c r="D65" s="517">
        <f>SUM(D59+D60+D63)</f>
        <v>37403052</v>
      </c>
      <c r="E65" s="517">
        <f t="shared" si="5"/>
        <v>2301385</v>
      </c>
    </row>
    <row r="66" spans="1:5" s="506" customFormat="1" x14ac:dyDescent="0.2">
      <c r="A66" s="512"/>
      <c r="B66" s="516" t="s">
        <v>700</v>
      </c>
      <c r="C66" s="517">
        <f>SUM(C58+C65)</f>
        <v>137682551</v>
      </c>
      <c r="D66" s="517">
        <f>SUM(D58+D65)</f>
        <v>160985907</v>
      </c>
      <c r="E66" s="517">
        <f t="shared" si="5"/>
        <v>23303356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625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756</v>
      </c>
      <c r="C69" s="514">
        <f t="shared" ref="C69:D75" si="6">C47+C58</f>
        <v>168475827</v>
      </c>
      <c r="D69" s="514">
        <f t="shared" si="6"/>
        <v>196641108</v>
      </c>
      <c r="E69" s="514">
        <f t="shared" ref="E69:E77" si="7">D69-C69</f>
        <v>28165281</v>
      </c>
    </row>
    <row r="70" spans="1:5" s="506" customFormat="1" x14ac:dyDescent="0.2">
      <c r="A70" s="512">
        <v>2</v>
      </c>
      <c r="B70" s="511" t="s">
        <v>757</v>
      </c>
      <c r="C70" s="514">
        <f t="shared" si="6"/>
        <v>99503449</v>
      </c>
      <c r="D70" s="514">
        <f t="shared" si="6"/>
        <v>98031835</v>
      </c>
      <c r="E70" s="514">
        <f t="shared" si="7"/>
        <v>-1471614</v>
      </c>
    </row>
    <row r="71" spans="1:5" s="506" customFormat="1" x14ac:dyDescent="0.2">
      <c r="A71" s="512">
        <v>3</v>
      </c>
      <c r="B71" s="511" t="s">
        <v>758</v>
      </c>
      <c r="C71" s="514">
        <f t="shared" si="6"/>
        <v>25283221</v>
      </c>
      <c r="D71" s="514">
        <f t="shared" si="6"/>
        <v>32174891</v>
      </c>
      <c r="E71" s="514">
        <f t="shared" si="7"/>
        <v>6891670</v>
      </c>
    </row>
    <row r="72" spans="1:5" s="506" customFormat="1" x14ac:dyDescent="0.2">
      <c r="A72" s="512">
        <v>4</v>
      </c>
      <c r="B72" s="511" t="s">
        <v>759</v>
      </c>
      <c r="C72" s="514">
        <f t="shared" si="6"/>
        <v>22926292</v>
      </c>
      <c r="D72" s="514">
        <f t="shared" si="6"/>
        <v>31672208</v>
      </c>
      <c r="E72" s="514">
        <f t="shared" si="7"/>
        <v>8745916</v>
      </c>
    </row>
    <row r="73" spans="1:5" s="506" customFormat="1" x14ac:dyDescent="0.2">
      <c r="A73" s="512">
        <v>5</v>
      </c>
      <c r="B73" s="511" t="s">
        <v>760</v>
      </c>
      <c r="C73" s="514">
        <f t="shared" si="6"/>
        <v>2356929</v>
      </c>
      <c r="D73" s="514">
        <f t="shared" si="6"/>
        <v>502683</v>
      </c>
      <c r="E73" s="514">
        <f t="shared" si="7"/>
        <v>-1854246</v>
      </c>
    </row>
    <row r="74" spans="1:5" s="506" customFormat="1" x14ac:dyDescent="0.2">
      <c r="A74" s="512">
        <v>6</v>
      </c>
      <c r="B74" s="511" t="s">
        <v>761</v>
      </c>
      <c r="C74" s="514">
        <f t="shared" si="6"/>
        <v>114879</v>
      </c>
      <c r="D74" s="514">
        <f t="shared" si="6"/>
        <v>201379</v>
      </c>
      <c r="E74" s="514">
        <f t="shared" si="7"/>
        <v>86500</v>
      </c>
    </row>
    <row r="75" spans="1:5" s="506" customFormat="1" x14ac:dyDescent="0.2">
      <c r="A75" s="512">
        <v>7</v>
      </c>
      <c r="B75" s="511" t="s">
        <v>762</v>
      </c>
      <c r="C75" s="514">
        <f t="shared" si="6"/>
        <v>2534635</v>
      </c>
      <c r="D75" s="514">
        <f t="shared" si="6"/>
        <v>1678857</v>
      </c>
      <c r="E75" s="514">
        <f t="shared" si="7"/>
        <v>-855778</v>
      </c>
    </row>
    <row r="76" spans="1:5" s="506" customFormat="1" x14ac:dyDescent="0.2">
      <c r="A76" s="512"/>
      <c r="B76" s="516" t="s">
        <v>768</v>
      </c>
      <c r="C76" s="517">
        <f>SUM(C70+C71+C74)</f>
        <v>124901549</v>
      </c>
      <c r="D76" s="517">
        <f>SUM(D70+D71+D74)</f>
        <v>130408105</v>
      </c>
      <c r="E76" s="517">
        <f t="shared" si="7"/>
        <v>5506556</v>
      </c>
    </row>
    <row r="77" spans="1:5" s="506" customFormat="1" x14ac:dyDescent="0.2">
      <c r="A77" s="512"/>
      <c r="B77" s="516" t="s">
        <v>702</v>
      </c>
      <c r="C77" s="517">
        <f>SUM(C69+C76)</f>
        <v>293377376</v>
      </c>
      <c r="D77" s="517">
        <f>SUM(D69+D76)</f>
        <v>327049213</v>
      </c>
      <c r="E77" s="517">
        <f t="shared" si="7"/>
        <v>33671837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769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770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627</v>
      </c>
      <c r="C83" s="523">
        <f t="shared" ref="C83:D89" si="8">IF(C$44=0,0,C14/C$44)</f>
        <v>0.17806966921273398</v>
      </c>
      <c r="D83" s="523">
        <f t="shared" si="8"/>
        <v>0.16375845257214527</v>
      </c>
      <c r="E83" s="523">
        <f t="shared" ref="E83:E91" si="9">D83-C83</f>
        <v>-1.4311216640588709E-2</v>
      </c>
    </row>
    <row r="84" spans="1:5" s="506" customFormat="1" x14ac:dyDescent="0.2">
      <c r="A84" s="512">
        <v>2</v>
      </c>
      <c r="B84" s="511" t="s">
        <v>606</v>
      </c>
      <c r="C84" s="523">
        <f t="shared" si="8"/>
        <v>0.29437999452105013</v>
      </c>
      <c r="D84" s="523">
        <f t="shared" si="8"/>
        <v>0.28370739536021222</v>
      </c>
      <c r="E84" s="523">
        <f t="shared" si="9"/>
        <v>-1.0672599160837903E-2</v>
      </c>
    </row>
    <row r="85" spans="1:5" s="506" customFormat="1" x14ac:dyDescent="0.2">
      <c r="A85" s="512">
        <v>3</v>
      </c>
      <c r="B85" s="511" t="s">
        <v>752</v>
      </c>
      <c r="C85" s="523">
        <f t="shared" si="8"/>
        <v>7.8952745981797107E-2</v>
      </c>
      <c r="D85" s="523">
        <f t="shared" si="8"/>
        <v>8.6143296120898938E-2</v>
      </c>
      <c r="E85" s="523">
        <f t="shared" si="9"/>
        <v>7.1905501391018312E-3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7.1186403917530658E-2</v>
      </c>
      <c r="D86" s="523">
        <f t="shared" si="8"/>
        <v>8.4909781276787832E-2</v>
      </c>
      <c r="E86" s="523">
        <f t="shared" si="9"/>
        <v>1.3723377359257175E-2</v>
      </c>
    </row>
    <row r="87" spans="1:5" s="506" customFormat="1" x14ac:dyDescent="0.2">
      <c r="A87" s="512">
        <v>5</v>
      </c>
      <c r="B87" s="511" t="s">
        <v>719</v>
      </c>
      <c r="C87" s="523">
        <f t="shared" si="8"/>
        <v>7.7663420642664488E-3</v>
      </c>
      <c r="D87" s="523">
        <f t="shared" si="8"/>
        <v>1.2335148441110998E-3</v>
      </c>
      <c r="E87" s="523">
        <f t="shared" si="9"/>
        <v>-6.5328272201553485E-3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2.3672780372298804E-4</v>
      </c>
      <c r="D88" s="523">
        <f t="shared" si="8"/>
        <v>6.0294995314442274E-4</v>
      </c>
      <c r="E88" s="523">
        <f t="shared" si="9"/>
        <v>3.6622214942143468E-4</v>
      </c>
    </row>
    <row r="89" spans="1:5" s="506" customFormat="1" x14ac:dyDescent="0.2">
      <c r="A89" s="512">
        <v>7</v>
      </c>
      <c r="B89" s="511" t="s">
        <v>734</v>
      </c>
      <c r="C89" s="523">
        <f t="shared" si="8"/>
        <v>1.3500966265291387E-2</v>
      </c>
      <c r="D89" s="523">
        <f t="shared" si="8"/>
        <v>6.6328464595662492E-3</v>
      </c>
      <c r="E89" s="523">
        <f t="shared" si="9"/>
        <v>-6.8681198057251383E-3</v>
      </c>
    </row>
    <row r="90" spans="1:5" s="506" customFormat="1" x14ac:dyDescent="0.2">
      <c r="A90" s="512"/>
      <c r="B90" s="516" t="s">
        <v>771</v>
      </c>
      <c r="C90" s="524">
        <f>SUM(C84+C85+C88)</f>
        <v>0.37356946830657023</v>
      </c>
      <c r="D90" s="524">
        <f>SUM(D84+D85+D88)</f>
        <v>0.37045364143425558</v>
      </c>
      <c r="E90" s="525">
        <f t="shared" si="9"/>
        <v>-3.1158268723146532E-3</v>
      </c>
    </row>
    <row r="91" spans="1:5" s="506" customFormat="1" x14ac:dyDescent="0.2">
      <c r="A91" s="512"/>
      <c r="B91" s="516" t="s">
        <v>772</v>
      </c>
      <c r="C91" s="524">
        <f>SUM(C83+C90)</f>
        <v>0.55163913751930416</v>
      </c>
      <c r="D91" s="524">
        <f>SUM(D83+D90)</f>
        <v>0.5342120940064008</v>
      </c>
      <c r="E91" s="525">
        <f t="shared" si="9"/>
        <v>-1.7427043512903362E-2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773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627</v>
      </c>
      <c r="C95" s="523">
        <f t="shared" ref="C95:D101" si="10">IF(C$44=0,0,C25/C$44)</f>
        <v>0.26093228950833247</v>
      </c>
      <c r="D95" s="523">
        <f t="shared" si="10"/>
        <v>0.27145202483738706</v>
      </c>
      <c r="E95" s="523">
        <f t="shared" ref="E95:E103" si="11">D95-C95</f>
        <v>1.0519735329054591E-2</v>
      </c>
    </row>
    <row r="96" spans="1:5" s="506" customFormat="1" x14ac:dyDescent="0.2">
      <c r="A96" s="512">
        <v>2</v>
      </c>
      <c r="B96" s="511" t="s">
        <v>606</v>
      </c>
      <c r="C96" s="523">
        <f t="shared" si="10"/>
        <v>0.13359042263673082</v>
      </c>
      <c r="D96" s="523">
        <f t="shared" si="10"/>
        <v>0.13224979446474158</v>
      </c>
      <c r="E96" s="523">
        <f t="shared" si="11"/>
        <v>-1.3406281719892388E-3</v>
      </c>
    </row>
    <row r="97" spans="1:5" s="506" customFormat="1" x14ac:dyDescent="0.2">
      <c r="A97" s="512">
        <v>3</v>
      </c>
      <c r="B97" s="511" t="s">
        <v>752</v>
      </c>
      <c r="C97" s="523">
        <f t="shared" si="10"/>
        <v>5.3354589908440671E-2</v>
      </c>
      <c r="D97" s="523">
        <f t="shared" si="10"/>
        <v>6.1667114147634781E-2</v>
      </c>
      <c r="E97" s="523">
        <f t="shared" si="11"/>
        <v>8.3125242391941107E-3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4.8263287005343769E-2</v>
      </c>
      <c r="D98" s="523">
        <f t="shared" si="10"/>
        <v>6.1113420709188751E-2</v>
      </c>
      <c r="E98" s="523">
        <f t="shared" si="11"/>
        <v>1.2850133703844982E-2</v>
      </c>
    </row>
    <row r="99" spans="1:5" s="506" customFormat="1" x14ac:dyDescent="0.2">
      <c r="A99" s="512">
        <v>5</v>
      </c>
      <c r="B99" s="511" t="s">
        <v>719</v>
      </c>
      <c r="C99" s="523">
        <f t="shared" si="10"/>
        <v>5.0913029030969E-3</v>
      </c>
      <c r="D99" s="523">
        <f t="shared" si="10"/>
        <v>5.5369343844603074E-4</v>
      </c>
      <c r="E99" s="523">
        <f t="shared" si="11"/>
        <v>-4.5376094646508696E-3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4.835604271918346E-4</v>
      </c>
      <c r="D100" s="523">
        <f t="shared" si="10"/>
        <v>4.1897254383577452E-4</v>
      </c>
      <c r="E100" s="523">
        <f t="shared" si="11"/>
        <v>-6.4587883356060076E-5</v>
      </c>
    </row>
    <row r="101" spans="1:5" s="506" customFormat="1" x14ac:dyDescent="0.2">
      <c r="A101" s="512">
        <v>7</v>
      </c>
      <c r="B101" s="511" t="s">
        <v>734</v>
      </c>
      <c r="C101" s="523">
        <f t="shared" si="10"/>
        <v>3.1855881476596369E-2</v>
      </c>
      <c r="D101" s="523">
        <f t="shared" si="10"/>
        <v>2.8748162032201614E-2</v>
      </c>
      <c r="E101" s="523">
        <f t="shared" si="11"/>
        <v>-3.1077194443947555E-3</v>
      </c>
    </row>
    <row r="102" spans="1:5" s="506" customFormat="1" x14ac:dyDescent="0.2">
      <c r="A102" s="512"/>
      <c r="B102" s="516" t="s">
        <v>774</v>
      </c>
      <c r="C102" s="524">
        <f>SUM(C96+C97+C100)</f>
        <v>0.18742857297236332</v>
      </c>
      <c r="D102" s="524">
        <f>SUM(D96+D97+D100)</f>
        <v>0.19433588115621214</v>
      </c>
      <c r="E102" s="525">
        <f t="shared" si="11"/>
        <v>6.9073081838488259E-3</v>
      </c>
    </row>
    <row r="103" spans="1:5" s="506" customFormat="1" x14ac:dyDescent="0.2">
      <c r="A103" s="512"/>
      <c r="B103" s="516" t="s">
        <v>775</v>
      </c>
      <c r="C103" s="524">
        <f>SUM(C95+C102)</f>
        <v>0.44836086248069579</v>
      </c>
      <c r="D103" s="524">
        <f>SUM(D95+D102)</f>
        <v>0.4657879059935992</v>
      </c>
      <c r="E103" s="525">
        <f t="shared" si="11"/>
        <v>1.7427043512903417E-2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776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777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627</v>
      </c>
      <c r="C109" s="523">
        <f t="shared" ref="C109:D115" si="12">IF(C$77=0,0,C47/C$77)</f>
        <v>0.22460812724700352</v>
      </c>
      <c r="D109" s="523">
        <f t="shared" si="12"/>
        <v>0.22338611467626435</v>
      </c>
      <c r="E109" s="523">
        <f t="shared" ref="E109:E117" si="13">D109-C109</f>
        <v>-1.2220125707391727E-3</v>
      </c>
    </row>
    <row r="110" spans="1:5" s="506" customFormat="1" x14ac:dyDescent="0.2">
      <c r="A110" s="512">
        <v>2</v>
      </c>
      <c r="B110" s="511" t="s">
        <v>606</v>
      </c>
      <c r="C110" s="523">
        <f t="shared" si="12"/>
        <v>0.25229315569309613</v>
      </c>
      <c r="D110" s="523">
        <f t="shared" si="12"/>
        <v>0.22712171149606161</v>
      </c>
      <c r="E110" s="523">
        <f t="shared" si="13"/>
        <v>-2.5171444197034515E-2</v>
      </c>
    </row>
    <row r="111" spans="1:5" s="506" customFormat="1" x14ac:dyDescent="0.2">
      <c r="A111" s="512">
        <v>3</v>
      </c>
      <c r="B111" s="511" t="s">
        <v>752</v>
      </c>
      <c r="C111" s="523">
        <f t="shared" si="12"/>
        <v>5.3542414258964534E-2</v>
      </c>
      <c r="D111" s="523">
        <f t="shared" si="12"/>
        <v>5.6835571715624339E-2</v>
      </c>
      <c r="E111" s="523">
        <f t="shared" si="13"/>
        <v>3.2931574566598051E-3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4.7617632247143694E-2</v>
      </c>
      <c r="D112" s="523">
        <f t="shared" si="12"/>
        <v>5.5733184106454337E-2</v>
      </c>
      <c r="E112" s="523">
        <f t="shared" si="13"/>
        <v>8.1155518593106421E-3</v>
      </c>
    </row>
    <row r="113" spans="1:5" s="506" customFormat="1" x14ac:dyDescent="0.2">
      <c r="A113" s="512">
        <v>5</v>
      </c>
      <c r="B113" s="511" t="s">
        <v>719</v>
      </c>
      <c r="C113" s="523">
        <f t="shared" si="12"/>
        <v>5.9247820118208437E-3</v>
      </c>
      <c r="D113" s="523">
        <f t="shared" si="12"/>
        <v>1.1023876091699998E-3</v>
      </c>
      <c r="E113" s="523">
        <f t="shared" si="13"/>
        <v>-4.8223944026508439E-3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2.5443338889226413E-4</v>
      </c>
      <c r="D114" s="523">
        <f t="shared" si="12"/>
        <v>4.1904091051887045E-4</v>
      </c>
      <c r="E114" s="523">
        <f t="shared" si="13"/>
        <v>1.6460752162660632E-4</v>
      </c>
    </row>
    <row r="115" spans="1:5" s="506" customFormat="1" x14ac:dyDescent="0.2">
      <c r="A115" s="512">
        <v>7</v>
      </c>
      <c r="B115" s="511" t="s">
        <v>734</v>
      </c>
      <c r="C115" s="523">
        <f t="shared" si="12"/>
        <v>2.9460144874974953E-3</v>
      </c>
      <c r="D115" s="523">
        <f t="shared" si="12"/>
        <v>7.1506669548230953E-4</v>
      </c>
      <c r="E115" s="523">
        <f t="shared" si="13"/>
        <v>-2.2309477920151857E-3</v>
      </c>
    </row>
    <row r="116" spans="1:5" s="506" customFormat="1" x14ac:dyDescent="0.2">
      <c r="A116" s="512"/>
      <c r="B116" s="516" t="s">
        <v>771</v>
      </c>
      <c r="C116" s="524">
        <f>SUM(C110+C111+C114)</f>
        <v>0.30609000334095293</v>
      </c>
      <c r="D116" s="524">
        <f>SUM(D110+D111+D114)</f>
        <v>0.28437632412220482</v>
      </c>
      <c r="E116" s="525">
        <f t="shared" si="13"/>
        <v>-2.1713679218748116E-2</v>
      </c>
    </row>
    <row r="117" spans="1:5" s="506" customFormat="1" x14ac:dyDescent="0.2">
      <c r="A117" s="512"/>
      <c r="B117" s="516" t="s">
        <v>772</v>
      </c>
      <c r="C117" s="524">
        <f>SUM(C109+C116)</f>
        <v>0.53069813058795645</v>
      </c>
      <c r="D117" s="524">
        <f>SUM(D109+D116)</f>
        <v>0.50776243879846916</v>
      </c>
      <c r="E117" s="525">
        <f t="shared" si="13"/>
        <v>-2.2935691789487289E-2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778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627</v>
      </c>
      <c r="C121" s="523">
        <f t="shared" ref="C121:D127" si="14">IF(C$77=0,0,C58/C$77)</f>
        <v>0.34965505997299534</v>
      </c>
      <c r="D121" s="523">
        <f t="shared" si="14"/>
        <v>0.37787235097245137</v>
      </c>
      <c r="E121" s="523">
        <f t="shared" ref="E121:E129" si="15">D121-C121</f>
        <v>2.8217290999456024E-2</v>
      </c>
    </row>
    <row r="122" spans="1:5" s="506" customFormat="1" x14ac:dyDescent="0.2">
      <c r="A122" s="512">
        <v>2</v>
      </c>
      <c r="B122" s="511" t="s">
        <v>606</v>
      </c>
      <c r="C122" s="523">
        <f t="shared" si="14"/>
        <v>8.6872223575958363E-2</v>
      </c>
      <c r="D122" s="523">
        <f t="shared" si="14"/>
        <v>7.2624721466613043E-2</v>
      </c>
      <c r="E122" s="523">
        <f t="shared" si="15"/>
        <v>-1.424750210934532E-2</v>
      </c>
    </row>
    <row r="123" spans="1:5" s="506" customFormat="1" x14ac:dyDescent="0.2">
      <c r="A123" s="512">
        <v>3</v>
      </c>
      <c r="B123" s="511" t="s">
        <v>752</v>
      </c>
      <c r="C123" s="523">
        <f t="shared" si="14"/>
        <v>3.2637445090517136E-2</v>
      </c>
      <c r="D123" s="523">
        <f t="shared" si="14"/>
        <v>4.1543784421214917E-2</v>
      </c>
      <c r="E123" s="523">
        <f t="shared" si="15"/>
        <v>8.9063393306977809E-3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3.0528448110463704E-2</v>
      </c>
      <c r="D124" s="523">
        <f t="shared" si="14"/>
        <v>4.1109146469647674E-2</v>
      </c>
      <c r="E124" s="523">
        <f t="shared" si="15"/>
        <v>1.058069835918397E-2</v>
      </c>
    </row>
    <row r="125" spans="1:5" s="506" customFormat="1" x14ac:dyDescent="0.2">
      <c r="A125" s="512">
        <v>5</v>
      </c>
      <c r="B125" s="511" t="s">
        <v>719</v>
      </c>
      <c r="C125" s="523">
        <f t="shared" si="14"/>
        <v>2.1089969800534313E-3</v>
      </c>
      <c r="D125" s="523">
        <f t="shared" si="14"/>
        <v>4.3463795156724626E-4</v>
      </c>
      <c r="E125" s="523">
        <f t="shared" si="15"/>
        <v>-1.674359028486185E-3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1.3714077257272899E-4</v>
      </c>
      <c r="D126" s="523">
        <f t="shared" si="14"/>
        <v>1.9670434125154126E-4</v>
      </c>
      <c r="E126" s="523">
        <f t="shared" si="15"/>
        <v>5.9563568678812264E-5</v>
      </c>
    </row>
    <row r="127" spans="1:5" s="506" customFormat="1" x14ac:dyDescent="0.2">
      <c r="A127" s="512">
        <v>7</v>
      </c>
      <c r="B127" s="511" t="s">
        <v>734</v>
      </c>
      <c r="C127" s="523">
        <f t="shared" si="14"/>
        <v>5.6934894666179027E-3</v>
      </c>
      <c r="D127" s="523">
        <f t="shared" si="14"/>
        <v>4.4182800097427536E-3</v>
      </c>
      <c r="E127" s="523">
        <f t="shared" si="15"/>
        <v>-1.2752094568751491E-3</v>
      </c>
    </row>
    <row r="128" spans="1:5" s="506" customFormat="1" x14ac:dyDescent="0.2">
      <c r="A128" s="512"/>
      <c r="B128" s="516" t="s">
        <v>774</v>
      </c>
      <c r="C128" s="524">
        <f>SUM(C122+C123+C126)</f>
        <v>0.11964680943904824</v>
      </c>
      <c r="D128" s="524">
        <f>SUM(D122+D123+D126)</f>
        <v>0.1143652102290795</v>
      </c>
      <c r="E128" s="525">
        <f t="shared" si="15"/>
        <v>-5.2815992099687348E-3</v>
      </c>
    </row>
    <row r="129" spans="1:5" s="506" customFormat="1" x14ac:dyDescent="0.2">
      <c r="A129" s="512"/>
      <c r="B129" s="516" t="s">
        <v>775</v>
      </c>
      <c r="C129" s="524">
        <f>SUM(C121+C128)</f>
        <v>0.46930186941204355</v>
      </c>
      <c r="D129" s="524">
        <f>SUM(D121+D128)</f>
        <v>0.49223756120153084</v>
      </c>
      <c r="E129" s="525">
        <f t="shared" si="15"/>
        <v>2.2935691789487289E-2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779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780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781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627</v>
      </c>
      <c r="C137" s="530">
        <v>6117</v>
      </c>
      <c r="D137" s="530">
        <v>5773</v>
      </c>
      <c r="E137" s="531">
        <f t="shared" ref="E137:E145" si="16">D137-C137</f>
        <v>-344</v>
      </c>
    </row>
    <row r="138" spans="1:5" s="506" customFormat="1" x14ac:dyDescent="0.2">
      <c r="A138" s="512">
        <v>2</v>
      </c>
      <c r="B138" s="511" t="s">
        <v>606</v>
      </c>
      <c r="C138" s="530">
        <v>5684</v>
      </c>
      <c r="D138" s="530">
        <v>6008</v>
      </c>
      <c r="E138" s="531">
        <f t="shared" si="16"/>
        <v>324</v>
      </c>
    </row>
    <row r="139" spans="1:5" s="506" customFormat="1" x14ac:dyDescent="0.2">
      <c r="A139" s="512">
        <v>3</v>
      </c>
      <c r="B139" s="511" t="s">
        <v>752</v>
      </c>
      <c r="C139" s="530">
        <f>C140+C141</f>
        <v>2673</v>
      </c>
      <c r="D139" s="530">
        <f>D140+D141</f>
        <v>3078</v>
      </c>
      <c r="E139" s="531">
        <f t="shared" si="16"/>
        <v>405</v>
      </c>
    </row>
    <row r="140" spans="1:5" s="506" customFormat="1" x14ac:dyDescent="0.2">
      <c r="A140" s="512">
        <v>4</v>
      </c>
      <c r="B140" s="511" t="s">
        <v>114</v>
      </c>
      <c r="C140" s="530">
        <v>2458</v>
      </c>
      <c r="D140" s="530">
        <v>3038</v>
      </c>
      <c r="E140" s="531">
        <f t="shared" si="16"/>
        <v>580</v>
      </c>
    </row>
    <row r="141" spans="1:5" s="506" customFormat="1" x14ac:dyDescent="0.2">
      <c r="A141" s="512">
        <v>5</v>
      </c>
      <c r="B141" s="511" t="s">
        <v>719</v>
      </c>
      <c r="C141" s="530">
        <v>215</v>
      </c>
      <c r="D141" s="530">
        <v>40</v>
      </c>
      <c r="E141" s="531">
        <f t="shared" si="16"/>
        <v>-175</v>
      </c>
    </row>
    <row r="142" spans="1:5" s="506" customFormat="1" x14ac:dyDescent="0.2">
      <c r="A142" s="512">
        <v>6</v>
      </c>
      <c r="B142" s="511" t="s">
        <v>418</v>
      </c>
      <c r="C142" s="530">
        <v>9</v>
      </c>
      <c r="D142" s="530">
        <v>19</v>
      </c>
      <c r="E142" s="531">
        <f t="shared" si="16"/>
        <v>10</v>
      </c>
    </row>
    <row r="143" spans="1:5" s="506" customFormat="1" x14ac:dyDescent="0.2">
      <c r="A143" s="512">
        <v>7</v>
      </c>
      <c r="B143" s="511" t="s">
        <v>734</v>
      </c>
      <c r="C143" s="530">
        <v>426</v>
      </c>
      <c r="D143" s="530">
        <v>223</v>
      </c>
      <c r="E143" s="531">
        <f t="shared" si="16"/>
        <v>-203</v>
      </c>
    </row>
    <row r="144" spans="1:5" s="506" customFormat="1" x14ac:dyDescent="0.2">
      <c r="A144" s="512"/>
      <c r="B144" s="516" t="s">
        <v>782</v>
      </c>
      <c r="C144" s="532">
        <f>SUM(C138+C139+C142)</f>
        <v>8366</v>
      </c>
      <c r="D144" s="532">
        <f>SUM(D138+D139+D142)</f>
        <v>9105</v>
      </c>
      <c r="E144" s="533">
        <f t="shared" si="16"/>
        <v>739</v>
      </c>
    </row>
    <row r="145" spans="1:5" s="506" customFormat="1" x14ac:dyDescent="0.2">
      <c r="A145" s="512"/>
      <c r="B145" s="516" t="s">
        <v>696</v>
      </c>
      <c r="C145" s="532">
        <f>SUM(C137+C144)</f>
        <v>14483</v>
      </c>
      <c r="D145" s="532">
        <f>SUM(D137+D144)</f>
        <v>14878</v>
      </c>
      <c r="E145" s="533">
        <f t="shared" si="16"/>
        <v>395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627</v>
      </c>
      <c r="C149" s="534">
        <v>20790</v>
      </c>
      <c r="D149" s="534">
        <v>20360</v>
      </c>
      <c r="E149" s="531">
        <f t="shared" ref="E149:E157" si="17">D149-C149</f>
        <v>-430</v>
      </c>
    </row>
    <row r="150" spans="1:5" s="506" customFormat="1" x14ac:dyDescent="0.2">
      <c r="A150" s="512">
        <v>2</v>
      </c>
      <c r="B150" s="511" t="s">
        <v>606</v>
      </c>
      <c r="C150" s="534">
        <v>37668</v>
      </c>
      <c r="D150" s="534">
        <v>37388</v>
      </c>
      <c r="E150" s="531">
        <f t="shared" si="17"/>
        <v>-280</v>
      </c>
    </row>
    <row r="151" spans="1:5" s="506" customFormat="1" x14ac:dyDescent="0.2">
      <c r="A151" s="512">
        <v>3</v>
      </c>
      <c r="B151" s="511" t="s">
        <v>752</v>
      </c>
      <c r="C151" s="534">
        <f>C152+C153</f>
        <v>10935</v>
      </c>
      <c r="D151" s="534">
        <f>D152+D153</f>
        <v>12510</v>
      </c>
      <c r="E151" s="531">
        <f t="shared" si="17"/>
        <v>1575</v>
      </c>
    </row>
    <row r="152" spans="1:5" s="506" customFormat="1" x14ac:dyDescent="0.2">
      <c r="A152" s="512">
        <v>4</v>
      </c>
      <c r="B152" s="511" t="s">
        <v>114</v>
      </c>
      <c r="C152" s="534">
        <v>9876</v>
      </c>
      <c r="D152" s="534">
        <v>12344</v>
      </c>
      <c r="E152" s="531">
        <f t="shared" si="17"/>
        <v>2468</v>
      </c>
    </row>
    <row r="153" spans="1:5" s="506" customFormat="1" x14ac:dyDescent="0.2">
      <c r="A153" s="512">
        <v>5</v>
      </c>
      <c r="B153" s="511" t="s">
        <v>719</v>
      </c>
      <c r="C153" s="535">
        <v>1059</v>
      </c>
      <c r="D153" s="534">
        <v>166</v>
      </c>
      <c r="E153" s="531">
        <f t="shared" si="17"/>
        <v>-893</v>
      </c>
    </row>
    <row r="154" spans="1:5" s="506" customFormat="1" x14ac:dyDescent="0.2">
      <c r="A154" s="512">
        <v>6</v>
      </c>
      <c r="B154" s="511" t="s">
        <v>418</v>
      </c>
      <c r="C154" s="534">
        <v>24</v>
      </c>
      <c r="D154" s="534">
        <v>97</v>
      </c>
      <c r="E154" s="531">
        <f t="shared" si="17"/>
        <v>73</v>
      </c>
    </row>
    <row r="155" spans="1:5" s="506" customFormat="1" x14ac:dyDescent="0.2">
      <c r="A155" s="512">
        <v>7</v>
      </c>
      <c r="B155" s="511" t="s">
        <v>734</v>
      </c>
      <c r="C155" s="534">
        <v>1527</v>
      </c>
      <c r="D155" s="534">
        <v>745</v>
      </c>
      <c r="E155" s="531">
        <f t="shared" si="17"/>
        <v>-782</v>
      </c>
    </row>
    <row r="156" spans="1:5" s="506" customFormat="1" x14ac:dyDescent="0.2">
      <c r="A156" s="512"/>
      <c r="B156" s="516" t="s">
        <v>783</v>
      </c>
      <c r="C156" s="532">
        <f>SUM(C150+C151+C154)</f>
        <v>48627</v>
      </c>
      <c r="D156" s="532">
        <f>SUM(D150+D151+D154)</f>
        <v>49995</v>
      </c>
      <c r="E156" s="533">
        <f t="shared" si="17"/>
        <v>1368</v>
      </c>
    </row>
    <row r="157" spans="1:5" s="506" customFormat="1" x14ac:dyDescent="0.2">
      <c r="A157" s="512"/>
      <c r="B157" s="516" t="s">
        <v>784</v>
      </c>
      <c r="C157" s="532">
        <f>SUM(C149+C156)</f>
        <v>69417</v>
      </c>
      <c r="D157" s="532">
        <f>SUM(D149+D156)</f>
        <v>70355</v>
      </c>
      <c r="E157" s="533">
        <f t="shared" si="17"/>
        <v>938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785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627</v>
      </c>
      <c r="C161" s="536">
        <f t="shared" ref="C161:D169" si="18">IF(C137=0,0,C149/C137)</f>
        <v>3.3987248651299655</v>
      </c>
      <c r="D161" s="536">
        <f t="shared" si="18"/>
        <v>3.5267625151567641</v>
      </c>
      <c r="E161" s="537">
        <f t="shared" ref="E161:E169" si="19">D161-C161</f>
        <v>0.12803765002679857</v>
      </c>
    </row>
    <row r="162" spans="1:5" s="506" customFormat="1" x14ac:dyDescent="0.2">
      <c r="A162" s="512">
        <v>2</v>
      </c>
      <c r="B162" s="511" t="s">
        <v>606</v>
      </c>
      <c r="C162" s="536">
        <f t="shared" si="18"/>
        <v>6.627023223082336</v>
      </c>
      <c r="D162" s="536">
        <f t="shared" si="18"/>
        <v>6.2230359520639151</v>
      </c>
      <c r="E162" s="537">
        <f t="shared" si="19"/>
        <v>-0.40398727101842091</v>
      </c>
    </row>
    <row r="163" spans="1:5" s="506" customFormat="1" x14ac:dyDescent="0.2">
      <c r="A163" s="512">
        <v>3</v>
      </c>
      <c r="B163" s="511" t="s">
        <v>752</v>
      </c>
      <c r="C163" s="536">
        <f t="shared" si="18"/>
        <v>4.0909090909090908</v>
      </c>
      <c r="D163" s="536">
        <f t="shared" si="18"/>
        <v>4.064327485380117</v>
      </c>
      <c r="E163" s="537">
        <f t="shared" si="19"/>
        <v>-2.6581605528973817E-2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4.0179007323026852</v>
      </c>
      <c r="D164" s="536">
        <f t="shared" si="18"/>
        <v>4.0631994733377219</v>
      </c>
      <c r="E164" s="537">
        <f t="shared" si="19"/>
        <v>4.5298741035036727E-2</v>
      </c>
    </row>
    <row r="165" spans="1:5" s="506" customFormat="1" x14ac:dyDescent="0.2">
      <c r="A165" s="512">
        <v>5</v>
      </c>
      <c r="B165" s="511" t="s">
        <v>719</v>
      </c>
      <c r="C165" s="536">
        <f t="shared" si="18"/>
        <v>4.9255813953488374</v>
      </c>
      <c r="D165" s="536">
        <f t="shared" si="18"/>
        <v>4.1500000000000004</v>
      </c>
      <c r="E165" s="537">
        <f t="shared" si="19"/>
        <v>-0.77558139534883708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2.6666666666666665</v>
      </c>
      <c r="D166" s="536">
        <f t="shared" si="18"/>
        <v>5.1052631578947372</v>
      </c>
      <c r="E166" s="537">
        <f t="shared" si="19"/>
        <v>2.4385964912280707</v>
      </c>
    </row>
    <row r="167" spans="1:5" s="506" customFormat="1" x14ac:dyDescent="0.2">
      <c r="A167" s="512">
        <v>7</v>
      </c>
      <c r="B167" s="511" t="s">
        <v>734</v>
      </c>
      <c r="C167" s="536">
        <f t="shared" si="18"/>
        <v>3.584507042253521</v>
      </c>
      <c r="D167" s="536">
        <f t="shared" si="18"/>
        <v>3.3408071748878925</v>
      </c>
      <c r="E167" s="537">
        <f t="shared" si="19"/>
        <v>-0.24369986736562854</v>
      </c>
    </row>
    <row r="168" spans="1:5" s="506" customFormat="1" x14ac:dyDescent="0.2">
      <c r="A168" s="512"/>
      <c r="B168" s="516" t="s">
        <v>786</v>
      </c>
      <c r="C168" s="538">
        <f t="shared" si="18"/>
        <v>5.8124551757112117</v>
      </c>
      <c r="D168" s="538">
        <f t="shared" si="18"/>
        <v>5.4909390444810544</v>
      </c>
      <c r="E168" s="539">
        <f t="shared" si="19"/>
        <v>-0.32151613123015732</v>
      </c>
    </row>
    <row r="169" spans="1:5" s="506" customFormat="1" x14ac:dyDescent="0.2">
      <c r="A169" s="512"/>
      <c r="B169" s="516" t="s">
        <v>720</v>
      </c>
      <c r="C169" s="538">
        <f t="shared" si="18"/>
        <v>4.7929986881171027</v>
      </c>
      <c r="D169" s="538">
        <f t="shared" si="18"/>
        <v>4.728794192767845</v>
      </c>
      <c r="E169" s="539">
        <f t="shared" si="19"/>
        <v>-6.4204495349257762E-2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787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627</v>
      </c>
      <c r="C173" s="541">
        <f t="shared" ref="C173:D181" si="20">IF(C137=0,0,C203/C137)</f>
        <v>1.00613</v>
      </c>
      <c r="D173" s="541">
        <f t="shared" si="20"/>
        <v>1.04515</v>
      </c>
      <c r="E173" s="542">
        <f t="shared" ref="E173:E181" si="21">D173-C173</f>
        <v>3.9020000000000055E-2</v>
      </c>
    </row>
    <row r="174" spans="1:5" s="506" customFormat="1" x14ac:dyDescent="0.2">
      <c r="A174" s="512">
        <v>2</v>
      </c>
      <c r="B174" s="511" t="s">
        <v>606</v>
      </c>
      <c r="C174" s="541">
        <f t="shared" si="20"/>
        <v>1.4781299999999999</v>
      </c>
      <c r="D174" s="541">
        <f t="shared" si="20"/>
        <v>1.41103</v>
      </c>
      <c r="E174" s="542">
        <f t="shared" si="21"/>
        <v>-6.7099999999999937E-2</v>
      </c>
    </row>
    <row r="175" spans="1:5" s="506" customFormat="1" x14ac:dyDescent="0.2">
      <c r="A175" s="512">
        <v>0</v>
      </c>
      <c r="B175" s="511" t="s">
        <v>752</v>
      </c>
      <c r="C175" s="541">
        <f t="shared" si="20"/>
        <v>0.90314489711934165</v>
      </c>
      <c r="D175" s="541">
        <f t="shared" si="20"/>
        <v>0.94949762183235864</v>
      </c>
      <c r="E175" s="542">
        <f t="shared" si="21"/>
        <v>4.6352724713016991E-2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0.89512000000000003</v>
      </c>
      <c r="D176" s="541">
        <f t="shared" si="20"/>
        <v>0.94935999999999998</v>
      </c>
      <c r="E176" s="542">
        <f t="shared" si="21"/>
        <v>5.4239999999999955E-2</v>
      </c>
    </row>
    <row r="177" spans="1:5" s="506" customFormat="1" x14ac:dyDescent="0.2">
      <c r="A177" s="512">
        <v>5</v>
      </c>
      <c r="B177" s="511" t="s">
        <v>719</v>
      </c>
      <c r="C177" s="541">
        <f t="shared" si="20"/>
        <v>0.99489000000000005</v>
      </c>
      <c r="D177" s="541">
        <f t="shared" si="20"/>
        <v>0.95994999999999986</v>
      </c>
      <c r="E177" s="542">
        <f t="shared" si="21"/>
        <v>-3.4940000000000193E-2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0.96191000000000004</v>
      </c>
      <c r="D178" s="541">
        <f t="shared" si="20"/>
        <v>0.86318000000000006</v>
      </c>
      <c r="E178" s="542">
        <f t="shared" si="21"/>
        <v>-9.8729999999999984E-2</v>
      </c>
    </row>
    <row r="179" spans="1:5" s="506" customFormat="1" x14ac:dyDescent="0.2">
      <c r="A179" s="512">
        <v>7</v>
      </c>
      <c r="B179" s="511" t="s">
        <v>734</v>
      </c>
      <c r="C179" s="541">
        <f t="shared" si="20"/>
        <v>1.0328200000000001</v>
      </c>
      <c r="D179" s="541">
        <f t="shared" si="20"/>
        <v>1.03169</v>
      </c>
      <c r="E179" s="542">
        <f t="shared" si="21"/>
        <v>-1.1300000000000754E-3</v>
      </c>
    </row>
    <row r="180" spans="1:5" s="506" customFormat="1" x14ac:dyDescent="0.2">
      <c r="A180" s="512"/>
      <c r="B180" s="516" t="s">
        <v>788</v>
      </c>
      <c r="C180" s="543">
        <f t="shared" si="20"/>
        <v>1.2938625890509203</v>
      </c>
      <c r="D180" s="543">
        <f t="shared" si="20"/>
        <v>1.2538629697968149</v>
      </c>
      <c r="E180" s="544">
        <f t="shared" si="21"/>
        <v>-3.9999619254105445E-2</v>
      </c>
    </row>
    <row r="181" spans="1:5" s="506" customFormat="1" x14ac:dyDescent="0.2">
      <c r="A181" s="512"/>
      <c r="B181" s="516" t="s">
        <v>697</v>
      </c>
      <c r="C181" s="543">
        <f t="shared" si="20"/>
        <v>1.1723366450321067</v>
      </c>
      <c r="D181" s="543">
        <f t="shared" si="20"/>
        <v>1.1728776240086034</v>
      </c>
      <c r="E181" s="544">
        <f t="shared" si="21"/>
        <v>5.4097897649674209E-4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789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790</v>
      </c>
      <c r="C185" s="513">
        <v>278634332</v>
      </c>
      <c r="D185" s="513">
        <v>327394936</v>
      </c>
      <c r="E185" s="514">
        <f>D185-C185</f>
        <v>48760604</v>
      </c>
    </row>
    <row r="186" spans="1:5" s="506" customFormat="1" ht="25.5" x14ac:dyDescent="0.2">
      <c r="A186" s="512">
        <v>2</v>
      </c>
      <c r="B186" s="511" t="s">
        <v>791</v>
      </c>
      <c r="C186" s="513">
        <v>175093299</v>
      </c>
      <c r="D186" s="513">
        <v>186810436</v>
      </c>
      <c r="E186" s="514">
        <f>D186-C186</f>
        <v>11717137</v>
      </c>
    </row>
    <row r="187" spans="1:5" s="506" customFormat="1" x14ac:dyDescent="0.2">
      <c r="A187" s="512"/>
      <c r="B187" s="511" t="s">
        <v>639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723</v>
      </c>
      <c r="C188" s="546">
        <f>+C185-C186</f>
        <v>103541033</v>
      </c>
      <c r="D188" s="546">
        <f>+D185-D186</f>
        <v>140584500</v>
      </c>
      <c r="E188" s="514">
        <f t="shared" ref="E188:E197" si="22">D188-C188</f>
        <v>37043467</v>
      </c>
    </row>
    <row r="189" spans="1:5" s="506" customFormat="1" x14ac:dyDescent="0.2">
      <c r="A189" s="512">
        <v>4</v>
      </c>
      <c r="B189" s="511" t="s">
        <v>641</v>
      </c>
      <c r="C189" s="547">
        <f>IF(C185=0,0,+C188/C185)</f>
        <v>0.3716018491217371</v>
      </c>
      <c r="D189" s="547">
        <f>IF(D185=0,0,+D188/D185)</f>
        <v>0.42940340408930455</v>
      </c>
      <c r="E189" s="523">
        <f t="shared" si="22"/>
        <v>5.7801554967567448E-2</v>
      </c>
    </row>
    <row r="190" spans="1:5" s="506" customFormat="1" x14ac:dyDescent="0.2">
      <c r="A190" s="512">
        <v>5</v>
      </c>
      <c r="B190" s="511" t="s">
        <v>738</v>
      </c>
      <c r="C190" s="513">
        <v>13809607</v>
      </c>
      <c r="D190" s="513">
        <v>14007490</v>
      </c>
      <c r="E190" s="546">
        <f t="shared" si="22"/>
        <v>197883</v>
      </c>
    </row>
    <row r="191" spans="1:5" s="506" customFormat="1" x14ac:dyDescent="0.2">
      <c r="A191" s="512">
        <v>6</v>
      </c>
      <c r="B191" s="511" t="s">
        <v>724</v>
      </c>
      <c r="C191" s="513">
        <v>7533047</v>
      </c>
      <c r="D191" s="513">
        <v>9842925</v>
      </c>
      <c r="E191" s="546">
        <f t="shared" si="22"/>
        <v>2309878</v>
      </c>
    </row>
    <row r="192" spans="1:5" ht="29.25" x14ac:dyDescent="0.2">
      <c r="A192" s="512">
        <v>7</v>
      </c>
      <c r="B192" s="548" t="s">
        <v>792</v>
      </c>
      <c r="C192" s="513">
        <v>2414316</v>
      </c>
      <c r="D192" s="513">
        <v>0</v>
      </c>
      <c r="E192" s="546">
        <f t="shared" si="22"/>
        <v>-2414316</v>
      </c>
    </row>
    <row r="193" spans="1:5" s="506" customFormat="1" x14ac:dyDescent="0.2">
      <c r="A193" s="512">
        <v>8</v>
      </c>
      <c r="B193" s="511" t="s">
        <v>793</v>
      </c>
      <c r="C193" s="513">
        <v>18026000</v>
      </c>
      <c r="D193" s="513">
        <v>17327000</v>
      </c>
      <c r="E193" s="546">
        <f t="shared" si="22"/>
        <v>-699000</v>
      </c>
    </row>
    <row r="194" spans="1:5" s="506" customFormat="1" x14ac:dyDescent="0.2">
      <c r="A194" s="512">
        <v>9</v>
      </c>
      <c r="B194" s="511" t="s">
        <v>794</v>
      </c>
      <c r="C194" s="513">
        <v>23255695</v>
      </c>
      <c r="D194" s="513">
        <v>20654069</v>
      </c>
      <c r="E194" s="546">
        <f t="shared" si="22"/>
        <v>-2601626</v>
      </c>
    </row>
    <row r="195" spans="1:5" s="506" customFormat="1" x14ac:dyDescent="0.2">
      <c r="A195" s="512">
        <v>10</v>
      </c>
      <c r="B195" s="511" t="s">
        <v>795</v>
      </c>
      <c r="C195" s="513">
        <f>+C193+C194</f>
        <v>41281695</v>
      </c>
      <c r="D195" s="513">
        <f>+D193+D194</f>
        <v>37981069</v>
      </c>
      <c r="E195" s="549">
        <f t="shared" si="22"/>
        <v>-3300626</v>
      </c>
    </row>
    <row r="196" spans="1:5" s="506" customFormat="1" x14ac:dyDescent="0.2">
      <c r="A196" s="512">
        <v>11</v>
      </c>
      <c r="B196" s="511" t="s">
        <v>796</v>
      </c>
      <c r="C196" s="513">
        <v>278634332</v>
      </c>
      <c r="D196" s="513">
        <v>327394936</v>
      </c>
      <c r="E196" s="546">
        <f t="shared" si="22"/>
        <v>48760604</v>
      </c>
    </row>
    <row r="197" spans="1:5" s="506" customFormat="1" x14ac:dyDescent="0.2">
      <c r="A197" s="512">
        <v>12</v>
      </c>
      <c r="B197" s="511" t="s">
        <v>681</v>
      </c>
      <c r="C197" s="513">
        <v>337444501</v>
      </c>
      <c r="D197" s="513">
        <v>338475864</v>
      </c>
      <c r="E197" s="546">
        <f t="shared" si="22"/>
        <v>1031363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797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798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627</v>
      </c>
      <c r="C203" s="553">
        <v>6154.4972099999995</v>
      </c>
      <c r="D203" s="553">
        <v>6033.6509500000002</v>
      </c>
      <c r="E203" s="554">
        <f t="shared" ref="E203:E211" si="23">D203-C203</f>
        <v>-120.84625999999935</v>
      </c>
    </row>
    <row r="204" spans="1:5" s="506" customFormat="1" x14ac:dyDescent="0.2">
      <c r="A204" s="512">
        <v>2</v>
      </c>
      <c r="B204" s="511" t="s">
        <v>606</v>
      </c>
      <c r="C204" s="553">
        <v>8401.6909199999991</v>
      </c>
      <c r="D204" s="553">
        <v>8477.4682400000002</v>
      </c>
      <c r="E204" s="554">
        <f t="shared" si="23"/>
        <v>75.777320000001055</v>
      </c>
    </row>
    <row r="205" spans="1:5" s="506" customFormat="1" x14ac:dyDescent="0.2">
      <c r="A205" s="512">
        <v>3</v>
      </c>
      <c r="B205" s="511" t="s">
        <v>752</v>
      </c>
      <c r="C205" s="553">
        <f>C206+C207</f>
        <v>2414.1063100000001</v>
      </c>
      <c r="D205" s="553">
        <f>D206+D207</f>
        <v>2922.55368</v>
      </c>
      <c r="E205" s="554">
        <f t="shared" si="23"/>
        <v>508.44736999999986</v>
      </c>
    </row>
    <row r="206" spans="1:5" s="506" customFormat="1" x14ac:dyDescent="0.2">
      <c r="A206" s="512">
        <v>4</v>
      </c>
      <c r="B206" s="511" t="s">
        <v>114</v>
      </c>
      <c r="C206" s="553">
        <v>2200.20496</v>
      </c>
      <c r="D206" s="553">
        <v>2884.1556799999998</v>
      </c>
      <c r="E206" s="554">
        <f t="shared" si="23"/>
        <v>683.95071999999982</v>
      </c>
    </row>
    <row r="207" spans="1:5" s="506" customFormat="1" x14ac:dyDescent="0.2">
      <c r="A207" s="512">
        <v>5</v>
      </c>
      <c r="B207" s="511" t="s">
        <v>719</v>
      </c>
      <c r="C207" s="553">
        <v>213.90135000000001</v>
      </c>
      <c r="D207" s="553">
        <v>38.397999999999996</v>
      </c>
      <c r="E207" s="554">
        <f t="shared" si="23"/>
        <v>-175.50335000000001</v>
      </c>
    </row>
    <row r="208" spans="1:5" s="506" customFormat="1" x14ac:dyDescent="0.2">
      <c r="A208" s="512">
        <v>6</v>
      </c>
      <c r="B208" s="511" t="s">
        <v>418</v>
      </c>
      <c r="C208" s="553">
        <v>8.6571899999999999</v>
      </c>
      <c r="D208" s="553">
        <v>16.40042</v>
      </c>
      <c r="E208" s="554">
        <f t="shared" si="23"/>
        <v>7.7432300000000005</v>
      </c>
    </row>
    <row r="209" spans="1:5" s="506" customFormat="1" x14ac:dyDescent="0.2">
      <c r="A209" s="512">
        <v>7</v>
      </c>
      <c r="B209" s="511" t="s">
        <v>734</v>
      </c>
      <c r="C209" s="553">
        <v>439.98132000000004</v>
      </c>
      <c r="D209" s="553">
        <v>230.06686999999999</v>
      </c>
      <c r="E209" s="554">
        <f t="shared" si="23"/>
        <v>-209.91445000000004</v>
      </c>
    </row>
    <row r="210" spans="1:5" s="506" customFormat="1" x14ac:dyDescent="0.2">
      <c r="A210" s="512"/>
      <c r="B210" s="516" t="s">
        <v>799</v>
      </c>
      <c r="C210" s="555">
        <f>C204+C205+C208</f>
        <v>10824.45442</v>
      </c>
      <c r="D210" s="555">
        <f>D204+D205+D208</f>
        <v>11416.422339999999</v>
      </c>
      <c r="E210" s="556">
        <f t="shared" si="23"/>
        <v>591.96791999999914</v>
      </c>
    </row>
    <row r="211" spans="1:5" s="506" customFormat="1" x14ac:dyDescent="0.2">
      <c r="A211" s="512"/>
      <c r="B211" s="516" t="s">
        <v>698</v>
      </c>
      <c r="C211" s="555">
        <f>C210+C203</f>
        <v>16978.95163</v>
      </c>
      <c r="D211" s="555">
        <f>D210+D203</f>
        <v>17450.07329</v>
      </c>
      <c r="E211" s="556">
        <f t="shared" si="23"/>
        <v>471.1216600000007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800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627</v>
      </c>
      <c r="C215" s="557">
        <f>IF(C14*C137=0,0,C25/C14*C137)</f>
        <v>8963.4738020186596</v>
      </c>
      <c r="D215" s="557">
        <f>IF(D14*D137=0,0,D25/D14*D137)</f>
        <v>9569.5368072425972</v>
      </c>
      <c r="E215" s="557">
        <f t="shared" ref="E215:E223" si="24">D215-C215</f>
        <v>606.06300522393758</v>
      </c>
    </row>
    <row r="216" spans="1:5" s="506" customFormat="1" x14ac:dyDescent="0.2">
      <c r="A216" s="512">
        <v>2</v>
      </c>
      <c r="B216" s="511" t="s">
        <v>606</v>
      </c>
      <c r="C216" s="557">
        <f>IF(C15*C138=0,0,C26/C15*C138)</f>
        <v>2579.4142822191034</v>
      </c>
      <c r="D216" s="557">
        <f>IF(D15*D138=0,0,D26/D15*D138)</f>
        <v>2800.6205623767746</v>
      </c>
      <c r="E216" s="557">
        <f t="shared" si="24"/>
        <v>221.20628015767124</v>
      </c>
    </row>
    <row r="217" spans="1:5" s="506" customFormat="1" x14ac:dyDescent="0.2">
      <c r="A217" s="512">
        <v>3</v>
      </c>
      <c r="B217" s="511" t="s">
        <v>752</v>
      </c>
      <c r="C217" s="557">
        <f>C218+C219</f>
        <v>1807.4315875066773</v>
      </c>
      <c r="D217" s="557">
        <f>D218+D219</f>
        <v>2204.5413725422018</v>
      </c>
      <c r="E217" s="557">
        <f t="shared" si="24"/>
        <v>397.10978503552451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1666.4861958270712</v>
      </c>
      <c r="D218" s="557">
        <f t="shared" si="25"/>
        <v>2186.5863899624815</v>
      </c>
      <c r="E218" s="557">
        <f t="shared" si="24"/>
        <v>520.10019413541022</v>
      </c>
    </row>
    <row r="219" spans="1:5" s="506" customFormat="1" x14ac:dyDescent="0.2">
      <c r="A219" s="512">
        <v>5</v>
      </c>
      <c r="B219" s="511" t="s">
        <v>719</v>
      </c>
      <c r="C219" s="557">
        <f t="shared" si="25"/>
        <v>140.9453916796059</v>
      </c>
      <c r="D219" s="557">
        <f t="shared" si="25"/>
        <v>17.954982579720326</v>
      </c>
      <c r="E219" s="557">
        <f t="shared" si="24"/>
        <v>-122.99040909988558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18.384168552584324</v>
      </c>
      <c r="D220" s="557">
        <f t="shared" si="25"/>
        <v>13.202552370002369</v>
      </c>
      <c r="E220" s="557">
        <f t="shared" si="24"/>
        <v>-5.1816161825819549</v>
      </c>
    </row>
    <row r="221" spans="1:5" s="506" customFormat="1" x14ac:dyDescent="0.2">
      <c r="A221" s="512">
        <v>7</v>
      </c>
      <c r="B221" s="511" t="s">
        <v>734</v>
      </c>
      <c r="C221" s="557">
        <f t="shared" si="25"/>
        <v>1005.1580933075654</v>
      </c>
      <c r="D221" s="557">
        <f t="shared" si="25"/>
        <v>966.52925290240955</v>
      </c>
      <c r="E221" s="557">
        <f t="shared" si="24"/>
        <v>-38.62884040515587</v>
      </c>
    </row>
    <row r="222" spans="1:5" s="506" customFormat="1" x14ac:dyDescent="0.2">
      <c r="A222" s="512"/>
      <c r="B222" s="516" t="s">
        <v>801</v>
      </c>
      <c r="C222" s="558">
        <f>C216+C218+C219+C220</f>
        <v>4405.2300382783642</v>
      </c>
      <c r="D222" s="558">
        <f>D216+D218+D219+D220</f>
        <v>5018.364487288979</v>
      </c>
      <c r="E222" s="558">
        <f t="shared" si="24"/>
        <v>613.13444901061484</v>
      </c>
    </row>
    <row r="223" spans="1:5" s="506" customFormat="1" x14ac:dyDescent="0.2">
      <c r="A223" s="512"/>
      <c r="B223" s="516" t="s">
        <v>802</v>
      </c>
      <c r="C223" s="558">
        <f>C215+C222</f>
        <v>13368.703840297025</v>
      </c>
      <c r="D223" s="558">
        <f>D215+D222</f>
        <v>14587.901294531577</v>
      </c>
      <c r="E223" s="558">
        <f t="shared" si="24"/>
        <v>1219.1974542345524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803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627</v>
      </c>
      <c r="C227" s="560">
        <f t="shared" ref="C227:D235" si="26">IF(C203=0,0,C47/C203)</f>
        <v>10706.7954946721</v>
      </c>
      <c r="D227" s="560">
        <f t="shared" si="26"/>
        <v>12108.465273417913</v>
      </c>
      <c r="E227" s="560">
        <f t="shared" ref="E227:E235" si="27">D227-C227</f>
        <v>1401.6697787458124</v>
      </c>
    </row>
    <row r="228" spans="1:5" s="506" customFormat="1" x14ac:dyDescent="0.2">
      <c r="A228" s="512">
        <v>2</v>
      </c>
      <c r="B228" s="511" t="s">
        <v>606</v>
      </c>
      <c r="C228" s="560">
        <f t="shared" si="26"/>
        <v>8809.7865899594417</v>
      </c>
      <c r="D228" s="560">
        <f t="shared" si="26"/>
        <v>8762.0472170592293</v>
      </c>
      <c r="E228" s="560">
        <f t="shared" si="27"/>
        <v>-47.739372900212402</v>
      </c>
    </row>
    <row r="229" spans="1:5" s="506" customFormat="1" x14ac:dyDescent="0.2">
      <c r="A229" s="512">
        <v>3</v>
      </c>
      <c r="B229" s="511" t="s">
        <v>752</v>
      </c>
      <c r="C229" s="560">
        <f t="shared" si="26"/>
        <v>6506.8107957515749</v>
      </c>
      <c r="D229" s="560">
        <f t="shared" si="26"/>
        <v>6360.20105540029</v>
      </c>
      <c r="E229" s="560">
        <f t="shared" si="27"/>
        <v>-146.60974035128493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6349.3793778194195</v>
      </c>
      <c r="D230" s="560">
        <f t="shared" si="26"/>
        <v>6319.8717483932769</v>
      </c>
      <c r="E230" s="560">
        <f t="shared" si="27"/>
        <v>-29.507629426142557</v>
      </c>
    </row>
    <row r="231" spans="1:5" s="506" customFormat="1" x14ac:dyDescent="0.2">
      <c r="A231" s="512">
        <v>5</v>
      </c>
      <c r="B231" s="511" t="s">
        <v>719</v>
      </c>
      <c r="C231" s="560">
        <f t="shared" si="26"/>
        <v>8126.1618965939206</v>
      </c>
      <c r="D231" s="560">
        <f t="shared" si="26"/>
        <v>9389.4213240272948</v>
      </c>
      <c r="E231" s="560">
        <f t="shared" si="27"/>
        <v>1263.2594274333742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8622.3127827851768</v>
      </c>
      <c r="D232" s="560">
        <f t="shared" si="26"/>
        <v>8356.3103871730109</v>
      </c>
      <c r="E232" s="560">
        <f t="shared" si="27"/>
        <v>-266.00239561216586</v>
      </c>
    </row>
    <row r="233" spans="1:5" s="506" customFormat="1" x14ac:dyDescent="0.2">
      <c r="A233" s="512">
        <v>7</v>
      </c>
      <c r="B233" s="511" t="s">
        <v>734</v>
      </c>
      <c r="C233" s="560">
        <f t="shared" si="26"/>
        <v>1964.3879426517469</v>
      </c>
      <c r="D233" s="560">
        <f t="shared" si="26"/>
        <v>1016.4957692517833</v>
      </c>
      <c r="E233" s="560">
        <f t="shared" si="27"/>
        <v>-947.89217339996367</v>
      </c>
    </row>
    <row r="234" spans="1:5" x14ac:dyDescent="0.2">
      <c r="A234" s="512"/>
      <c r="B234" s="516" t="s">
        <v>804</v>
      </c>
      <c r="C234" s="561">
        <f t="shared" si="26"/>
        <v>8296.0192279141211</v>
      </c>
      <c r="D234" s="561">
        <f t="shared" si="26"/>
        <v>8146.6023444258817</v>
      </c>
      <c r="E234" s="561">
        <f t="shared" si="27"/>
        <v>-149.41688348823936</v>
      </c>
    </row>
    <row r="235" spans="1:5" s="506" customFormat="1" x14ac:dyDescent="0.2">
      <c r="A235" s="512"/>
      <c r="B235" s="516" t="s">
        <v>805</v>
      </c>
      <c r="C235" s="561">
        <f t="shared" si="26"/>
        <v>9169.8726984358582</v>
      </c>
      <c r="D235" s="561">
        <f t="shared" si="26"/>
        <v>9516.4818645870564</v>
      </c>
      <c r="E235" s="561">
        <f t="shared" si="27"/>
        <v>346.60916615119822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806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627</v>
      </c>
      <c r="C239" s="560">
        <f t="shared" ref="C239:D247" si="28">IF(C215=0,0,C58/C215)</f>
        <v>11444.322398409622</v>
      </c>
      <c r="D239" s="560">
        <f t="shared" si="28"/>
        <v>12914.194018927614</v>
      </c>
      <c r="E239" s="562">
        <f t="shared" ref="E239:E247" si="29">D239-C239</f>
        <v>1469.8716205179917</v>
      </c>
    </row>
    <row r="240" spans="1:5" s="506" customFormat="1" x14ac:dyDescent="0.2">
      <c r="A240" s="512">
        <v>2</v>
      </c>
      <c r="B240" s="511" t="s">
        <v>606</v>
      </c>
      <c r="C240" s="560">
        <f t="shared" si="28"/>
        <v>9880.6714282723788</v>
      </c>
      <c r="D240" s="560">
        <f t="shared" si="28"/>
        <v>8480.9268056800775</v>
      </c>
      <c r="E240" s="562">
        <f t="shared" si="29"/>
        <v>-1399.7446225923013</v>
      </c>
    </row>
    <row r="241" spans="1:5" x14ac:dyDescent="0.2">
      <c r="A241" s="512">
        <v>3</v>
      </c>
      <c r="B241" s="511" t="s">
        <v>752</v>
      </c>
      <c r="C241" s="560">
        <f t="shared" si="28"/>
        <v>5297.6212578030018</v>
      </c>
      <c r="D241" s="560">
        <f t="shared" si="28"/>
        <v>6163.1240716213433</v>
      </c>
      <c r="E241" s="562">
        <f t="shared" si="29"/>
        <v>865.50281381834156</v>
      </c>
    </row>
    <row r="242" spans="1:5" x14ac:dyDescent="0.2">
      <c r="A242" s="512">
        <v>4</v>
      </c>
      <c r="B242" s="511" t="s">
        <v>114</v>
      </c>
      <c r="C242" s="560">
        <f t="shared" si="28"/>
        <v>5374.3955530066614</v>
      </c>
      <c r="D242" s="560">
        <f t="shared" si="28"/>
        <v>6148.7229874465156</v>
      </c>
      <c r="E242" s="562">
        <f t="shared" si="29"/>
        <v>774.32743443985419</v>
      </c>
    </row>
    <row r="243" spans="1:5" x14ac:dyDescent="0.2">
      <c r="A243" s="512">
        <v>5</v>
      </c>
      <c r="B243" s="511" t="s">
        <v>719</v>
      </c>
      <c r="C243" s="560">
        <f t="shared" si="28"/>
        <v>4389.8703790648833</v>
      </c>
      <c r="D243" s="560">
        <f t="shared" si="28"/>
        <v>7916.9110506713814</v>
      </c>
      <c r="E243" s="562">
        <f t="shared" si="29"/>
        <v>3527.0406716064981</v>
      </c>
    </row>
    <row r="244" spans="1:5" x14ac:dyDescent="0.2">
      <c r="A244" s="512">
        <v>6</v>
      </c>
      <c r="B244" s="511" t="s">
        <v>418</v>
      </c>
      <c r="C244" s="560">
        <f t="shared" si="28"/>
        <v>2188.5134421455341</v>
      </c>
      <c r="D244" s="560">
        <f t="shared" si="28"/>
        <v>4872.694172845645</v>
      </c>
      <c r="E244" s="562">
        <f t="shared" si="29"/>
        <v>2684.1807307001109</v>
      </c>
    </row>
    <row r="245" spans="1:5" x14ac:dyDescent="0.2">
      <c r="A245" s="512">
        <v>7</v>
      </c>
      <c r="B245" s="511" t="s">
        <v>734</v>
      </c>
      <c r="C245" s="560">
        <f t="shared" si="28"/>
        <v>1661.7694381821957</v>
      </c>
      <c r="D245" s="560">
        <f t="shared" si="28"/>
        <v>1495.0349362533998</v>
      </c>
      <c r="E245" s="562">
        <f t="shared" si="29"/>
        <v>-166.73450192879591</v>
      </c>
    </row>
    <row r="246" spans="1:5" ht="25.5" x14ac:dyDescent="0.2">
      <c r="A246" s="512"/>
      <c r="B246" s="516" t="s">
        <v>807</v>
      </c>
      <c r="C246" s="561">
        <f t="shared" si="28"/>
        <v>7968.180252788412</v>
      </c>
      <c r="D246" s="561">
        <f t="shared" si="28"/>
        <v>7453.2354305348354</v>
      </c>
      <c r="E246" s="563">
        <f t="shared" si="29"/>
        <v>-514.9448222535766</v>
      </c>
    </row>
    <row r="247" spans="1:5" x14ac:dyDescent="0.2">
      <c r="A247" s="512"/>
      <c r="B247" s="516" t="s">
        <v>808</v>
      </c>
      <c r="C247" s="561">
        <f t="shared" si="28"/>
        <v>10298.870604417622</v>
      </c>
      <c r="D247" s="561">
        <f t="shared" si="28"/>
        <v>11035.576931161935</v>
      </c>
      <c r="E247" s="563">
        <f t="shared" si="29"/>
        <v>736.70632674431363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736</v>
      </c>
      <c r="B249" s="550" t="s">
        <v>733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7509646.5407188712</v>
      </c>
      <c r="D251" s="546">
        <f>((IF((IF(D15=0,0,D26/D15)*D138)=0,0,D59/(IF(D15=0,0,D26/D15)*D138)))-(IF((IF(D17=0,0,D28/D17)*D140)=0,0,D61/(IF(D17=0,0,D28/D17)*D140))))*(IF(D17=0,0,D28/D17)*D140)</f>
        <v>5099565.1275680391</v>
      </c>
      <c r="E251" s="546">
        <f>D251-C251</f>
        <v>-2410081.4131508321</v>
      </c>
    </row>
    <row r="252" spans="1:5" x14ac:dyDescent="0.2">
      <c r="A252" s="512">
        <v>2</v>
      </c>
      <c r="B252" s="511" t="s">
        <v>719</v>
      </c>
      <c r="C252" s="546">
        <f>IF(C231=0,0,(C228-C231)*C207)+IF(C243=0,0,(C240-C243)*C219)</f>
        <v>920131.34931956255</v>
      </c>
      <c r="D252" s="546">
        <f>IF(D231=0,0,(D228-D231)*D207)+IF(D243=0,0,(D240-D243)*D219)</f>
        <v>-13963.017903490831</v>
      </c>
      <c r="E252" s="546">
        <f>D252-C252</f>
        <v>-934094.36722305336</v>
      </c>
    </row>
    <row r="253" spans="1:5" x14ac:dyDescent="0.2">
      <c r="A253" s="512">
        <v>3</v>
      </c>
      <c r="B253" s="511" t="s">
        <v>734</v>
      </c>
      <c r="C253" s="546">
        <f>IF(C233=0,0,(C228-C233)*C209+IF(C221=0,0,(C240-C245)*C221))</f>
        <v>11273143.386209458</v>
      </c>
      <c r="D253" s="546">
        <f>IF(D233=0,0,(D228-D233)*D209+IF(D221=0,0,(D240-D245)*D221))</f>
        <v>8534063.6274350099</v>
      </c>
      <c r="E253" s="546">
        <f>D253-C253</f>
        <v>-2739079.7587744482</v>
      </c>
    </row>
    <row r="254" spans="1:5" ht="15" customHeight="1" x14ac:dyDescent="0.2">
      <c r="A254" s="512"/>
      <c r="B254" s="516" t="s">
        <v>735</v>
      </c>
      <c r="C254" s="564">
        <f>+C251+C252+C253</f>
        <v>19702921.276247893</v>
      </c>
      <c r="D254" s="564">
        <f>+D251+D252+D253</f>
        <v>13619665.737099558</v>
      </c>
      <c r="E254" s="564">
        <f>D254-C254</f>
        <v>-6083255.5391483344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809</v>
      </c>
      <c r="B256" s="550" t="s">
        <v>810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701</v>
      </c>
      <c r="C258" s="546">
        <f>+C44</f>
        <v>741032516</v>
      </c>
      <c r="D258" s="549">
        <f>+D44</f>
        <v>853958106</v>
      </c>
      <c r="E258" s="546">
        <f t="shared" ref="E258:E271" si="30">D258-C258</f>
        <v>112925590</v>
      </c>
    </row>
    <row r="259" spans="1:5" x14ac:dyDescent="0.2">
      <c r="A259" s="512">
        <v>2</v>
      </c>
      <c r="B259" s="511" t="s">
        <v>718</v>
      </c>
      <c r="C259" s="546">
        <f>+(C43-C76)</f>
        <v>290816241</v>
      </c>
      <c r="D259" s="549">
        <f>+(D43-D76)</f>
        <v>351898486</v>
      </c>
      <c r="E259" s="546">
        <f t="shared" si="30"/>
        <v>61082245</v>
      </c>
    </row>
    <row r="260" spans="1:5" x14ac:dyDescent="0.2">
      <c r="A260" s="512">
        <v>3</v>
      </c>
      <c r="B260" s="511" t="s">
        <v>722</v>
      </c>
      <c r="C260" s="546">
        <f>C195</f>
        <v>41281695</v>
      </c>
      <c r="D260" s="546">
        <f>D195</f>
        <v>37981069</v>
      </c>
      <c r="E260" s="546">
        <f t="shared" si="30"/>
        <v>-3300626</v>
      </c>
    </row>
    <row r="261" spans="1:5" x14ac:dyDescent="0.2">
      <c r="A261" s="512">
        <v>4</v>
      </c>
      <c r="B261" s="511" t="s">
        <v>723</v>
      </c>
      <c r="C261" s="546">
        <f>C188</f>
        <v>103541033</v>
      </c>
      <c r="D261" s="546">
        <f>D188</f>
        <v>140584500</v>
      </c>
      <c r="E261" s="546">
        <f t="shared" si="30"/>
        <v>37043467</v>
      </c>
    </row>
    <row r="262" spans="1:5" x14ac:dyDescent="0.2">
      <c r="A262" s="512">
        <v>5</v>
      </c>
      <c r="B262" s="511" t="s">
        <v>724</v>
      </c>
      <c r="C262" s="546">
        <f>C191</f>
        <v>7533047</v>
      </c>
      <c r="D262" s="546">
        <f>D191</f>
        <v>9842925</v>
      </c>
      <c r="E262" s="546">
        <f t="shared" si="30"/>
        <v>2309878</v>
      </c>
    </row>
    <row r="263" spans="1:5" x14ac:dyDescent="0.2">
      <c r="A263" s="512">
        <v>6</v>
      </c>
      <c r="B263" s="511" t="s">
        <v>725</v>
      </c>
      <c r="C263" s="546">
        <f>+C259+C260+C261+C262</f>
        <v>443172016</v>
      </c>
      <c r="D263" s="546">
        <f>+D259+D260+D261+D262</f>
        <v>540306980</v>
      </c>
      <c r="E263" s="546">
        <f t="shared" si="30"/>
        <v>97134964</v>
      </c>
    </row>
    <row r="264" spans="1:5" x14ac:dyDescent="0.2">
      <c r="A264" s="512">
        <v>7</v>
      </c>
      <c r="B264" s="511" t="s">
        <v>625</v>
      </c>
      <c r="C264" s="546">
        <f>+C258-C263</f>
        <v>297860500</v>
      </c>
      <c r="D264" s="546">
        <f>+D258-D263</f>
        <v>313651126</v>
      </c>
      <c r="E264" s="546">
        <f t="shared" si="30"/>
        <v>15790626</v>
      </c>
    </row>
    <row r="265" spans="1:5" x14ac:dyDescent="0.2">
      <c r="A265" s="512">
        <v>8</v>
      </c>
      <c r="B265" s="511" t="s">
        <v>811</v>
      </c>
      <c r="C265" s="565">
        <f>C192</f>
        <v>2414316</v>
      </c>
      <c r="D265" s="565">
        <f>D192</f>
        <v>0</v>
      </c>
      <c r="E265" s="546">
        <f t="shared" si="30"/>
        <v>-2414316</v>
      </c>
    </row>
    <row r="266" spans="1:5" x14ac:dyDescent="0.2">
      <c r="A266" s="512">
        <v>9</v>
      </c>
      <c r="B266" s="511" t="s">
        <v>812</v>
      </c>
      <c r="C266" s="546">
        <f>+C264+C265</f>
        <v>300274816</v>
      </c>
      <c r="D266" s="546">
        <f>+D264+D265</f>
        <v>313651126</v>
      </c>
      <c r="E266" s="565">
        <f t="shared" si="30"/>
        <v>13376310</v>
      </c>
    </row>
    <row r="267" spans="1:5" x14ac:dyDescent="0.2">
      <c r="A267" s="512">
        <v>10</v>
      </c>
      <c r="B267" s="511" t="s">
        <v>813</v>
      </c>
      <c r="C267" s="566">
        <f>IF(C258=0,0,C266/C258)</f>
        <v>0.40521139021111457</v>
      </c>
      <c r="D267" s="566">
        <f>IF(D258=0,0,D266/D258)</f>
        <v>0.36729099916758678</v>
      </c>
      <c r="E267" s="567">
        <f t="shared" si="30"/>
        <v>-3.792039104352779E-2</v>
      </c>
    </row>
    <row r="268" spans="1:5" x14ac:dyDescent="0.2">
      <c r="A268" s="512">
        <v>11</v>
      </c>
      <c r="B268" s="511" t="s">
        <v>687</v>
      </c>
      <c r="C268" s="546">
        <f>+C260*C267</f>
        <v>16727813.021221217</v>
      </c>
      <c r="D268" s="568">
        <f>+D260*D267</f>
        <v>13950104.782463057</v>
      </c>
      <c r="E268" s="546">
        <f t="shared" si="30"/>
        <v>-2777708.2387581598</v>
      </c>
    </row>
    <row r="269" spans="1:5" x14ac:dyDescent="0.2">
      <c r="A269" s="512">
        <v>12</v>
      </c>
      <c r="B269" s="511" t="s">
        <v>814</v>
      </c>
      <c r="C269" s="546">
        <f>((C17+C18+C28+C29)*C267)-(C50+C51+C61+C62)</f>
        <v>14445339.939891346</v>
      </c>
      <c r="D269" s="568">
        <f>((D17+D18+D28+D29)*D267)-(D50+D51+D61+D62)</f>
        <v>14186010.615247563</v>
      </c>
      <c r="E269" s="546">
        <f t="shared" si="30"/>
        <v>-259329.32464378327</v>
      </c>
    </row>
    <row r="270" spans="1:5" s="569" customFormat="1" x14ac:dyDescent="0.2">
      <c r="A270" s="570">
        <v>13</v>
      </c>
      <c r="B270" s="571" t="s">
        <v>815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816</v>
      </c>
      <c r="C271" s="546">
        <f>+C268+C269+C270</f>
        <v>31173152.961112563</v>
      </c>
      <c r="D271" s="546">
        <f>+D268+D269+D270</f>
        <v>28136115.397710621</v>
      </c>
      <c r="E271" s="549">
        <f t="shared" si="30"/>
        <v>-3037037.5634019412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817</v>
      </c>
      <c r="B273" s="550" t="s">
        <v>818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819</v>
      </c>
      <c r="C275" s="340"/>
      <c r="D275" s="340"/>
      <c r="E275" s="520"/>
    </row>
    <row r="276" spans="1:5" x14ac:dyDescent="0.2">
      <c r="A276" s="512">
        <v>1</v>
      </c>
      <c r="B276" s="511" t="s">
        <v>627</v>
      </c>
      <c r="C276" s="547">
        <f t="shared" ref="C276:D284" si="31">IF(C14=0,0,+C47/C14)</f>
        <v>0.49937278436053573</v>
      </c>
      <c r="D276" s="547">
        <f t="shared" si="31"/>
        <v>0.52243106330106615</v>
      </c>
      <c r="E276" s="574">
        <f t="shared" ref="E276:E284" si="32">D276-C276</f>
        <v>2.3058278940530419E-2</v>
      </c>
    </row>
    <row r="277" spans="1:5" x14ac:dyDescent="0.2">
      <c r="A277" s="512">
        <v>2</v>
      </c>
      <c r="B277" s="511" t="s">
        <v>606</v>
      </c>
      <c r="C277" s="547">
        <f t="shared" si="31"/>
        <v>0.33930208706727688</v>
      </c>
      <c r="D277" s="547">
        <f t="shared" si="31"/>
        <v>0.30659462626297479</v>
      </c>
      <c r="E277" s="574">
        <f t="shared" si="32"/>
        <v>-3.2707460804302091E-2</v>
      </c>
    </row>
    <row r="278" spans="1:5" x14ac:dyDescent="0.2">
      <c r="A278" s="512">
        <v>3</v>
      </c>
      <c r="B278" s="511" t="s">
        <v>752</v>
      </c>
      <c r="C278" s="547">
        <f t="shared" si="31"/>
        <v>0.26848502369444022</v>
      </c>
      <c r="D278" s="547">
        <f t="shared" si="31"/>
        <v>0.2526825731376115</v>
      </c>
      <c r="E278" s="574">
        <f t="shared" si="32"/>
        <v>-1.5802450556828718E-2</v>
      </c>
    </row>
    <row r="279" spans="1:5" x14ac:dyDescent="0.2">
      <c r="A279" s="512">
        <v>4</v>
      </c>
      <c r="B279" s="511" t="s">
        <v>114</v>
      </c>
      <c r="C279" s="547">
        <f t="shared" si="31"/>
        <v>0.264825680588056</v>
      </c>
      <c r="D279" s="547">
        <f t="shared" si="31"/>
        <v>0.25138113135020462</v>
      </c>
      <c r="E279" s="574">
        <f t="shared" si="32"/>
        <v>-1.3444549237851378E-2</v>
      </c>
    </row>
    <row r="280" spans="1:5" x14ac:dyDescent="0.2">
      <c r="A280" s="512">
        <v>5</v>
      </c>
      <c r="B280" s="511" t="s">
        <v>719</v>
      </c>
      <c r="C280" s="547">
        <f t="shared" si="31"/>
        <v>0.30202661564188499</v>
      </c>
      <c r="D280" s="547">
        <f t="shared" si="31"/>
        <v>0.34226814889355117</v>
      </c>
      <c r="E280" s="574">
        <f t="shared" si="32"/>
        <v>4.0241533251666184E-2</v>
      </c>
    </row>
    <row r="281" spans="1:5" x14ac:dyDescent="0.2">
      <c r="A281" s="512">
        <v>6</v>
      </c>
      <c r="B281" s="511" t="s">
        <v>418</v>
      </c>
      <c r="C281" s="547">
        <f t="shared" si="31"/>
        <v>0.4255143282237791</v>
      </c>
      <c r="D281" s="547">
        <f t="shared" si="31"/>
        <v>0.26616546318271334</v>
      </c>
      <c r="E281" s="574">
        <f t="shared" si="32"/>
        <v>-0.15934886504106577</v>
      </c>
    </row>
    <row r="282" spans="1:5" x14ac:dyDescent="0.2">
      <c r="A282" s="512">
        <v>7</v>
      </c>
      <c r="B282" s="511" t="s">
        <v>734</v>
      </c>
      <c r="C282" s="547">
        <f t="shared" si="31"/>
        <v>8.638918583399427E-2</v>
      </c>
      <c r="D282" s="547">
        <f t="shared" si="31"/>
        <v>4.1287933825467547E-2</v>
      </c>
      <c r="E282" s="574">
        <f t="shared" si="32"/>
        <v>-4.5101252008526722E-2</v>
      </c>
    </row>
    <row r="283" spans="1:5" ht="29.25" customHeight="1" x14ac:dyDescent="0.2">
      <c r="A283" s="512"/>
      <c r="B283" s="516" t="s">
        <v>820</v>
      </c>
      <c r="C283" s="575">
        <f t="shared" si="31"/>
        <v>0.32438975280612226</v>
      </c>
      <c r="D283" s="575">
        <f t="shared" si="31"/>
        <v>0.29399240510306418</v>
      </c>
      <c r="E283" s="576">
        <f t="shared" si="32"/>
        <v>-3.0397347703058075E-2</v>
      </c>
    </row>
    <row r="284" spans="1:5" x14ac:dyDescent="0.2">
      <c r="A284" s="512"/>
      <c r="B284" s="516" t="s">
        <v>821</v>
      </c>
      <c r="C284" s="575">
        <f t="shared" si="31"/>
        <v>0.38087445163814704</v>
      </c>
      <c r="D284" s="575">
        <f t="shared" si="31"/>
        <v>0.36401845204934274</v>
      </c>
      <c r="E284" s="576">
        <f t="shared" si="32"/>
        <v>-1.6855999588804293E-2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822</v>
      </c>
      <c r="C286" s="520"/>
      <c r="D286" s="520"/>
      <c r="E286" s="520"/>
    </row>
    <row r="287" spans="1:5" x14ac:dyDescent="0.2">
      <c r="A287" s="512">
        <v>1</v>
      </c>
      <c r="B287" s="511" t="s">
        <v>627</v>
      </c>
      <c r="C287" s="547">
        <f t="shared" ref="C287:D295" si="33">IF(C25=0,0,+C58/C25)</f>
        <v>0.53051949486932126</v>
      </c>
      <c r="D287" s="547">
        <f t="shared" si="33"/>
        <v>0.53312441648803477</v>
      </c>
      <c r="E287" s="574">
        <f t="shared" ref="E287:E295" si="34">D287-C287</f>
        <v>2.6049216187135071E-3</v>
      </c>
    </row>
    <row r="288" spans="1:5" x14ac:dyDescent="0.2">
      <c r="A288" s="512">
        <v>2</v>
      </c>
      <c r="B288" s="511" t="s">
        <v>606</v>
      </c>
      <c r="C288" s="547">
        <f t="shared" si="33"/>
        <v>0.25745122874931053</v>
      </c>
      <c r="D288" s="547">
        <f t="shared" si="33"/>
        <v>0.21031295094210353</v>
      </c>
      <c r="E288" s="574">
        <f t="shared" si="34"/>
        <v>-4.7138277807207002E-2</v>
      </c>
    </row>
    <row r="289" spans="1:5" x14ac:dyDescent="0.2">
      <c r="A289" s="512">
        <v>3</v>
      </c>
      <c r="B289" s="511" t="s">
        <v>752</v>
      </c>
      <c r="C289" s="547">
        <f t="shared" si="33"/>
        <v>0.24217746166258522</v>
      </c>
      <c r="D289" s="547">
        <f t="shared" si="33"/>
        <v>0.25800550584442433</v>
      </c>
      <c r="E289" s="574">
        <f t="shared" si="34"/>
        <v>1.5828044181839113E-2</v>
      </c>
    </row>
    <row r="290" spans="1:5" x14ac:dyDescent="0.2">
      <c r="A290" s="512">
        <v>4</v>
      </c>
      <c r="B290" s="511" t="s">
        <v>114</v>
      </c>
      <c r="C290" s="547">
        <f t="shared" si="33"/>
        <v>0.25042471389009235</v>
      </c>
      <c r="D290" s="547">
        <f t="shared" si="33"/>
        <v>0.25761930820472578</v>
      </c>
      <c r="E290" s="574">
        <f t="shared" si="34"/>
        <v>7.194594314633429E-3</v>
      </c>
    </row>
    <row r="291" spans="1:5" x14ac:dyDescent="0.2">
      <c r="A291" s="512">
        <v>5</v>
      </c>
      <c r="B291" s="511" t="s">
        <v>719</v>
      </c>
      <c r="C291" s="547">
        <f t="shared" si="33"/>
        <v>0.16399717876888409</v>
      </c>
      <c r="D291" s="547">
        <f t="shared" si="33"/>
        <v>0.30063172676918393</v>
      </c>
      <c r="E291" s="574">
        <f t="shared" si="34"/>
        <v>0.13663454800029984</v>
      </c>
    </row>
    <row r="292" spans="1:5" x14ac:dyDescent="0.2">
      <c r="A292" s="512">
        <v>6</v>
      </c>
      <c r="B292" s="511" t="s">
        <v>418</v>
      </c>
      <c r="C292" s="547">
        <f t="shared" si="33"/>
        <v>0.11228072133819286</v>
      </c>
      <c r="D292" s="547">
        <f t="shared" si="33"/>
        <v>0.17980630825775257</v>
      </c>
      <c r="E292" s="574">
        <f t="shared" si="34"/>
        <v>6.7525586919559705E-2</v>
      </c>
    </row>
    <row r="293" spans="1:5" x14ac:dyDescent="0.2">
      <c r="A293" s="512">
        <v>7</v>
      </c>
      <c r="B293" s="511" t="s">
        <v>734</v>
      </c>
      <c r="C293" s="547">
        <f t="shared" si="33"/>
        <v>7.075844001273561E-2</v>
      </c>
      <c r="D293" s="547">
        <f t="shared" si="33"/>
        <v>5.8859923731939004E-2</v>
      </c>
      <c r="E293" s="574">
        <f t="shared" si="34"/>
        <v>-1.1898516280796606E-2</v>
      </c>
    </row>
    <row r="294" spans="1:5" ht="29.25" customHeight="1" x14ac:dyDescent="0.2">
      <c r="A294" s="512"/>
      <c r="B294" s="516" t="s">
        <v>823</v>
      </c>
      <c r="C294" s="575">
        <f t="shared" si="33"/>
        <v>0.2527287668652351</v>
      </c>
      <c r="D294" s="575">
        <f t="shared" si="33"/>
        <v>0.2253810936033683</v>
      </c>
      <c r="E294" s="576">
        <f t="shared" si="34"/>
        <v>-2.7347673261866795E-2</v>
      </c>
    </row>
    <row r="295" spans="1:5" x14ac:dyDescent="0.2">
      <c r="A295" s="512"/>
      <c r="B295" s="516" t="s">
        <v>824</v>
      </c>
      <c r="C295" s="575">
        <f t="shared" si="33"/>
        <v>0.41439446235268074</v>
      </c>
      <c r="D295" s="575">
        <f t="shared" si="33"/>
        <v>0.40472784574591208</v>
      </c>
      <c r="E295" s="576">
        <f t="shared" si="34"/>
        <v>-9.6666166067686521E-3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825</v>
      </c>
      <c r="B297" s="501" t="s">
        <v>826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827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625</v>
      </c>
      <c r="C301" s="514">
        <f>+C48+C47+C50+C51+C52+C59+C58+C61+C62+C63</f>
        <v>293377376</v>
      </c>
      <c r="D301" s="514">
        <f>+D48+D47+D50+D51+D52+D59+D58+D61+D62+D63</f>
        <v>327049213</v>
      </c>
      <c r="E301" s="514">
        <f>D301-C301</f>
        <v>33671837</v>
      </c>
    </row>
    <row r="302" spans="1:5" ht="25.5" x14ac:dyDescent="0.2">
      <c r="A302" s="512">
        <v>2</v>
      </c>
      <c r="B302" s="511" t="s">
        <v>828</v>
      </c>
      <c r="C302" s="546">
        <f>C265</f>
        <v>2414316</v>
      </c>
      <c r="D302" s="546">
        <f>D265</f>
        <v>0</v>
      </c>
      <c r="E302" s="514">
        <f>D302-C302</f>
        <v>-2414316</v>
      </c>
    </row>
    <row r="303" spans="1:5" x14ac:dyDescent="0.2">
      <c r="A303" s="512"/>
      <c r="B303" s="516" t="s">
        <v>829</v>
      </c>
      <c r="C303" s="517">
        <f>+C301+C302</f>
        <v>295791692</v>
      </c>
      <c r="D303" s="517">
        <f>+D301+D302</f>
        <v>327049213</v>
      </c>
      <c r="E303" s="517">
        <f>D303-C303</f>
        <v>31257521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830</v>
      </c>
      <c r="C305" s="513">
        <v>30788570</v>
      </c>
      <c r="D305" s="578">
        <v>23544847</v>
      </c>
      <c r="E305" s="579">
        <f>D305-C305</f>
        <v>-7243723</v>
      </c>
    </row>
    <row r="306" spans="1:5" x14ac:dyDescent="0.2">
      <c r="A306" s="512">
        <v>4</v>
      </c>
      <c r="B306" s="516" t="s">
        <v>831</v>
      </c>
      <c r="C306" s="580">
        <f>+C303+C305</f>
        <v>326580262</v>
      </c>
      <c r="D306" s="580">
        <f>+D303+D305</f>
        <v>350594060</v>
      </c>
      <c r="E306" s="580">
        <f>D306-C306</f>
        <v>24013798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832</v>
      </c>
      <c r="C308" s="513">
        <v>326580432</v>
      </c>
      <c r="D308" s="513">
        <v>350594448</v>
      </c>
      <c r="E308" s="514">
        <f>D308-C308</f>
        <v>24014016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833</v>
      </c>
      <c r="C310" s="581">
        <f>C306-C308</f>
        <v>-170</v>
      </c>
      <c r="D310" s="582">
        <f>D306-D308</f>
        <v>-388</v>
      </c>
      <c r="E310" s="580">
        <f>D310-C310</f>
        <v>-218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834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835</v>
      </c>
      <c r="C314" s="514">
        <f>+C14+C15+C16+C19+C25+C26+C27+C30</f>
        <v>741032516</v>
      </c>
      <c r="D314" s="514">
        <f>+D14+D15+D16+D19+D25+D26+D27+D30</f>
        <v>853958106</v>
      </c>
      <c r="E314" s="514">
        <f>D314-C314</f>
        <v>112925590</v>
      </c>
    </row>
    <row r="315" spans="1:5" x14ac:dyDescent="0.2">
      <c r="A315" s="512">
        <v>2</v>
      </c>
      <c r="B315" s="583" t="s">
        <v>836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837</v>
      </c>
      <c r="C316" s="581">
        <f>C314+C315</f>
        <v>741032516</v>
      </c>
      <c r="D316" s="581">
        <f>D314+D315</f>
        <v>853958106</v>
      </c>
      <c r="E316" s="517">
        <f>D316-C316</f>
        <v>112925590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838</v>
      </c>
      <c r="C318" s="513">
        <v>741032516</v>
      </c>
      <c r="D318" s="513">
        <v>853958106</v>
      </c>
      <c r="E318" s="514">
        <f>D318-C318</f>
        <v>112925590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833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839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840</v>
      </c>
      <c r="C324" s="513">
        <f>+C193+C194</f>
        <v>41281695</v>
      </c>
      <c r="D324" s="513">
        <f>+D193+D194</f>
        <v>37981069</v>
      </c>
      <c r="E324" s="514">
        <f>D324-C324</f>
        <v>-3300626</v>
      </c>
    </row>
    <row r="325" spans="1:5" x14ac:dyDescent="0.2">
      <c r="A325" s="512">
        <v>2</v>
      </c>
      <c r="B325" s="511" t="s">
        <v>841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842</v>
      </c>
      <c r="C326" s="581">
        <f>C324+C325</f>
        <v>41281695</v>
      </c>
      <c r="D326" s="581">
        <f>D324+D325</f>
        <v>37981069</v>
      </c>
      <c r="E326" s="517">
        <f>D326-C326</f>
        <v>-3300626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843</v>
      </c>
      <c r="C328" s="513">
        <v>41281695</v>
      </c>
      <c r="D328" s="513">
        <v>37981069</v>
      </c>
      <c r="E328" s="514">
        <f>D328-C328</f>
        <v>-3300626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844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FILING&amp;RNORWALK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597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845</v>
      </c>
      <c r="B5" s="696"/>
      <c r="C5" s="697"/>
      <c r="D5" s="585"/>
    </row>
    <row r="6" spans="1:58" s="338" customFormat="1" ht="15.75" customHeight="1" x14ac:dyDescent="0.25">
      <c r="A6" s="695" t="s">
        <v>846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847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848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751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627</v>
      </c>
      <c r="C14" s="513">
        <v>139842858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606</v>
      </c>
      <c r="C15" s="515">
        <v>242274230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752</v>
      </c>
      <c r="C16" s="515">
        <v>73562766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72509396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719</v>
      </c>
      <c r="C18" s="515">
        <v>1053370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514894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734</v>
      </c>
      <c r="C20" s="515">
        <v>5664173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753</v>
      </c>
      <c r="C21" s="517">
        <f>SUM(C15+C16+C19)</f>
        <v>316351890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693</v>
      </c>
      <c r="C22" s="517">
        <f>SUM(C14+C21)</f>
        <v>456194748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754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627</v>
      </c>
      <c r="C25" s="513">
        <v>231808657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606</v>
      </c>
      <c r="C26" s="515">
        <v>112935784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752</v>
      </c>
      <c r="C27" s="515">
        <v>52661132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52188301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719</v>
      </c>
      <c r="C29" s="515">
        <v>472831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357785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734</v>
      </c>
      <c r="C31" s="518">
        <v>24549726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755</v>
      </c>
      <c r="C32" s="517">
        <f>SUM(C26+C27+C30)</f>
        <v>165954701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699</v>
      </c>
      <c r="C33" s="517">
        <f>SUM(C25+C32)</f>
        <v>397763358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624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849</v>
      </c>
      <c r="C36" s="514">
        <f>SUM(C14+C25)</f>
        <v>371651515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850</v>
      </c>
      <c r="C37" s="518">
        <f>SUM(C21+C32)</f>
        <v>482306591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624</v>
      </c>
      <c r="C38" s="517">
        <f>SUM(+C36+C37)</f>
        <v>853958106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764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627</v>
      </c>
      <c r="C41" s="513">
        <v>73058253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606</v>
      </c>
      <c r="C42" s="515">
        <v>74279977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752</v>
      </c>
      <c r="C43" s="515">
        <v>18588029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18227494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719</v>
      </c>
      <c r="C45" s="515">
        <v>360535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137047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734</v>
      </c>
      <c r="C47" s="515">
        <v>233862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765</v>
      </c>
      <c r="C48" s="517">
        <f>SUM(C42+C43+C46)</f>
        <v>93005053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694</v>
      </c>
      <c r="C49" s="517">
        <f>SUM(C41+C48)</f>
        <v>166063306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766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627</v>
      </c>
      <c r="C52" s="513">
        <v>123582855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606</v>
      </c>
      <c r="C53" s="515">
        <v>23751858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752</v>
      </c>
      <c r="C54" s="515">
        <v>13586862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13444714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719</v>
      </c>
      <c r="C56" s="515">
        <v>142148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64332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734</v>
      </c>
      <c r="C58" s="515">
        <v>1444995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767</v>
      </c>
      <c r="C59" s="517">
        <f>SUM(C53+C54+C57)</f>
        <v>37403052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700</v>
      </c>
      <c r="C60" s="517">
        <f>SUM(C52+C59)</f>
        <v>160985907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625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851</v>
      </c>
      <c r="C63" s="514">
        <f>SUM(C41+C52)</f>
        <v>196641108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852</v>
      </c>
      <c r="C64" s="518">
        <f>SUM(C48+C59)</f>
        <v>130408105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625</v>
      </c>
      <c r="C65" s="517">
        <f>SUM(+C63+C64)</f>
        <v>327049213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853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854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627</v>
      </c>
      <c r="C70" s="530">
        <v>5773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606</v>
      </c>
      <c r="C71" s="530">
        <v>6008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752</v>
      </c>
      <c r="C72" s="530">
        <v>3078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3038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719</v>
      </c>
      <c r="C74" s="530">
        <v>40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19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734</v>
      </c>
      <c r="C76" s="545">
        <v>223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782</v>
      </c>
      <c r="C77" s="532">
        <f>SUM(C71+C72+C75)</f>
        <v>9105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696</v>
      </c>
      <c r="C78" s="596">
        <f>SUM(C70+C77)</f>
        <v>14878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787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627</v>
      </c>
      <c r="C81" s="541">
        <v>1.04515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606</v>
      </c>
      <c r="C82" s="541">
        <v>1.41103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752</v>
      </c>
      <c r="C83" s="541">
        <f>((C73*C84)+(C74*C85))/(C73+C74)</f>
        <v>0.94949762183235864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0.94935999999999998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719</v>
      </c>
      <c r="C85" s="541">
        <v>0.95994999999999997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0.86317999999999995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734</v>
      </c>
      <c r="C87" s="541">
        <v>1.03169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788</v>
      </c>
      <c r="C88" s="543">
        <f>((C71*C82)+(C73*C84)+(C74*C85)+(C75*C86))/(C71+C73+C74+C75)</f>
        <v>1.2538629697968149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697</v>
      </c>
      <c r="C89" s="543">
        <f>((C70*C81)+(C71*C82)+(C73*C84)+(C74*C85)+(C75*C86))/(C70+C71+C73+C74+C75)</f>
        <v>1.1728776240086036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789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790</v>
      </c>
      <c r="C92" s="513">
        <v>327394936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791</v>
      </c>
      <c r="C93" s="546">
        <v>186810436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639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723</v>
      </c>
      <c r="C95" s="513">
        <f>+C92-C93</f>
        <v>140584500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641</v>
      </c>
      <c r="C96" s="597">
        <f>(+C92-C93)/C92</f>
        <v>0.42940340408930455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738</v>
      </c>
      <c r="C98" s="513">
        <v>14007490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724</v>
      </c>
      <c r="C99" s="513">
        <v>9842925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855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793</v>
      </c>
      <c r="C103" s="513">
        <v>17327000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794</v>
      </c>
      <c r="C104" s="513">
        <v>20654069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795</v>
      </c>
      <c r="C105" s="578">
        <f>+C103+C104</f>
        <v>37981069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796</v>
      </c>
      <c r="C107" s="513">
        <v>12324861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681</v>
      </c>
      <c r="C108" s="513">
        <v>338475864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826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827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625</v>
      </c>
      <c r="C114" s="514">
        <f>+C65</f>
        <v>327049213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828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829</v>
      </c>
      <c r="C116" s="517">
        <f>+C114+C115</f>
        <v>327049213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830</v>
      </c>
      <c r="C118" s="578">
        <v>23544847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831</v>
      </c>
      <c r="C119" s="580">
        <f>+C116+C118</f>
        <v>350594060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832</v>
      </c>
      <c r="C121" s="513">
        <v>350594448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833</v>
      </c>
      <c r="C123" s="582">
        <f>C119-C121</f>
        <v>-388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834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835</v>
      </c>
      <c r="C127" s="514">
        <f>+C38</f>
        <v>853958106</v>
      </c>
      <c r="D127" s="588"/>
      <c r="AR127" s="507"/>
    </row>
    <row r="128" spans="1:58" s="506" customFormat="1" x14ac:dyDescent="0.2">
      <c r="A128" s="512">
        <v>2</v>
      </c>
      <c r="B128" s="583" t="s">
        <v>836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837</v>
      </c>
      <c r="C129" s="581">
        <f>C127+C128</f>
        <v>853958106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838</v>
      </c>
      <c r="C131" s="513">
        <v>853958106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833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839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840</v>
      </c>
      <c r="C137" s="513">
        <f>C105</f>
        <v>37981069</v>
      </c>
      <c r="D137" s="588"/>
      <c r="AR137" s="507"/>
    </row>
    <row r="138" spans="1:44" s="506" customFormat="1" x14ac:dyDescent="0.2">
      <c r="A138" s="512">
        <v>2</v>
      </c>
      <c r="B138" s="511" t="s">
        <v>856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842</v>
      </c>
      <c r="C139" s="581">
        <f>C137+C138</f>
        <v>37981069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857</v>
      </c>
      <c r="C141" s="513">
        <v>37981069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844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FILING&amp;RNORWALK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597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598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858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601</v>
      </c>
      <c r="D8" s="35" t="s">
        <v>601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603</v>
      </c>
      <c r="D9" s="607" t="s">
        <v>604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859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860</v>
      </c>
      <c r="C12" s="49">
        <v>3725</v>
      </c>
      <c r="D12" s="49">
        <v>4595</v>
      </c>
      <c r="E12" s="49">
        <f>+D12-C12</f>
        <v>870</v>
      </c>
      <c r="F12" s="70">
        <f>IF(C12=0,0,+E12/C12)</f>
        <v>0.23355704697986576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861</v>
      </c>
      <c r="C13" s="49">
        <v>3110</v>
      </c>
      <c r="D13" s="49">
        <v>3879</v>
      </c>
      <c r="E13" s="49">
        <f>+D13-C13</f>
        <v>769</v>
      </c>
      <c r="F13" s="70">
        <f>IF(C13=0,0,+E13/C13)</f>
        <v>0.2472668810289389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862</v>
      </c>
      <c r="C15" s="51">
        <v>18026000</v>
      </c>
      <c r="D15" s="51">
        <v>17327000</v>
      </c>
      <c r="E15" s="51">
        <f>+D15-C15</f>
        <v>-699000</v>
      </c>
      <c r="F15" s="70">
        <f>IF(C15=0,0,+E15/C15)</f>
        <v>-3.8777321646510599E-2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863</v>
      </c>
      <c r="C16" s="27">
        <f>IF(C13=0,0,+C15/+C13)</f>
        <v>5796.1414790996787</v>
      </c>
      <c r="D16" s="27">
        <f>IF(D13=0,0,+D15/+D13)</f>
        <v>4466.872905387987</v>
      </c>
      <c r="E16" s="27">
        <f>+D16-C16</f>
        <v>-1329.2685737116917</v>
      </c>
      <c r="F16" s="28">
        <f>IF(C16=0,0,+E16/C16)</f>
        <v>-0.22933680596046604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864</v>
      </c>
      <c r="C18" s="210">
        <v>0.47614200000000001</v>
      </c>
      <c r="D18" s="210">
        <v>0.447071</v>
      </c>
      <c r="E18" s="210">
        <f>+D18-C18</f>
        <v>-2.9071000000000013E-2</v>
      </c>
      <c r="F18" s="70">
        <f>IF(C18=0,0,+E18/C18)</f>
        <v>-6.1055315431110917E-2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865</v>
      </c>
      <c r="C19" s="27">
        <f>+C15*C18</f>
        <v>8582935.6919999998</v>
      </c>
      <c r="D19" s="27">
        <f>+D15*D18</f>
        <v>7746399.2170000002</v>
      </c>
      <c r="E19" s="27">
        <f>+D19-C19</f>
        <v>-836536.47499999963</v>
      </c>
      <c r="F19" s="28">
        <f>IF(C19=0,0,+E19/C19)</f>
        <v>-9.746507547292009E-2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866</v>
      </c>
      <c r="C20" s="27">
        <f>IF(C13=0,0,+C19/C13)</f>
        <v>2759.7863961414791</v>
      </c>
      <c r="D20" s="27">
        <f>IF(D13=0,0,+D19/D13)</f>
        <v>1997.0093366847127</v>
      </c>
      <c r="E20" s="27">
        <f>+D20-C20</f>
        <v>-762.77705945676644</v>
      </c>
      <c r="F20" s="28">
        <f>IF(C20=0,0,+E20/C20)</f>
        <v>-0.27638989036369721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867</v>
      </c>
      <c r="C22" s="51">
        <v>6348264</v>
      </c>
      <c r="D22" s="51">
        <v>3461740</v>
      </c>
      <c r="E22" s="51">
        <f>+D22-C22</f>
        <v>-2886524</v>
      </c>
      <c r="F22" s="70">
        <f>IF(C22=0,0,+E22/C22)</f>
        <v>-0.45469501583425009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868</v>
      </c>
      <c r="C23" s="49">
        <v>7995060</v>
      </c>
      <c r="D23" s="49">
        <v>8929795</v>
      </c>
      <c r="E23" s="49">
        <f>+D23-C23</f>
        <v>934735</v>
      </c>
      <c r="F23" s="70">
        <f>IF(C23=0,0,+E23/C23)</f>
        <v>0.1169140694378779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869</v>
      </c>
      <c r="C24" s="49">
        <v>3682676</v>
      </c>
      <c r="D24" s="49">
        <v>4935465</v>
      </c>
      <c r="E24" s="49">
        <f>+D24-C24</f>
        <v>1252789</v>
      </c>
      <c r="F24" s="70">
        <f>IF(C24=0,0,+E24/C24)</f>
        <v>0.34018442024223688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862</v>
      </c>
      <c r="C25" s="27">
        <f>+C22+C23+C24</f>
        <v>18026000</v>
      </c>
      <c r="D25" s="27">
        <f>+D22+D23+D24</f>
        <v>17327000</v>
      </c>
      <c r="E25" s="27">
        <f>+E22+E23+E24</f>
        <v>-699000</v>
      </c>
      <c r="F25" s="28">
        <f>IF(C25=0,0,+E25/C25)</f>
        <v>-3.8777321646510599E-2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870</v>
      </c>
      <c r="C27" s="49">
        <v>2477</v>
      </c>
      <c r="D27" s="49">
        <v>1946</v>
      </c>
      <c r="E27" s="49">
        <f>+D27-C27</f>
        <v>-531</v>
      </c>
      <c r="F27" s="70">
        <f>IF(C27=0,0,+E27/C27)</f>
        <v>-0.21437222446507873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871</v>
      </c>
      <c r="C28" s="49">
        <v>446</v>
      </c>
      <c r="D28" s="49">
        <v>401</v>
      </c>
      <c r="E28" s="49">
        <f>+D28-C28</f>
        <v>-45</v>
      </c>
      <c r="F28" s="70">
        <f>IF(C28=0,0,+E28/C28)</f>
        <v>-0.10089686098654709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872</v>
      </c>
      <c r="C29" s="49">
        <v>2044</v>
      </c>
      <c r="D29" s="49">
        <v>2346</v>
      </c>
      <c r="E29" s="49">
        <f>+D29-C29</f>
        <v>302</v>
      </c>
      <c r="F29" s="70">
        <f>IF(C29=0,0,+E29/C29)</f>
        <v>0.14774951076320939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873</v>
      </c>
      <c r="C30" s="49">
        <v>11229</v>
      </c>
      <c r="D30" s="49">
        <v>13333</v>
      </c>
      <c r="E30" s="49">
        <f>+D30-C30</f>
        <v>2104</v>
      </c>
      <c r="F30" s="70">
        <f>IF(C30=0,0,+E30/C30)</f>
        <v>0.18737198325763649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874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875</v>
      </c>
      <c r="C33" s="51">
        <v>8878002</v>
      </c>
      <c r="D33" s="51">
        <v>6161125</v>
      </c>
      <c r="E33" s="51">
        <f>+D33-C33</f>
        <v>-2716877</v>
      </c>
      <c r="F33" s="70">
        <f>IF(C33=0,0,+E33/C33)</f>
        <v>-0.30602347239840677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876</v>
      </c>
      <c r="C34" s="49">
        <v>4815832</v>
      </c>
      <c r="D34" s="49">
        <v>4521712</v>
      </c>
      <c r="E34" s="49">
        <f>+D34-C34</f>
        <v>-294120</v>
      </c>
      <c r="F34" s="70">
        <f>IF(C34=0,0,+E34/C34)</f>
        <v>-6.1073559044418496E-2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877</v>
      </c>
      <c r="C35" s="49">
        <v>9561861</v>
      </c>
      <c r="D35" s="49">
        <v>9971232</v>
      </c>
      <c r="E35" s="49">
        <f>+D35-C35</f>
        <v>409371</v>
      </c>
      <c r="F35" s="70">
        <f>IF(C35=0,0,+E35/C35)</f>
        <v>4.2812900124776967E-2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878</v>
      </c>
      <c r="C36" s="27">
        <f>+C33+C34+C35</f>
        <v>23255695</v>
      </c>
      <c r="D36" s="27">
        <f>+D33+D34+D35</f>
        <v>20654069</v>
      </c>
      <c r="E36" s="27">
        <f>+E33+E34+E35</f>
        <v>-2601626</v>
      </c>
      <c r="F36" s="28">
        <f>IF(C36=0,0,+E36/C36)</f>
        <v>-0.11187049021755746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879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880</v>
      </c>
      <c r="C39" s="51">
        <f>+C25</f>
        <v>18026000</v>
      </c>
      <c r="D39" s="51">
        <f>+D25</f>
        <v>17327000</v>
      </c>
      <c r="E39" s="51">
        <f>+D39-C39</f>
        <v>-699000</v>
      </c>
      <c r="F39" s="70">
        <f>IF(C39=0,0,+E39/C39)</f>
        <v>-3.8777321646510599E-2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881</v>
      </c>
      <c r="C40" s="49">
        <f>+C36</f>
        <v>23255695</v>
      </c>
      <c r="D40" s="49">
        <f>+D36</f>
        <v>20654069</v>
      </c>
      <c r="E40" s="49">
        <f>+D40-C40</f>
        <v>-2601626</v>
      </c>
      <c r="F40" s="70">
        <f>IF(C40=0,0,+E40/C40)</f>
        <v>-0.11187049021755746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882</v>
      </c>
      <c r="C41" s="27">
        <f>+C39+C40</f>
        <v>41281695</v>
      </c>
      <c r="D41" s="27">
        <f>+D39+D40</f>
        <v>37981069</v>
      </c>
      <c r="E41" s="27">
        <f>+E39+E40</f>
        <v>-3300626</v>
      </c>
      <c r="F41" s="28">
        <f>IF(C41=0,0,+E41/C41)</f>
        <v>-7.995374220947081E-2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883</v>
      </c>
      <c r="C43" s="51">
        <f t="shared" ref="C43:D45" si="0">+C22+C33</f>
        <v>15226266</v>
      </c>
      <c r="D43" s="51">
        <f t="shared" si="0"/>
        <v>9622865</v>
      </c>
      <c r="E43" s="51">
        <f>+D43-C43</f>
        <v>-5603401</v>
      </c>
      <c r="F43" s="70">
        <f>IF(C43=0,0,+E43/C43)</f>
        <v>-0.36800887361353074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884</v>
      </c>
      <c r="C44" s="49">
        <f t="shared" si="0"/>
        <v>12810892</v>
      </c>
      <c r="D44" s="49">
        <f t="shared" si="0"/>
        <v>13451507</v>
      </c>
      <c r="E44" s="49">
        <f>+D44-C44</f>
        <v>640615</v>
      </c>
      <c r="F44" s="70">
        <f>IF(C44=0,0,+E44/C44)</f>
        <v>5.0005495323822882E-2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885</v>
      </c>
      <c r="C45" s="49">
        <f t="shared" si="0"/>
        <v>13244537</v>
      </c>
      <c r="D45" s="49">
        <f t="shared" si="0"/>
        <v>14906697</v>
      </c>
      <c r="E45" s="49">
        <f>+D45-C45</f>
        <v>1662160</v>
      </c>
      <c r="F45" s="70">
        <f>IF(C45=0,0,+E45/C45)</f>
        <v>0.12549778070762307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882</v>
      </c>
      <c r="C46" s="27">
        <f>+C43+C44+C45</f>
        <v>41281695</v>
      </c>
      <c r="D46" s="27">
        <f>+D43+D44+D45</f>
        <v>37981069</v>
      </c>
      <c r="E46" s="27">
        <f>+E43+E44+E45</f>
        <v>-3300626</v>
      </c>
      <c r="F46" s="28">
        <f>IF(C46=0,0,+E46/C46)</f>
        <v>-7.995374220947081E-2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886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FILING&amp;RNORWALK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597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598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887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888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603</v>
      </c>
      <c r="D9" s="35" t="s">
        <v>604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889</v>
      </c>
      <c r="D10" s="35" t="s">
        <v>889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890</v>
      </c>
      <c r="D11" s="605" t="s">
        <v>890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891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278634332</v>
      </c>
      <c r="D15" s="51">
        <v>327394936</v>
      </c>
      <c r="E15" s="51">
        <f>+D15-C15</f>
        <v>48760604</v>
      </c>
      <c r="F15" s="70">
        <f>+E15/C15</f>
        <v>0.1749985497121008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507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892</v>
      </c>
      <c r="C17" s="51">
        <v>103541033</v>
      </c>
      <c r="D17" s="51">
        <v>140584500</v>
      </c>
      <c r="E17" s="51">
        <f>+D17-C17</f>
        <v>37043467</v>
      </c>
      <c r="F17" s="70">
        <f>+E17/C17</f>
        <v>0.35776605589785837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893</v>
      </c>
      <c r="C19" s="27">
        <f>+C15-C17</f>
        <v>175093299</v>
      </c>
      <c r="D19" s="27">
        <f>+D15-D17</f>
        <v>186810436</v>
      </c>
      <c r="E19" s="27">
        <f>+D19-C19</f>
        <v>11717137</v>
      </c>
      <c r="F19" s="28">
        <f>+E19/C19</f>
        <v>6.6919391358318064E-2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894</v>
      </c>
      <c r="C21" s="628">
        <f>+C17/C15</f>
        <v>0.3716018491217371</v>
      </c>
      <c r="D21" s="628">
        <f>+D17/D15</f>
        <v>0.42940340408930455</v>
      </c>
      <c r="E21" s="628">
        <f>+D21-C21</f>
        <v>5.7801554967567448E-2</v>
      </c>
      <c r="F21" s="28">
        <f>+E21/C21</f>
        <v>0.15554700576484914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507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507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507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507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895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FILING&amp;R&amp;12NORWALK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896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897</v>
      </c>
      <c r="B6" s="632" t="s">
        <v>898</v>
      </c>
      <c r="C6" s="632" t="s">
        <v>899</v>
      </c>
      <c r="D6" s="632" t="s">
        <v>900</v>
      </c>
      <c r="E6" s="632" t="s">
        <v>901</v>
      </c>
    </row>
    <row r="7" spans="1:6" ht="37.5" customHeight="1" x14ac:dyDescent="0.25">
      <c r="A7" s="633" t="s">
        <v>8</v>
      </c>
      <c r="B7" s="634" t="s">
        <v>902</v>
      </c>
      <c r="C7" s="631" t="s">
        <v>903</v>
      </c>
      <c r="D7" s="631" t="s">
        <v>904</v>
      </c>
      <c r="E7" s="631" t="s">
        <v>905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906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907</v>
      </c>
      <c r="C10" s="641">
        <v>372942888</v>
      </c>
      <c r="D10" s="641">
        <v>408782538</v>
      </c>
      <c r="E10" s="641">
        <v>456194748</v>
      </c>
    </row>
    <row r="11" spans="1:6" ht="26.1" customHeight="1" x14ac:dyDescent="0.25">
      <c r="A11" s="639">
        <v>2</v>
      </c>
      <c r="B11" s="640" t="s">
        <v>908</v>
      </c>
      <c r="C11" s="641">
        <v>289138477</v>
      </c>
      <c r="D11" s="641">
        <v>332249978</v>
      </c>
      <c r="E11" s="641">
        <v>397763358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662081365</v>
      </c>
      <c r="D12" s="641">
        <f>+D11+D10</f>
        <v>741032516</v>
      </c>
      <c r="E12" s="641">
        <f>+E11+E10</f>
        <v>853958106</v>
      </c>
    </row>
    <row r="13" spans="1:6" ht="26.1" customHeight="1" x14ac:dyDescent="0.25">
      <c r="A13" s="639">
        <v>4</v>
      </c>
      <c r="B13" s="640" t="s">
        <v>484</v>
      </c>
      <c r="C13" s="641">
        <v>322749162</v>
      </c>
      <c r="D13" s="641">
        <v>326580262</v>
      </c>
      <c r="E13" s="641">
        <v>350594448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909</v>
      </c>
      <c r="C16" s="641">
        <v>321077894</v>
      </c>
      <c r="D16" s="641">
        <v>337444501</v>
      </c>
      <c r="E16" s="641">
        <v>338475864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910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71363</v>
      </c>
      <c r="D19" s="644">
        <v>69417</v>
      </c>
      <c r="E19" s="644">
        <v>70355</v>
      </c>
    </row>
    <row r="20" spans="1:5" ht="26.1" customHeight="1" x14ac:dyDescent="0.25">
      <c r="A20" s="639">
        <v>2</v>
      </c>
      <c r="B20" s="640" t="s">
        <v>373</v>
      </c>
      <c r="C20" s="645">
        <v>15332</v>
      </c>
      <c r="D20" s="645">
        <v>14483</v>
      </c>
      <c r="E20" s="645">
        <v>14878</v>
      </c>
    </row>
    <row r="21" spans="1:5" ht="26.1" customHeight="1" x14ac:dyDescent="0.25">
      <c r="A21" s="639">
        <v>3</v>
      </c>
      <c r="B21" s="640" t="s">
        <v>911</v>
      </c>
      <c r="C21" s="646">
        <f>IF(C20=0,0,+C19/C20)</f>
        <v>4.6545134359509523</v>
      </c>
      <c r="D21" s="646">
        <f>IF(D20=0,0,+D19/D20)</f>
        <v>4.7929986881171027</v>
      </c>
      <c r="E21" s="646">
        <f>IF(E20=0,0,+E19/E20)</f>
        <v>4.728794192767845</v>
      </c>
    </row>
    <row r="22" spans="1:5" ht="26.1" customHeight="1" x14ac:dyDescent="0.25">
      <c r="A22" s="639">
        <v>4</v>
      </c>
      <c r="B22" s="640" t="s">
        <v>912</v>
      </c>
      <c r="C22" s="645">
        <f>IF(C10=0,0,C19*(C12/C10))</f>
        <v>126689.94092868987</v>
      </c>
      <c r="D22" s="645">
        <f>IF(D10=0,0,D19*(D12/D10))</f>
        <v>125837.69946448153</v>
      </c>
      <c r="E22" s="645">
        <f>IF(E10=0,0,E19*(E12/E10))</f>
        <v>131698.62829641782</v>
      </c>
    </row>
    <row r="23" spans="1:5" ht="26.1" customHeight="1" x14ac:dyDescent="0.25">
      <c r="A23" s="639">
        <v>0</v>
      </c>
      <c r="B23" s="640" t="s">
        <v>913</v>
      </c>
      <c r="C23" s="645">
        <f>IF(C10=0,0,C20*(C12/C10))</f>
        <v>27218.729233898142</v>
      </c>
      <c r="D23" s="645">
        <f>IF(D10=0,0,D20*(D12/D10))</f>
        <v>26254.482350779865</v>
      </c>
      <c r="E23" s="645">
        <f>IF(E10=0,0,E20*(E12/E10))</f>
        <v>27850.36162027012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914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1.1313194429950431</v>
      </c>
      <c r="D26" s="647">
        <v>1.1723366450321067</v>
      </c>
      <c r="E26" s="647">
        <v>1.1728776240086036</v>
      </c>
    </row>
    <row r="27" spans="1:5" ht="26.1" customHeight="1" x14ac:dyDescent="0.25">
      <c r="A27" s="639">
        <v>2</v>
      </c>
      <c r="B27" s="640" t="s">
        <v>915</v>
      </c>
      <c r="C27" s="645">
        <f>C19*C26</f>
        <v>80734.349410455252</v>
      </c>
      <c r="D27" s="645">
        <f>D19*D26</f>
        <v>81380.092888193743</v>
      </c>
      <c r="E27" s="645">
        <f>E19*E26</f>
        <v>82517.805237125314</v>
      </c>
    </row>
    <row r="28" spans="1:5" ht="26.1" customHeight="1" x14ac:dyDescent="0.25">
      <c r="A28" s="639">
        <v>3</v>
      </c>
      <c r="B28" s="640" t="s">
        <v>916</v>
      </c>
      <c r="C28" s="645">
        <f>C20*C26</f>
        <v>17345.3897</v>
      </c>
      <c r="D28" s="645">
        <f>D20*D26</f>
        <v>16978.95163</v>
      </c>
      <c r="E28" s="645">
        <f>E20*E26</f>
        <v>17450.073290000004</v>
      </c>
    </row>
    <row r="29" spans="1:5" ht="26.1" customHeight="1" x14ac:dyDescent="0.25">
      <c r="A29" s="639">
        <v>4</v>
      </c>
      <c r="B29" s="640" t="s">
        <v>917</v>
      </c>
      <c r="C29" s="645">
        <f>C22*C26</f>
        <v>143326.79340452034</v>
      </c>
      <c r="D29" s="645">
        <f>D22*D26</f>
        <v>147524.14640874881</v>
      </c>
      <c r="E29" s="645">
        <f>E22*E26</f>
        <v>154466.37424149478</v>
      </c>
    </row>
    <row r="30" spans="1:5" ht="26.1" customHeight="1" x14ac:dyDescent="0.25">
      <c r="A30" s="639">
        <v>5</v>
      </c>
      <c r="B30" s="640" t="s">
        <v>918</v>
      </c>
      <c r="C30" s="645">
        <f>C23*C26</f>
        <v>30793.077595926541</v>
      </c>
      <c r="D30" s="645">
        <f>D23*D26</f>
        <v>30779.091756167923</v>
      </c>
      <c r="E30" s="645">
        <f>E23*E26</f>
        <v>32665.065964962821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919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920</v>
      </c>
      <c r="C33" s="641">
        <f>IF(C19=0,0,C12/C19)</f>
        <v>9277.6559982063536</v>
      </c>
      <c r="D33" s="641">
        <f>IF(D19=0,0,D12/D19)</f>
        <v>10675.087024792198</v>
      </c>
      <c r="E33" s="641">
        <f>IF(E19=0,0,E12/E19)</f>
        <v>12137.845298841588</v>
      </c>
    </row>
    <row r="34" spans="1:5" ht="26.1" customHeight="1" x14ac:dyDescent="0.25">
      <c r="A34" s="639">
        <v>2</v>
      </c>
      <c r="B34" s="640" t="s">
        <v>921</v>
      </c>
      <c r="C34" s="641">
        <f>IF(C20=0,0,C12/C20)</f>
        <v>43182.974497782416</v>
      </c>
      <c r="D34" s="641">
        <f>IF(D20=0,0,D12/D20)</f>
        <v>51165.67810536491</v>
      </c>
      <c r="E34" s="641">
        <f>IF(E20=0,0,E12/E20)</f>
        <v>57397.372361876594</v>
      </c>
    </row>
    <row r="35" spans="1:5" ht="26.1" customHeight="1" x14ac:dyDescent="0.25">
      <c r="A35" s="639">
        <v>3</v>
      </c>
      <c r="B35" s="640" t="s">
        <v>922</v>
      </c>
      <c r="C35" s="641">
        <f>IF(C22=0,0,C12/C22)</f>
        <v>5225.9978980704282</v>
      </c>
      <c r="D35" s="641">
        <f>IF(D22=0,0,D12/D22)</f>
        <v>5888.7957992998836</v>
      </c>
      <c r="E35" s="641">
        <f>IF(E22=0,0,E12/E22)</f>
        <v>6484.1837538199134</v>
      </c>
    </row>
    <row r="36" spans="1:5" ht="26.1" customHeight="1" x14ac:dyDescent="0.25">
      <c r="A36" s="639">
        <v>4</v>
      </c>
      <c r="B36" s="640" t="s">
        <v>923</v>
      </c>
      <c r="C36" s="641">
        <f>IF(C23=0,0,C12/C23)</f>
        <v>24324.477432820244</v>
      </c>
      <c r="D36" s="641">
        <f>IF(D23=0,0,D12/D23)</f>
        <v>28224.990540633848</v>
      </c>
      <c r="E36" s="641">
        <f>IF(E23=0,0,E12/E23)</f>
        <v>30662.370479903217</v>
      </c>
    </row>
    <row r="37" spans="1:5" ht="26.1" customHeight="1" x14ac:dyDescent="0.25">
      <c r="A37" s="639">
        <v>5</v>
      </c>
      <c r="B37" s="640" t="s">
        <v>924</v>
      </c>
      <c r="C37" s="641">
        <f>IF(C29=0,0,C12/C29)</f>
        <v>4619.3830844409222</v>
      </c>
      <c r="D37" s="641">
        <f>IF(D29=0,0,D12/D29)</f>
        <v>5023.1269527010363</v>
      </c>
      <c r="E37" s="641">
        <f>IF(E29=0,0,E12/E29)</f>
        <v>5528.4401552982044</v>
      </c>
    </row>
    <row r="38" spans="1:5" ht="26.1" customHeight="1" x14ac:dyDescent="0.25">
      <c r="A38" s="639">
        <v>6</v>
      </c>
      <c r="B38" s="640" t="s">
        <v>925</v>
      </c>
      <c r="C38" s="641">
        <f>IF(C30=0,0,C12/C30)</f>
        <v>21500.980632334828</v>
      </c>
      <c r="D38" s="641">
        <f>IF(D30=0,0,D12/D30)</f>
        <v>24075.840894541732</v>
      </c>
      <c r="E38" s="641">
        <f>IF(E30=0,0,E12/E30)</f>
        <v>26142.855701438715</v>
      </c>
    </row>
    <row r="39" spans="1:5" ht="26.1" customHeight="1" x14ac:dyDescent="0.25">
      <c r="A39" s="639">
        <v>7</v>
      </c>
      <c r="B39" s="640" t="s">
        <v>926</v>
      </c>
      <c r="C39" s="641">
        <f>IF(C22=0,0,C10/C22)</f>
        <v>2943.7450618902635</v>
      </c>
      <c r="D39" s="641">
        <f>IF(D22=0,0,D10/D22)</f>
        <v>3248.4902357530891</v>
      </c>
      <c r="E39" s="641">
        <f>IF(E22=0,0,E10/E22)</f>
        <v>3463.9293810504205</v>
      </c>
    </row>
    <row r="40" spans="1:5" ht="26.1" customHeight="1" x14ac:dyDescent="0.25">
      <c r="A40" s="639">
        <v>8</v>
      </c>
      <c r="B40" s="640" t="s">
        <v>927</v>
      </c>
      <c r="C40" s="641">
        <f>IF(C23=0,0,C10/C23)</f>
        <v>13701.7009425825</v>
      </c>
      <c r="D40" s="641">
        <f>IF(D23=0,0,D10/D23)</f>
        <v>15570.009438325777</v>
      </c>
      <c r="E40" s="641">
        <f>IF(E23=0,0,E10/E23)</f>
        <v>16380.209141269146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928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929</v>
      </c>
      <c r="C43" s="641">
        <f>IF(C19=0,0,C13/C19)</f>
        <v>4522.6400515673386</v>
      </c>
      <c r="D43" s="641">
        <f>IF(D19=0,0,D13/D19)</f>
        <v>4704.6150366624888</v>
      </c>
      <c r="E43" s="641">
        <f>IF(E19=0,0,E13/E19)</f>
        <v>4983.2200696467917</v>
      </c>
    </row>
    <row r="44" spans="1:5" ht="26.1" customHeight="1" x14ac:dyDescent="0.25">
      <c r="A44" s="639">
        <v>2</v>
      </c>
      <c r="B44" s="640" t="s">
        <v>930</v>
      </c>
      <c r="C44" s="641">
        <f>IF(C20=0,0,C13/C20)</f>
        <v>21050.688885990086</v>
      </c>
      <c r="D44" s="641">
        <f>IF(D20=0,0,D13/D20)</f>
        <v>22549.213698819305</v>
      </c>
      <c r="E44" s="641">
        <f>IF(E20=0,0,E13/E20)</f>
        <v>23564.622126629922</v>
      </c>
    </row>
    <row r="45" spans="1:5" ht="26.1" customHeight="1" x14ac:dyDescent="0.25">
      <c r="A45" s="639">
        <v>3</v>
      </c>
      <c r="B45" s="640" t="s">
        <v>931</v>
      </c>
      <c r="C45" s="641">
        <f>IF(C22=0,0,C13/C22)</f>
        <v>2547.5516022354627</v>
      </c>
      <c r="D45" s="641">
        <f>IF(D22=0,0,D13/D22)</f>
        <v>2595.2497811848452</v>
      </c>
      <c r="E45" s="641">
        <f>IF(E22=0,0,E13/E22)</f>
        <v>2662.0964283007352</v>
      </c>
    </row>
    <row r="46" spans="1:5" ht="26.1" customHeight="1" x14ac:dyDescent="0.25">
      <c r="A46" s="639">
        <v>4</v>
      </c>
      <c r="B46" s="640" t="s">
        <v>932</v>
      </c>
      <c r="C46" s="641">
        <f>IF(C23=0,0,C13/C23)</f>
        <v>11857.613161383337</v>
      </c>
      <c r="D46" s="641">
        <f>IF(D23=0,0,D13/D23)</f>
        <v>12439.028796555162</v>
      </c>
      <c r="E46" s="641">
        <f>IF(E23=0,0,E13/E23)</f>
        <v>12588.506130736539</v>
      </c>
    </row>
    <row r="47" spans="1:5" ht="26.1" customHeight="1" x14ac:dyDescent="0.25">
      <c r="A47" s="639">
        <v>5</v>
      </c>
      <c r="B47" s="640" t="s">
        <v>933</v>
      </c>
      <c r="C47" s="641">
        <f>IF(C29=0,0,C13/C29)</f>
        <v>2251.8410852120614</v>
      </c>
      <c r="D47" s="641">
        <f>IF(D29=0,0,D13/D29)</f>
        <v>2213.7410718861979</v>
      </c>
      <c r="E47" s="641">
        <f>IF(E29=0,0,E13/E29)</f>
        <v>2269.7137142086081</v>
      </c>
    </row>
    <row r="48" spans="1:5" ht="26.1" customHeight="1" x14ac:dyDescent="0.25">
      <c r="A48" s="639">
        <v>6</v>
      </c>
      <c r="B48" s="640" t="s">
        <v>934</v>
      </c>
      <c r="C48" s="641">
        <f>IF(C30=0,0,C13/C30)</f>
        <v>10481.224586745913</v>
      </c>
      <c r="D48" s="641">
        <f>IF(D30=0,0,D13/D30)</f>
        <v>10610.458053381497</v>
      </c>
      <c r="E48" s="641">
        <f>IF(E30=0,0,E13/E30)</f>
        <v>10733.009030995203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935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936</v>
      </c>
      <c r="C51" s="641">
        <f>IF(C19=0,0,C16/C19)</f>
        <v>4499.2208006950377</v>
      </c>
      <c r="D51" s="641">
        <f>IF(D19=0,0,D16/D19)</f>
        <v>4861.1219297866519</v>
      </c>
      <c r="E51" s="641">
        <f>IF(E19=0,0,E16/E19)</f>
        <v>4810.9709899793907</v>
      </c>
    </row>
    <row r="52" spans="1:6" ht="26.1" customHeight="1" x14ac:dyDescent="0.25">
      <c r="A52" s="639">
        <v>2</v>
      </c>
      <c r="B52" s="640" t="s">
        <v>937</v>
      </c>
      <c r="C52" s="641">
        <f>IF(C20=0,0,C16/C20)</f>
        <v>20941.683668145055</v>
      </c>
      <c r="D52" s="641">
        <f>IF(D20=0,0,D16/D20)</f>
        <v>23299.3510322447</v>
      </c>
      <c r="E52" s="641">
        <f>IF(E20=0,0,E16/E20)</f>
        <v>22750.091678989113</v>
      </c>
    </row>
    <row r="53" spans="1:6" ht="26.1" customHeight="1" x14ac:dyDescent="0.25">
      <c r="A53" s="639">
        <v>3</v>
      </c>
      <c r="B53" s="640" t="s">
        <v>938</v>
      </c>
      <c r="C53" s="641">
        <f>IF(C22=0,0,C16/C22)</f>
        <v>2534.359805098698</v>
      </c>
      <c r="D53" s="641">
        <f>IF(D22=0,0,D16/D22)</f>
        <v>2681.5851087236842</v>
      </c>
      <c r="E53" s="641">
        <f>IF(E22=0,0,E16/E22)</f>
        <v>2570.0788867609372</v>
      </c>
    </row>
    <row r="54" spans="1:6" ht="26.1" customHeight="1" x14ac:dyDescent="0.25">
      <c r="A54" s="639">
        <v>4</v>
      </c>
      <c r="B54" s="640" t="s">
        <v>939</v>
      </c>
      <c r="C54" s="641">
        <f>IF(C23=0,0,C16/C23)</f>
        <v>11796.211764365926</v>
      </c>
      <c r="D54" s="641">
        <f>IF(D23=0,0,D16/D23)</f>
        <v>12852.833908186978</v>
      </c>
      <c r="E54" s="641">
        <f>IF(E23=0,0,E16/E23)</f>
        <v>12153.374114670369</v>
      </c>
    </row>
    <row r="55" spans="1:6" ht="26.1" customHeight="1" x14ac:dyDescent="0.25">
      <c r="A55" s="639">
        <v>5</v>
      </c>
      <c r="B55" s="640" t="s">
        <v>940</v>
      </c>
      <c r="C55" s="641">
        <f>IF(C29=0,0,C16/C29)</f>
        <v>2240.1805438694314</v>
      </c>
      <c r="D55" s="641">
        <f>IF(D29=0,0,D16/D29)</f>
        <v>2287.3848736940604</v>
      </c>
      <c r="E55" s="641">
        <f>IF(E29=0,0,E16/E29)</f>
        <v>2191.2592022832255</v>
      </c>
    </row>
    <row r="56" spans="1:6" ht="26.1" customHeight="1" x14ac:dyDescent="0.25">
      <c r="A56" s="639">
        <v>6</v>
      </c>
      <c r="B56" s="640" t="s">
        <v>941</v>
      </c>
      <c r="C56" s="641">
        <f>IF(C30=0,0,C16/C30)</f>
        <v>10426.95044039618</v>
      </c>
      <c r="D56" s="641">
        <f>IF(D30=0,0,D16/D30)</f>
        <v>10963.432698834538</v>
      </c>
      <c r="E56" s="641">
        <f>IF(E30=0,0,E16/E30)</f>
        <v>10362.013790606017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942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943</v>
      </c>
      <c r="C59" s="649">
        <v>45263053</v>
      </c>
      <c r="D59" s="649">
        <v>45786858</v>
      </c>
      <c r="E59" s="649">
        <v>45217418</v>
      </c>
    </row>
    <row r="60" spans="1:6" ht="26.1" customHeight="1" x14ac:dyDescent="0.25">
      <c r="A60" s="639">
        <v>2</v>
      </c>
      <c r="B60" s="640" t="s">
        <v>944</v>
      </c>
      <c r="C60" s="649">
        <v>11773329</v>
      </c>
      <c r="D60" s="649">
        <v>13413788</v>
      </c>
      <c r="E60" s="649">
        <v>11940821</v>
      </c>
    </row>
    <row r="61" spans="1:6" ht="26.1" customHeight="1" x14ac:dyDescent="0.25">
      <c r="A61" s="650">
        <v>3</v>
      </c>
      <c r="B61" s="651" t="s">
        <v>945</v>
      </c>
      <c r="C61" s="652">
        <f>C59+C60</f>
        <v>57036382</v>
      </c>
      <c r="D61" s="652">
        <f>D59+D60</f>
        <v>59200646</v>
      </c>
      <c r="E61" s="652">
        <f>E59+E60</f>
        <v>57158239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946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947</v>
      </c>
      <c r="C64" s="641">
        <v>14846700</v>
      </c>
      <c r="D64" s="641">
        <v>16914558</v>
      </c>
      <c r="E64" s="649">
        <v>15263892</v>
      </c>
      <c r="F64" s="653"/>
    </row>
    <row r="65" spans="1:6" ht="26.1" customHeight="1" x14ac:dyDescent="0.25">
      <c r="A65" s="639">
        <v>2</v>
      </c>
      <c r="B65" s="640" t="s">
        <v>948</v>
      </c>
      <c r="C65" s="649">
        <v>1940855</v>
      </c>
      <c r="D65" s="649">
        <v>2509283</v>
      </c>
      <c r="E65" s="649">
        <v>1874277</v>
      </c>
      <c r="F65" s="653"/>
    </row>
    <row r="66" spans="1:6" ht="26.1" customHeight="1" x14ac:dyDescent="0.25">
      <c r="A66" s="650">
        <v>3</v>
      </c>
      <c r="B66" s="651" t="s">
        <v>949</v>
      </c>
      <c r="C66" s="654">
        <f>C64+C65</f>
        <v>16787555</v>
      </c>
      <c r="D66" s="654">
        <f>D64+D65</f>
        <v>19423841</v>
      </c>
      <c r="E66" s="654">
        <f>E64+E65</f>
        <v>17138169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950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951</v>
      </c>
      <c r="C69" s="649">
        <v>68379426</v>
      </c>
      <c r="D69" s="649">
        <v>67563362</v>
      </c>
      <c r="E69" s="649">
        <v>71810399</v>
      </c>
    </row>
    <row r="70" spans="1:6" ht="26.1" customHeight="1" x14ac:dyDescent="0.25">
      <c r="A70" s="639">
        <v>2</v>
      </c>
      <c r="B70" s="640" t="s">
        <v>952</v>
      </c>
      <c r="C70" s="649">
        <v>27061782</v>
      </c>
      <c r="D70" s="649">
        <v>30756962</v>
      </c>
      <c r="E70" s="649">
        <v>28758833</v>
      </c>
    </row>
    <row r="71" spans="1:6" ht="26.1" customHeight="1" x14ac:dyDescent="0.25">
      <c r="A71" s="650">
        <v>3</v>
      </c>
      <c r="B71" s="651" t="s">
        <v>953</v>
      </c>
      <c r="C71" s="652">
        <f>C69+C70</f>
        <v>95441208</v>
      </c>
      <c r="D71" s="652">
        <f>D69+D70</f>
        <v>98320324</v>
      </c>
      <c r="E71" s="652">
        <f>E69+E70</f>
        <v>100569232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954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955</v>
      </c>
      <c r="C75" s="641">
        <f t="shared" ref="C75:E76" si="0">+C59+C64+C69</f>
        <v>128489179</v>
      </c>
      <c r="D75" s="641">
        <f t="shared" si="0"/>
        <v>130264778</v>
      </c>
      <c r="E75" s="641">
        <f t="shared" si="0"/>
        <v>132291709</v>
      </c>
    </row>
    <row r="76" spans="1:6" ht="26.1" customHeight="1" x14ac:dyDescent="0.25">
      <c r="A76" s="639">
        <v>2</v>
      </c>
      <c r="B76" s="640" t="s">
        <v>956</v>
      </c>
      <c r="C76" s="641">
        <f t="shared" si="0"/>
        <v>40775966</v>
      </c>
      <c r="D76" s="641">
        <f t="shared" si="0"/>
        <v>46680033</v>
      </c>
      <c r="E76" s="641">
        <f t="shared" si="0"/>
        <v>42573931</v>
      </c>
    </row>
    <row r="77" spans="1:6" ht="26.1" customHeight="1" x14ac:dyDescent="0.25">
      <c r="A77" s="650">
        <v>3</v>
      </c>
      <c r="B77" s="651" t="s">
        <v>954</v>
      </c>
      <c r="C77" s="654">
        <f>C75+C76</f>
        <v>169265145</v>
      </c>
      <c r="D77" s="654">
        <f>D75+D76</f>
        <v>176944811</v>
      </c>
      <c r="E77" s="654">
        <f>E75+E76</f>
        <v>174865640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957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583</v>
      </c>
      <c r="C80" s="646">
        <v>481.2</v>
      </c>
      <c r="D80" s="646">
        <v>488.6</v>
      </c>
      <c r="E80" s="646">
        <v>462.7</v>
      </c>
    </row>
    <row r="81" spans="1:5" ht="26.1" customHeight="1" x14ac:dyDescent="0.25">
      <c r="A81" s="639">
        <v>2</v>
      </c>
      <c r="B81" s="640" t="s">
        <v>584</v>
      </c>
      <c r="C81" s="646">
        <v>96.3</v>
      </c>
      <c r="D81" s="646">
        <v>105.8</v>
      </c>
      <c r="E81" s="646">
        <v>103.9</v>
      </c>
    </row>
    <row r="82" spans="1:5" ht="26.1" customHeight="1" x14ac:dyDescent="0.25">
      <c r="A82" s="639">
        <v>3</v>
      </c>
      <c r="B82" s="640" t="s">
        <v>958</v>
      </c>
      <c r="C82" s="646">
        <v>1117.8</v>
      </c>
      <c r="D82" s="646">
        <v>1132.2</v>
      </c>
      <c r="E82" s="646">
        <v>1131.8</v>
      </c>
    </row>
    <row r="83" spans="1:5" ht="26.1" customHeight="1" x14ac:dyDescent="0.25">
      <c r="A83" s="650">
        <v>4</v>
      </c>
      <c r="B83" s="651" t="s">
        <v>957</v>
      </c>
      <c r="C83" s="656">
        <f>C80+C81+C82</f>
        <v>1695.3</v>
      </c>
      <c r="D83" s="656">
        <f>D80+D81+D82</f>
        <v>1726.6</v>
      </c>
      <c r="E83" s="656">
        <f>E80+E81+E82</f>
        <v>1698.4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959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960</v>
      </c>
      <c r="C86" s="649">
        <f>IF(C80=0,0,C59/C80)</f>
        <v>94062.86990856193</v>
      </c>
      <c r="D86" s="649">
        <f>IF(D80=0,0,D59/D80)</f>
        <v>93710.311092918535</v>
      </c>
      <c r="E86" s="649">
        <f>IF(E80=0,0,E59/E80)</f>
        <v>97725.130754268423</v>
      </c>
    </row>
    <row r="87" spans="1:5" ht="26.1" customHeight="1" x14ac:dyDescent="0.25">
      <c r="A87" s="639">
        <v>2</v>
      </c>
      <c r="B87" s="640" t="s">
        <v>961</v>
      </c>
      <c r="C87" s="649">
        <f>IF(C80=0,0,C60/C80)</f>
        <v>24466.602244389029</v>
      </c>
      <c r="D87" s="649">
        <f>IF(D80=0,0,D60/D80)</f>
        <v>27453.516168645107</v>
      </c>
      <c r="E87" s="649">
        <f>IF(E80=0,0,E60/E80)</f>
        <v>25806.831640371733</v>
      </c>
    </row>
    <row r="88" spans="1:5" ht="26.1" customHeight="1" x14ac:dyDescent="0.25">
      <c r="A88" s="650">
        <v>3</v>
      </c>
      <c r="B88" s="651" t="s">
        <v>962</v>
      </c>
      <c r="C88" s="652">
        <f>+C86+C87</f>
        <v>118529.47215295096</v>
      </c>
      <c r="D88" s="652">
        <f>+D86+D87</f>
        <v>121163.82726156364</v>
      </c>
      <c r="E88" s="652">
        <f>+E86+E87</f>
        <v>123531.96239464016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581</v>
      </c>
      <c r="B90" s="642" t="s">
        <v>963</v>
      </c>
    </row>
    <row r="91" spans="1:5" ht="26.1" customHeight="1" x14ac:dyDescent="0.25">
      <c r="A91" s="639">
        <v>1</v>
      </c>
      <c r="B91" s="640" t="s">
        <v>964</v>
      </c>
      <c r="C91" s="641">
        <f>IF(C81=0,0,C64/C81)</f>
        <v>154171.33956386294</v>
      </c>
      <c r="D91" s="641">
        <f>IF(D81=0,0,D64/D81)</f>
        <v>159872.94896030246</v>
      </c>
      <c r="E91" s="641">
        <f>IF(E81=0,0,E64/E81)</f>
        <v>146909.45139557266</v>
      </c>
    </row>
    <row r="92" spans="1:5" ht="26.1" customHeight="1" x14ac:dyDescent="0.25">
      <c r="A92" s="639">
        <v>2</v>
      </c>
      <c r="B92" s="640" t="s">
        <v>965</v>
      </c>
      <c r="C92" s="641">
        <f>IF(C81=0,0,C65/C81)</f>
        <v>20154.257528556594</v>
      </c>
      <c r="D92" s="641">
        <f>IF(D81=0,0,D65/D81)</f>
        <v>23717.230623818527</v>
      </c>
      <c r="E92" s="641">
        <f>IF(E81=0,0,E65/E81)</f>
        <v>18039.239653512992</v>
      </c>
    </row>
    <row r="93" spans="1:5" ht="26.1" customHeight="1" x14ac:dyDescent="0.25">
      <c r="A93" s="650">
        <v>3</v>
      </c>
      <c r="B93" s="651" t="s">
        <v>966</v>
      </c>
      <c r="C93" s="654">
        <f>+C91+C92</f>
        <v>174325.59709241954</v>
      </c>
      <c r="D93" s="654">
        <f>+D91+D92</f>
        <v>183590.17958412098</v>
      </c>
      <c r="E93" s="654">
        <f>+E91+E92</f>
        <v>164948.69104908564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967</v>
      </c>
      <c r="B95" s="642" t="s">
        <v>968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969</v>
      </c>
      <c r="C96" s="649">
        <f>IF(C82=0,0,C69/C82)</f>
        <v>61173.220611916266</v>
      </c>
      <c r="D96" s="649">
        <f>IF(D82=0,0,D69/D82)</f>
        <v>59674.405582052641</v>
      </c>
      <c r="E96" s="649">
        <f>IF(E82=0,0,E69/E82)</f>
        <v>63447.958119809155</v>
      </c>
    </row>
    <row r="97" spans="1:5" ht="26.1" customHeight="1" x14ac:dyDescent="0.25">
      <c r="A97" s="639">
        <v>2</v>
      </c>
      <c r="B97" s="640" t="s">
        <v>970</v>
      </c>
      <c r="C97" s="649">
        <f>IF(C82=0,0,C70/C82)</f>
        <v>24209.860440150296</v>
      </c>
      <c r="D97" s="649">
        <f>IF(D82=0,0,D70/D82)</f>
        <v>27165.661543896837</v>
      </c>
      <c r="E97" s="649">
        <f>IF(E82=0,0,E70/E82)</f>
        <v>25409.818872592332</v>
      </c>
    </row>
    <row r="98" spans="1:5" ht="26.1" customHeight="1" x14ac:dyDescent="0.25">
      <c r="A98" s="650">
        <v>3</v>
      </c>
      <c r="B98" s="651" t="s">
        <v>971</v>
      </c>
      <c r="C98" s="654">
        <f>+C96+C97</f>
        <v>85383.081052066555</v>
      </c>
      <c r="D98" s="654">
        <f>+D96+D97</f>
        <v>86840.067125949485</v>
      </c>
      <c r="E98" s="654">
        <f>+E96+E97</f>
        <v>88857.776992401486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972</v>
      </c>
      <c r="B100" s="642" t="s">
        <v>973</v>
      </c>
    </row>
    <row r="101" spans="1:5" ht="26.1" customHeight="1" x14ac:dyDescent="0.25">
      <c r="A101" s="639">
        <v>1</v>
      </c>
      <c r="B101" s="640" t="s">
        <v>974</v>
      </c>
      <c r="C101" s="641">
        <f>IF(C83=0,0,C75/C83)</f>
        <v>75791.410959712142</v>
      </c>
      <c r="D101" s="641">
        <f>IF(D83=0,0,D75/D83)</f>
        <v>75445.834588208047</v>
      </c>
      <c r="E101" s="641">
        <f>IF(E83=0,0,E75/E83)</f>
        <v>77891.962435233159</v>
      </c>
    </row>
    <row r="102" spans="1:5" ht="26.1" customHeight="1" x14ac:dyDescent="0.25">
      <c r="A102" s="639">
        <v>2</v>
      </c>
      <c r="B102" s="640" t="s">
        <v>975</v>
      </c>
      <c r="C102" s="658">
        <f>IF(C83=0,0,C76/C83)</f>
        <v>24052.360054267683</v>
      </c>
      <c r="D102" s="658">
        <f>IF(D83=0,0,D76/D83)</f>
        <v>27035.812000463338</v>
      </c>
      <c r="E102" s="658">
        <f>IF(E83=0,0,E76/E83)</f>
        <v>25067.081370701835</v>
      </c>
    </row>
    <row r="103" spans="1:5" ht="26.1" customHeight="1" x14ac:dyDescent="0.25">
      <c r="A103" s="650">
        <v>3</v>
      </c>
      <c r="B103" s="651" t="s">
        <v>973</v>
      </c>
      <c r="C103" s="654">
        <f>+C101+C102</f>
        <v>99843.771013979829</v>
      </c>
      <c r="D103" s="654">
        <f>+D101+D102</f>
        <v>102481.64658867138</v>
      </c>
      <c r="E103" s="654">
        <f>+E101+E102</f>
        <v>102959.043805935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976</v>
      </c>
      <c r="B107" s="634" t="s">
        <v>977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978</v>
      </c>
      <c r="C108" s="641">
        <f>IF(C19=0,0,C77/C19)</f>
        <v>2371.8894244916833</v>
      </c>
      <c r="D108" s="641">
        <f>IF(D19=0,0,D77/D19)</f>
        <v>2549.0126481985681</v>
      </c>
      <c r="E108" s="641">
        <f>IF(E19=0,0,E77/E19)</f>
        <v>2485.4756591571318</v>
      </c>
    </row>
    <row r="109" spans="1:5" ht="26.1" customHeight="1" x14ac:dyDescent="0.25">
      <c r="A109" s="639">
        <v>2</v>
      </c>
      <c r="B109" s="640" t="s">
        <v>979</v>
      </c>
      <c r="C109" s="641">
        <f>IF(C20=0,0,C77/C20)</f>
        <v>11039.991194886512</v>
      </c>
      <c r="D109" s="641">
        <f>IF(D20=0,0,D77/D20)</f>
        <v>12217.41427880964</v>
      </c>
      <c r="E109" s="641">
        <f>IF(E20=0,0,E77/E20)</f>
        <v>11753.302863288076</v>
      </c>
    </row>
    <row r="110" spans="1:5" ht="26.1" customHeight="1" x14ac:dyDescent="0.25">
      <c r="A110" s="639">
        <v>3</v>
      </c>
      <c r="B110" s="640" t="s">
        <v>980</v>
      </c>
      <c r="C110" s="641">
        <f>IF(C22=0,0,C77/C22)</f>
        <v>1336.0582833902693</v>
      </c>
      <c r="D110" s="641">
        <f>IF(D22=0,0,D77/D22)</f>
        <v>1406.1351387780558</v>
      </c>
      <c r="E110" s="641">
        <f>IF(E22=0,0,E77/E22)</f>
        <v>1327.7711564802707</v>
      </c>
    </row>
    <row r="111" spans="1:5" ht="26.1" customHeight="1" x14ac:dyDescent="0.25">
      <c r="A111" s="639">
        <v>4</v>
      </c>
      <c r="B111" s="640" t="s">
        <v>981</v>
      </c>
      <c r="C111" s="641">
        <f>IF(C23=0,0,C77/C23)</f>
        <v>6218.7012312535726</v>
      </c>
      <c r="D111" s="641">
        <f>IF(D23=0,0,D77/D23)</f>
        <v>6739.6038754785814</v>
      </c>
      <c r="E111" s="641">
        <f>IF(E23=0,0,E77/E23)</f>
        <v>6278.7565340885503</v>
      </c>
    </row>
    <row r="112" spans="1:5" ht="26.1" customHeight="1" x14ac:dyDescent="0.25">
      <c r="A112" s="639">
        <v>5</v>
      </c>
      <c r="B112" s="640" t="s">
        <v>982</v>
      </c>
      <c r="C112" s="641">
        <f>IF(C29=0,0,C77/C29)</f>
        <v>1180.9735010415825</v>
      </c>
      <c r="D112" s="641">
        <f>IF(D29=0,0,D77/D29)</f>
        <v>1199.4294853246236</v>
      </c>
      <c r="E112" s="641">
        <f>IF(E29=0,0,E77/E29)</f>
        <v>1132.062825056104</v>
      </c>
    </row>
    <row r="113" spans="1:7" ht="25.5" customHeight="1" x14ac:dyDescent="0.25">
      <c r="A113" s="639">
        <v>6</v>
      </c>
      <c r="B113" s="640" t="s">
        <v>983</v>
      </c>
      <c r="C113" s="641">
        <f>IF(C30=0,0,C77/C30)</f>
        <v>5496.8570281000821</v>
      </c>
      <c r="D113" s="641">
        <f>IF(D30=0,0,D77/D30)</f>
        <v>5748.8639496498936</v>
      </c>
      <c r="E113" s="641">
        <f>IF(E30=0,0,E77/E30)</f>
        <v>5353.292112973666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FILING&amp;R&amp;12NORWALK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741032515</v>
      </c>
      <c r="D12" s="51">
        <v>853958106</v>
      </c>
      <c r="E12" s="51">
        <f t="shared" ref="E12:E19" si="0">D12-C12</f>
        <v>112925591</v>
      </c>
      <c r="F12" s="70">
        <f t="shared" ref="F12:F19" si="1">IF(C12=0,0,E12/C12)</f>
        <v>0.15238952234100012</v>
      </c>
    </row>
    <row r="13" spans="1:8" ht="23.1" customHeight="1" x14ac:dyDescent="0.2">
      <c r="A13" s="25">
        <v>2</v>
      </c>
      <c r="B13" s="48" t="s">
        <v>72</v>
      </c>
      <c r="C13" s="51">
        <v>396426253</v>
      </c>
      <c r="D13" s="51">
        <v>486036658</v>
      </c>
      <c r="E13" s="51">
        <f t="shared" si="0"/>
        <v>89610405</v>
      </c>
      <c r="F13" s="70">
        <f t="shared" si="1"/>
        <v>0.22604558684462303</v>
      </c>
    </row>
    <row r="14" spans="1:8" ht="23.1" customHeight="1" x14ac:dyDescent="0.2">
      <c r="A14" s="25">
        <v>3</v>
      </c>
      <c r="B14" s="48" t="s">
        <v>73</v>
      </c>
      <c r="C14" s="51">
        <v>18026000</v>
      </c>
      <c r="D14" s="51">
        <v>17327000</v>
      </c>
      <c r="E14" s="51">
        <f t="shared" si="0"/>
        <v>-699000</v>
      </c>
      <c r="F14" s="70">
        <f t="shared" si="1"/>
        <v>-3.8777321646510599E-2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326580262</v>
      </c>
      <c r="D16" s="27">
        <f>D12-D13-D14-D15</f>
        <v>350594448</v>
      </c>
      <c r="E16" s="27">
        <f t="shared" si="0"/>
        <v>24014186</v>
      </c>
      <c r="F16" s="28">
        <f t="shared" si="1"/>
        <v>7.35322638696395E-2</v>
      </c>
    </row>
    <row r="17" spans="1:7" ht="23.1" customHeight="1" x14ac:dyDescent="0.2">
      <c r="A17" s="25">
        <v>5</v>
      </c>
      <c r="B17" s="48" t="s">
        <v>76</v>
      </c>
      <c r="C17" s="51">
        <v>13756910</v>
      </c>
      <c r="D17" s="51">
        <v>12324861</v>
      </c>
      <c r="E17" s="51">
        <f t="shared" si="0"/>
        <v>-1432049</v>
      </c>
      <c r="F17" s="70">
        <f t="shared" si="1"/>
        <v>-0.10409670485595966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340337172</v>
      </c>
      <c r="D19" s="27">
        <f>SUM(D16:D18)</f>
        <v>362919309</v>
      </c>
      <c r="E19" s="27">
        <f t="shared" si="0"/>
        <v>22582137</v>
      </c>
      <c r="F19" s="28">
        <f t="shared" si="1"/>
        <v>6.6352249644949152E-2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130264778</v>
      </c>
      <c r="D22" s="51">
        <v>132291709</v>
      </c>
      <c r="E22" s="51">
        <f t="shared" ref="E22:E31" si="2">D22-C22</f>
        <v>2026931</v>
      </c>
      <c r="F22" s="70">
        <f t="shared" ref="F22:F31" si="3">IF(C22=0,0,E22/C22)</f>
        <v>1.5560084860391041E-2</v>
      </c>
    </row>
    <row r="23" spans="1:7" ht="23.1" customHeight="1" x14ac:dyDescent="0.2">
      <c r="A23" s="25">
        <v>2</v>
      </c>
      <c r="B23" s="48" t="s">
        <v>81</v>
      </c>
      <c r="C23" s="51">
        <v>46680033</v>
      </c>
      <c r="D23" s="51">
        <v>42573931</v>
      </c>
      <c r="E23" s="51">
        <f t="shared" si="2"/>
        <v>-4106102</v>
      </c>
      <c r="F23" s="70">
        <f t="shared" si="3"/>
        <v>-8.7962705596202131E-2</v>
      </c>
    </row>
    <row r="24" spans="1:7" ht="23.1" customHeight="1" x14ac:dyDescent="0.2">
      <c r="A24" s="25">
        <v>3</v>
      </c>
      <c r="B24" s="48" t="s">
        <v>82</v>
      </c>
      <c r="C24" s="51">
        <v>5522886</v>
      </c>
      <c r="D24" s="51">
        <v>6121281</v>
      </c>
      <c r="E24" s="51">
        <f t="shared" si="2"/>
        <v>598395</v>
      </c>
      <c r="F24" s="70">
        <f t="shared" si="3"/>
        <v>0.10834824401590039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30741381</v>
      </c>
      <c r="D25" s="51">
        <v>30741997</v>
      </c>
      <c r="E25" s="51">
        <f t="shared" si="2"/>
        <v>616</v>
      </c>
      <c r="F25" s="70">
        <f t="shared" si="3"/>
        <v>2.0038136868346934E-5</v>
      </c>
    </row>
    <row r="26" spans="1:7" ht="23.1" customHeight="1" x14ac:dyDescent="0.2">
      <c r="A26" s="25">
        <v>5</v>
      </c>
      <c r="B26" s="48" t="s">
        <v>84</v>
      </c>
      <c r="C26" s="51">
        <v>19888350</v>
      </c>
      <c r="D26" s="51">
        <v>19041348</v>
      </c>
      <c r="E26" s="51">
        <f t="shared" si="2"/>
        <v>-847002</v>
      </c>
      <c r="F26" s="70">
        <f t="shared" si="3"/>
        <v>-4.2587846653945653E-2</v>
      </c>
    </row>
    <row r="27" spans="1:7" ht="23.1" customHeight="1" x14ac:dyDescent="0.2">
      <c r="A27" s="25">
        <v>6</v>
      </c>
      <c r="B27" s="48" t="s">
        <v>85</v>
      </c>
      <c r="C27" s="51">
        <v>23255695</v>
      </c>
      <c r="D27" s="51">
        <v>20654069</v>
      </c>
      <c r="E27" s="51">
        <f t="shared" si="2"/>
        <v>-2601626</v>
      </c>
      <c r="F27" s="70">
        <f t="shared" si="3"/>
        <v>-0.11187049021755746</v>
      </c>
    </row>
    <row r="28" spans="1:7" ht="23.1" customHeight="1" x14ac:dyDescent="0.2">
      <c r="A28" s="25">
        <v>7</v>
      </c>
      <c r="B28" s="48" t="s">
        <v>86</v>
      </c>
      <c r="C28" s="51">
        <v>646398</v>
      </c>
      <c r="D28" s="51">
        <v>1450895</v>
      </c>
      <c r="E28" s="51">
        <f t="shared" si="2"/>
        <v>804497</v>
      </c>
      <c r="F28" s="70">
        <f t="shared" si="3"/>
        <v>1.2445846057692009</v>
      </c>
    </row>
    <row r="29" spans="1:7" ht="23.1" customHeight="1" x14ac:dyDescent="0.2">
      <c r="A29" s="25">
        <v>8</v>
      </c>
      <c r="B29" s="48" t="s">
        <v>87</v>
      </c>
      <c r="C29" s="51">
        <v>4828177</v>
      </c>
      <c r="D29" s="51">
        <v>7934455</v>
      </c>
      <c r="E29" s="51">
        <f t="shared" si="2"/>
        <v>3106278</v>
      </c>
      <c r="F29" s="70">
        <f t="shared" si="3"/>
        <v>0.64336456596350966</v>
      </c>
    </row>
    <row r="30" spans="1:7" ht="23.1" customHeight="1" x14ac:dyDescent="0.2">
      <c r="A30" s="25">
        <v>9</v>
      </c>
      <c r="B30" s="48" t="s">
        <v>88</v>
      </c>
      <c r="C30" s="51">
        <v>75616803</v>
      </c>
      <c r="D30" s="51">
        <v>77666179</v>
      </c>
      <c r="E30" s="51">
        <f t="shared" si="2"/>
        <v>2049376</v>
      </c>
      <c r="F30" s="70">
        <f t="shared" si="3"/>
        <v>2.7102124378360719E-2</v>
      </c>
    </row>
    <row r="31" spans="1:7" ht="23.1" customHeight="1" x14ac:dyDescent="0.25">
      <c r="A31" s="29"/>
      <c r="B31" s="71" t="s">
        <v>89</v>
      </c>
      <c r="C31" s="27">
        <f>SUM(C22:C30)</f>
        <v>337444501</v>
      </c>
      <c r="D31" s="27">
        <f>SUM(D22:D30)</f>
        <v>338475864</v>
      </c>
      <c r="E31" s="27">
        <f t="shared" si="2"/>
        <v>1031363</v>
      </c>
      <c r="F31" s="28">
        <f t="shared" si="3"/>
        <v>3.056392968158044E-3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2892671</v>
      </c>
      <c r="D33" s="27">
        <f>+D19-D31</f>
        <v>24443445</v>
      </c>
      <c r="E33" s="27">
        <f>D33-C33</f>
        <v>21550774</v>
      </c>
      <c r="F33" s="28">
        <f>IF(C33=0,0,E33/C33)</f>
        <v>7.4501296552563359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866620</v>
      </c>
      <c r="D36" s="51">
        <v>796825</v>
      </c>
      <c r="E36" s="51">
        <f>D36-C36</f>
        <v>-69795</v>
      </c>
      <c r="F36" s="70">
        <f>IF(C36=0,0,E36/C36)</f>
        <v>-8.0537028916941686E-2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866620</v>
      </c>
      <c r="D39" s="27">
        <f>SUM(D36:D38)</f>
        <v>796825</v>
      </c>
      <c r="E39" s="27">
        <f>D39-C39</f>
        <v>-69795</v>
      </c>
      <c r="F39" s="28">
        <f>IF(C39=0,0,E39/C39)</f>
        <v>-8.0537028916941686E-2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3759291</v>
      </c>
      <c r="D41" s="27">
        <f>D33+D39</f>
        <v>25240270</v>
      </c>
      <c r="E41" s="27">
        <f>D41-C41</f>
        <v>21480979</v>
      </c>
      <c r="F41" s="28">
        <f>IF(C41=0,0,E41/C41)</f>
        <v>5.7141038030841456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1485361</v>
      </c>
      <c r="D44" s="51">
        <v>-1455301</v>
      </c>
      <c r="E44" s="51">
        <f>D44-C44</f>
        <v>-2940662</v>
      </c>
      <c r="F44" s="70">
        <f>IF(C44=0,0,E44/C44)</f>
        <v>-1.9797624954472348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1485361</v>
      </c>
      <c r="D46" s="27">
        <f>SUM(D44:D45)</f>
        <v>-1455301</v>
      </c>
      <c r="E46" s="27">
        <f>D46-C46</f>
        <v>-2940662</v>
      </c>
      <c r="F46" s="28">
        <f>IF(C46=0,0,E46/C46)</f>
        <v>-1.9797624954472348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5244652</v>
      </c>
      <c r="D48" s="27">
        <f>D41+D46</f>
        <v>23784969</v>
      </c>
      <c r="E48" s="27">
        <f>D48-C48</f>
        <v>18540317</v>
      </c>
      <c r="F48" s="28">
        <f>IF(C48=0,0,E48/C48)</f>
        <v>3.5350900307589521</v>
      </c>
    </row>
    <row r="49" spans="1:6" ht="23.1" customHeight="1" x14ac:dyDescent="0.2">
      <c r="A49" s="44"/>
      <c r="B49" s="48" t="s">
        <v>102</v>
      </c>
      <c r="C49" s="51">
        <v>1800462</v>
      </c>
      <c r="D49" s="51">
        <v>1645142</v>
      </c>
      <c r="E49" s="51">
        <f>D49-C49</f>
        <v>-155320</v>
      </c>
      <c r="F49" s="70">
        <f>IF(C49=0,0,E49/C49)</f>
        <v>-8.6266747090468998E-2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FILING&amp;RNORWALK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7.8554687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199084731</v>
      </c>
      <c r="D14" s="97">
        <v>219225208</v>
      </c>
      <c r="E14" s="97">
        <f t="shared" ref="E14:E25" si="0">D14-C14</f>
        <v>20140477</v>
      </c>
      <c r="F14" s="98">
        <f t="shared" ref="F14:F25" si="1">IF(C14=0,0,E14/C14)</f>
        <v>0.10116535255533987</v>
      </c>
    </row>
    <row r="15" spans="1:6" ht="18" customHeight="1" x14ac:dyDescent="0.25">
      <c r="A15" s="99">
        <v>2</v>
      </c>
      <c r="B15" s="100" t="s">
        <v>113</v>
      </c>
      <c r="C15" s="97">
        <v>19060417</v>
      </c>
      <c r="D15" s="97">
        <v>23049022</v>
      </c>
      <c r="E15" s="97">
        <f t="shared" si="0"/>
        <v>3988605</v>
      </c>
      <c r="F15" s="98">
        <f t="shared" si="1"/>
        <v>0.2092611614950502</v>
      </c>
    </row>
    <row r="16" spans="1:6" ht="18" customHeight="1" x14ac:dyDescent="0.25">
      <c r="A16" s="99">
        <v>3</v>
      </c>
      <c r="B16" s="100" t="s">
        <v>114</v>
      </c>
      <c r="C16" s="97">
        <v>33924338</v>
      </c>
      <c r="D16" s="97">
        <v>49402254</v>
      </c>
      <c r="E16" s="97">
        <f t="shared" si="0"/>
        <v>15477916</v>
      </c>
      <c r="F16" s="98">
        <f t="shared" si="1"/>
        <v>0.45624813666223935</v>
      </c>
    </row>
    <row r="17" spans="1:6" ht="18" customHeight="1" x14ac:dyDescent="0.25">
      <c r="A17" s="99">
        <v>4</v>
      </c>
      <c r="B17" s="100" t="s">
        <v>115</v>
      </c>
      <c r="C17" s="97">
        <v>18827102</v>
      </c>
      <c r="D17" s="97">
        <v>23107142</v>
      </c>
      <c r="E17" s="97">
        <f t="shared" si="0"/>
        <v>4280040</v>
      </c>
      <c r="F17" s="98">
        <f t="shared" si="1"/>
        <v>0.22733397843173103</v>
      </c>
    </row>
    <row r="18" spans="1:6" ht="18" customHeight="1" x14ac:dyDescent="0.25">
      <c r="A18" s="99">
        <v>5</v>
      </c>
      <c r="B18" s="100" t="s">
        <v>116</v>
      </c>
      <c r="C18" s="97">
        <v>175423</v>
      </c>
      <c r="D18" s="97">
        <v>514894</v>
      </c>
      <c r="E18" s="97">
        <f t="shared" si="0"/>
        <v>339471</v>
      </c>
      <c r="F18" s="98">
        <f t="shared" si="1"/>
        <v>1.93515673543378</v>
      </c>
    </row>
    <row r="19" spans="1:6" ht="18" customHeight="1" x14ac:dyDescent="0.25">
      <c r="A19" s="99">
        <v>6</v>
      </c>
      <c r="B19" s="100" t="s">
        <v>117</v>
      </c>
      <c r="C19" s="97">
        <v>13491458</v>
      </c>
      <c r="D19" s="97">
        <v>12731357</v>
      </c>
      <c r="E19" s="97">
        <f t="shared" si="0"/>
        <v>-760101</v>
      </c>
      <c r="F19" s="98">
        <f t="shared" si="1"/>
        <v>-5.6339426027935603E-2</v>
      </c>
    </row>
    <row r="20" spans="1:6" ht="18" customHeight="1" x14ac:dyDescent="0.25">
      <c r="A20" s="99">
        <v>7</v>
      </c>
      <c r="B20" s="100" t="s">
        <v>118</v>
      </c>
      <c r="C20" s="97">
        <v>106312467</v>
      </c>
      <c r="D20" s="97">
        <v>118986028</v>
      </c>
      <c r="E20" s="97">
        <f t="shared" si="0"/>
        <v>12673561</v>
      </c>
      <c r="F20" s="98">
        <f t="shared" si="1"/>
        <v>0.11921048732694726</v>
      </c>
    </row>
    <row r="21" spans="1:6" ht="18" customHeight="1" x14ac:dyDescent="0.25">
      <c r="A21" s="99">
        <v>8</v>
      </c>
      <c r="B21" s="100" t="s">
        <v>119</v>
      </c>
      <c r="C21" s="97">
        <v>2146835</v>
      </c>
      <c r="D21" s="97">
        <v>2461300</v>
      </c>
      <c r="E21" s="97">
        <f t="shared" si="0"/>
        <v>314465</v>
      </c>
      <c r="F21" s="98">
        <f t="shared" si="1"/>
        <v>0.14647842055863633</v>
      </c>
    </row>
    <row r="22" spans="1:6" ht="18" customHeight="1" x14ac:dyDescent="0.25">
      <c r="A22" s="99">
        <v>9</v>
      </c>
      <c r="B22" s="100" t="s">
        <v>120</v>
      </c>
      <c r="C22" s="97">
        <v>10004655</v>
      </c>
      <c r="D22" s="97">
        <v>5664173</v>
      </c>
      <c r="E22" s="97">
        <f t="shared" si="0"/>
        <v>-4340482</v>
      </c>
      <c r="F22" s="98">
        <f t="shared" si="1"/>
        <v>-0.43384624457315119</v>
      </c>
    </row>
    <row r="23" spans="1:6" ht="18" customHeight="1" x14ac:dyDescent="0.25">
      <c r="A23" s="99">
        <v>10</v>
      </c>
      <c r="B23" s="100" t="s">
        <v>121</v>
      </c>
      <c r="C23" s="97">
        <v>5157516</v>
      </c>
      <c r="D23" s="97">
        <v>0</v>
      </c>
      <c r="E23" s="97">
        <f t="shared" si="0"/>
        <v>-5157516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597596</v>
      </c>
      <c r="D24" s="97">
        <v>1053369</v>
      </c>
      <c r="E24" s="97">
        <f t="shared" si="0"/>
        <v>455773</v>
      </c>
      <c r="F24" s="98">
        <f t="shared" si="1"/>
        <v>0.76267746102718226</v>
      </c>
    </row>
    <row r="25" spans="1:6" ht="18" customHeight="1" x14ac:dyDescent="0.25">
      <c r="A25" s="101"/>
      <c r="B25" s="102" t="s">
        <v>123</v>
      </c>
      <c r="C25" s="103">
        <f>SUM(C14:C24)</f>
        <v>408782538</v>
      </c>
      <c r="D25" s="103">
        <f>SUM(D14:D24)</f>
        <v>456194747</v>
      </c>
      <c r="E25" s="103">
        <f t="shared" si="0"/>
        <v>47412209</v>
      </c>
      <c r="F25" s="104">
        <f t="shared" si="1"/>
        <v>0.11598393911826048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90690918</v>
      </c>
      <c r="D27" s="97">
        <v>102829849</v>
      </c>
      <c r="E27" s="97">
        <f t="shared" ref="E27:E38" si="2">D27-C27</f>
        <v>12138931</v>
      </c>
      <c r="F27" s="98">
        <f t="shared" ref="F27:F38" si="3">IF(C27=0,0,E27/C27)</f>
        <v>0.1338494666025985</v>
      </c>
    </row>
    <row r="28" spans="1:6" ht="18" customHeight="1" x14ac:dyDescent="0.25">
      <c r="A28" s="99">
        <v>2</v>
      </c>
      <c r="B28" s="100" t="s">
        <v>113</v>
      </c>
      <c r="C28" s="97">
        <v>8303929</v>
      </c>
      <c r="D28" s="97">
        <v>10105935</v>
      </c>
      <c r="E28" s="97">
        <f t="shared" si="2"/>
        <v>1802006</v>
      </c>
      <c r="F28" s="98">
        <f t="shared" si="3"/>
        <v>0.21700643153379562</v>
      </c>
    </row>
    <row r="29" spans="1:6" ht="18" customHeight="1" x14ac:dyDescent="0.25">
      <c r="A29" s="99">
        <v>3</v>
      </c>
      <c r="B29" s="100" t="s">
        <v>114</v>
      </c>
      <c r="C29" s="97">
        <v>15539129</v>
      </c>
      <c r="D29" s="97">
        <v>25900848</v>
      </c>
      <c r="E29" s="97">
        <f t="shared" si="2"/>
        <v>10361719</v>
      </c>
      <c r="F29" s="98">
        <f t="shared" si="3"/>
        <v>0.66681465865943967</v>
      </c>
    </row>
    <row r="30" spans="1:6" ht="18" customHeight="1" x14ac:dyDescent="0.25">
      <c r="A30" s="99">
        <v>4</v>
      </c>
      <c r="B30" s="100" t="s">
        <v>115</v>
      </c>
      <c r="C30" s="97">
        <v>20225536</v>
      </c>
      <c r="D30" s="97">
        <v>26287453</v>
      </c>
      <c r="E30" s="97">
        <f t="shared" si="2"/>
        <v>6061917</v>
      </c>
      <c r="F30" s="98">
        <f t="shared" si="3"/>
        <v>0.29971601247057184</v>
      </c>
    </row>
    <row r="31" spans="1:6" ht="18" customHeight="1" x14ac:dyDescent="0.25">
      <c r="A31" s="99">
        <v>5</v>
      </c>
      <c r="B31" s="100" t="s">
        <v>116</v>
      </c>
      <c r="C31" s="97">
        <v>358334</v>
      </c>
      <c r="D31" s="97">
        <v>357785</v>
      </c>
      <c r="E31" s="97">
        <f t="shared" si="2"/>
        <v>-549</v>
      </c>
      <c r="F31" s="98">
        <f t="shared" si="3"/>
        <v>-1.5320901728554923E-3</v>
      </c>
    </row>
    <row r="32" spans="1:6" ht="18" customHeight="1" x14ac:dyDescent="0.25">
      <c r="A32" s="99">
        <v>6</v>
      </c>
      <c r="B32" s="100" t="s">
        <v>117</v>
      </c>
      <c r="C32" s="97">
        <v>16764185</v>
      </c>
      <c r="D32" s="97">
        <v>21818325</v>
      </c>
      <c r="E32" s="97">
        <f t="shared" si="2"/>
        <v>5054140</v>
      </c>
      <c r="F32" s="98">
        <f t="shared" si="3"/>
        <v>0.30148438471658479</v>
      </c>
    </row>
    <row r="33" spans="1:6" ht="18" customHeight="1" x14ac:dyDescent="0.25">
      <c r="A33" s="99">
        <v>7</v>
      </c>
      <c r="B33" s="100" t="s">
        <v>118</v>
      </c>
      <c r="C33" s="97">
        <v>147041133</v>
      </c>
      <c r="D33" s="97">
        <v>179235698</v>
      </c>
      <c r="E33" s="97">
        <f t="shared" si="2"/>
        <v>32194565</v>
      </c>
      <c r="F33" s="98">
        <f t="shared" si="3"/>
        <v>0.21894938064711458</v>
      </c>
    </row>
    <row r="34" spans="1:6" ht="18" customHeight="1" x14ac:dyDescent="0.25">
      <c r="A34" s="99">
        <v>8</v>
      </c>
      <c r="B34" s="100" t="s">
        <v>119</v>
      </c>
      <c r="C34" s="97">
        <v>5947749</v>
      </c>
      <c r="D34" s="97">
        <v>6204908</v>
      </c>
      <c r="E34" s="97">
        <f t="shared" si="2"/>
        <v>257159</v>
      </c>
      <c r="F34" s="98">
        <f t="shared" si="3"/>
        <v>4.3236357149570366E-2</v>
      </c>
    </row>
    <row r="35" spans="1:6" ht="18" customHeight="1" x14ac:dyDescent="0.25">
      <c r="A35" s="99">
        <v>9</v>
      </c>
      <c r="B35" s="100" t="s">
        <v>120</v>
      </c>
      <c r="C35" s="97">
        <v>23606244</v>
      </c>
      <c r="D35" s="97">
        <v>24549726</v>
      </c>
      <c r="E35" s="97">
        <f t="shared" si="2"/>
        <v>943482</v>
      </c>
      <c r="F35" s="98">
        <f t="shared" si="3"/>
        <v>3.9967476401582568E-2</v>
      </c>
    </row>
    <row r="36" spans="1:6" ht="18" customHeight="1" x14ac:dyDescent="0.25">
      <c r="A36" s="99">
        <v>10</v>
      </c>
      <c r="B36" s="100" t="s">
        <v>121</v>
      </c>
      <c r="C36" s="97">
        <v>3429950</v>
      </c>
      <c r="D36" s="97">
        <v>0</v>
      </c>
      <c r="E36" s="97">
        <f t="shared" si="2"/>
        <v>-3429950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342871</v>
      </c>
      <c r="D37" s="97">
        <v>472831</v>
      </c>
      <c r="E37" s="97">
        <f t="shared" si="2"/>
        <v>129960</v>
      </c>
      <c r="F37" s="98">
        <f t="shared" si="3"/>
        <v>0.3790346806816558</v>
      </c>
    </row>
    <row r="38" spans="1:6" ht="18" customHeight="1" x14ac:dyDescent="0.25">
      <c r="A38" s="101"/>
      <c r="B38" s="102" t="s">
        <v>126</v>
      </c>
      <c r="C38" s="103">
        <f>SUM(C27:C37)</f>
        <v>332249978</v>
      </c>
      <c r="D38" s="103">
        <f>SUM(D27:D37)</f>
        <v>397763358</v>
      </c>
      <c r="E38" s="103">
        <f t="shared" si="2"/>
        <v>65513380</v>
      </c>
      <c r="F38" s="104">
        <f t="shared" si="3"/>
        <v>0.19718099123546068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289775649</v>
      </c>
      <c r="D41" s="103">
        <f t="shared" si="4"/>
        <v>322055057</v>
      </c>
      <c r="E41" s="107">
        <f t="shared" ref="E41:E52" si="5">D41-C41</f>
        <v>32279408</v>
      </c>
      <c r="F41" s="108">
        <f t="shared" ref="F41:F52" si="6">IF(C41=0,0,E41/C41)</f>
        <v>0.11139448090753823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27364346</v>
      </c>
      <c r="D42" s="103">
        <f t="shared" si="4"/>
        <v>33154957</v>
      </c>
      <c r="E42" s="107">
        <f t="shared" si="5"/>
        <v>5790611</v>
      </c>
      <c r="F42" s="108">
        <f t="shared" si="6"/>
        <v>0.21161152544994133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49463467</v>
      </c>
      <c r="D43" s="103">
        <f t="shared" si="4"/>
        <v>75303102</v>
      </c>
      <c r="E43" s="107">
        <f t="shared" si="5"/>
        <v>25839635</v>
      </c>
      <c r="F43" s="108">
        <f t="shared" si="6"/>
        <v>0.52239837939382616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39052638</v>
      </c>
      <c r="D44" s="103">
        <f t="shared" si="4"/>
        <v>49394595</v>
      </c>
      <c r="E44" s="107">
        <f t="shared" si="5"/>
        <v>10341957</v>
      </c>
      <c r="F44" s="108">
        <f t="shared" si="6"/>
        <v>0.26482095780571852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533757</v>
      </c>
      <c r="D45" s="103">
        <f t="shared" si="4"/>
        <v>872679</v>
      </c>
      <c r="E45" s="107">
        <f t="shared" si="5"/>
        <v>338922</v>
      </c>
      <c r="F45" s="108">
        <f t="shared" si="6"/>
        <v>0.63497434225686966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30255643</v>
      </c>
      <c r="D46" s="103">
        <f t="shared" si="4"/>
        <v>34549682</v>
      </c>
      <c r="E46" s="107">
        <f t="shared" si="5"/>
        <v>4294039</v>
      </c>
      <c r="F46" s="108">
        <f t="shared" si="6"/>
        <v>0.14192522697336163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253353600</v>
      </c>
      <c r="D47" s="103">
        <f t="shared" si="4"/>
        <v>298221726</v>
      </c>
      <c r="E47" s="107">
        <f t="shared" si="5"/>
        <v>44868126</v>
      </c>
      <c r="F47" s="108">
        <f t="shared" si="6"/>
        <v>0.17709685593573568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8094584</v>
      </c>
      <c r="D48" s="103">
        <f t="shared" si="4"/>
        <v>8666208</v>
      </c>
      <c r="E48" s="107">
        <f t="shared" si="5"/>
        <v>571624</v>
      </c>
      <c r="F48" s="108">
        <f t="shared" si="6"/>
        <v>7.061808241164709E-2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33610899</v>
      </c>
      <c r="D49" s="103">
        <f t="shared" si="4"/>
        <v>30213899</v>
      </c>
      <c r="E49" s="107">
        <f t="shared" si="5"/>
        <v>-3397000</v>
      </c>
      <c r="F49" s="108">
        <f t="shared" si="6"/>
        <v>-0.10106840641186063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8587466</v>
      </c>
      <c r="D50" s="103">
        <f t="shared" si="4"/>
        <v>0</v>
      </c>
      <c r="E50" s="107">
        <f t="shared" si="5"/>
        <v>-8587466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940467</v>
      </c>
      <c r="D51" s="103">
        <f t="shared" si="4"/>
        <v>1526200</v>
      </c>
      <c r="E51" s="107">
        <f t="shared" si="5"/>
        <v>585733</v>
      </c>
      <c r="F51" s="108">
        <f t="shared" si="6"/>
        <v>0.62281079506245307</v>
      </c>
    </row>
    <row r="52" spans="1:6" ht="18.75" customHeight="1" thickBot="1" x14ac:dyDescent="0.3">
      <c r="A52" s="109"/>
      <c r="B52" s="110" t="s">
        <v>128</v>
      </c>
      <c r="C52" s="111">
        <f>SUM(C41:C51)</f>
        <v>741032516</v>
      </c>
      <c r="D52" s="112">
        <f>SUM(D41:D51)</f>
        <v>853958105</v>
      </c>
      <c r="E52" s="111">
        <f t="shared" si="5"/>
        <v>112925589</v>
      </c>
      <c r="F52" s="113">
        <f t="shared" si="6"/>
        <v>0.15238951943641837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67951251</v>
      </c>
      <c r="D57" s="97">
        <v>67973300</v>
      </c>
      <c r="E57" s="97">
        <f t="shared" ref="E57:E68" si="7">D57-C57</f>
        <v>22049</v>
      </c>
      <c r="F57" s="98">
        <f t="shared" ref="F57:F68" si="8">IF(C57=0,0,E57/C57)</f>
        <v>3.2448262063637358E-4</v>
      </c>
    </row>
    <row r="58" spans="1:6" ht="18" customHeight="1" x14ac:dyDescent="0.25">
      <c r="A58" s="99">
        <v>2</v>
      </c>
      <c r="B58" s="100" t="s">
        <v>113</v>
      </c>
      <c r="C58" s="97">
        <v>6065853</v>
      </c>
      <c r="D58" s="97">
        <v>6306677</v>
      </c>
      <c r="E58" s="97">
        <f t="shared" si="7"/>
        <v>240824</v>
      </c>
      <c r="F58" s="98">
        <f t="shared" si="8"/>
        <v>3.9701588548222318E-2</v>
      </c>
    </row>
    <row r="59" spans="1:6" ht="18" customHeight="1" x14ac:dyDescent="0.25">
      <c r="A59" s="99">
        <v>3</v>
      </c>
      <c r="B59" s="100" t="s">
        <v>114</v>
      </c>
      <c r="C59" s="97">
        <v>9067462</v>
      </c>
      <c r="D59" s="97">
        <v>12711437</v>
      </c>
      <c r="E59" s="97">
        <f t="shared" si="7"/>
        <v>3643975</v>
      </c>
      <c r="F59" s="98">
        <f t="shared" si="8"/>
        <v>0.40187375475077813</v>
      </c>
    </row>
    <row r="60" spans="1:6" ht="18" customHeight="1" x14ac:dyDescent="0.25">
      <c r="A60" s="99">
        <v>4</v>
      </c>
      <c r="B60" s="100" t="s">
        <v>115</v>
      </c>
      <c r="C60" s="97">
        <v>4902474</v>
      </c>
      <c r="D60" s="97">
        <v>5516057</v>
      </c>
      <c r="E60" s="97">
        <f t="shared" si="7"/>
        <v>613583</v>
      </c>
      <c r="F60" s="98">
        <f t="shared" si="8"/>
        <v>0.12515782847598989</v>
      </c>
    </row>
    <row r="61" spans="1:6" ht="18" customHeight="1" x14ac:dyDescent="0.25">
      <c r="A61" s="99">
        <v>5</v>
      </c>
      <c r="B61" s="100" t="s">
        <v>116</v>
      </c>
      <c r="C61" s="97">
        <v>74645</v>
      </c>
      <c r="D61" s="97">
        <v>137047</v>
      </c>
      <c r="E61" s="97">
        <f t="shared" si="7"/>
        <v>62402</v>
      </c>
      <c r="F61" s="98">
        <f t="shared" si="8"/>
        <v>0.83598365597159885</v>
      </c>
    </row>
    <row r="62" spans="1:6" ht="18" customHeight="1" x14ac:dyDescent="0.25">
      <c r="A62" s="99">
        <v>6</v>
      </c>
      <c r="B62" s="100" t="s">
        <v>117</v>
      </c>
      <c r="C62" s="97">
        <v>8863205</v>
      </c>
      <c r="D62" s="97">
        <v>6317995</v>
      </c>
      <c r="E62" s="97">
        <f t="shared" si="7"/>
        <v>-2545210</v>
      </c>
      <c r="F62" s="98">
        <f t="shared" si="8"/>
        <v>-0.28716587284170908</v>
      </c>
    </row>
    <row r="63" spans="1:6" ht="18" customHeight="1" x14ac:dyDescent="0.25">
      <c r="A63" s="99">
        <v>7</v>
      </c>
      <c r="B63" s="100" t="s">
        <v>118</v>
      </c>
      <c r="C63" s="97">
        <v>55380398</v>
      </c>
      <c r="D63" s="97">
        <v>64639290</v>
      </c>
      <c r="E63" s="97">
        <f t="shared" si="7"/>
        <v>9258892</v>
      </c>
      <c r="F63" s="98">
        <f t="shared" si="8"/>
        <v>0.16718716972745484</v>
      </c>
    </row>
    <row r="64" spans="1:6" ht="18" customHeight="1" x14ac:dyDescent="0.25">
      <c r="A64" s="99">
        <v>8</v>
      </c>
      <c r="B64" s="100" t="s">
        <v>119</v>
      </c>
      <c r="C64" s="97">
        <v>787046</v>
      </c>
      <c r="D64" s="97">
        <v>1867106</v>
      </c>
      <c r="E64" s="97">
        <f t="shared" si="7"/>
        <v>1080060</v>
      </c>
      <c r="F64" s="98">
        <f t="shared" si="8"/>
        <v>1.3722959013831466</v>
      </c>
    </row>
    <row r="65" spans="1:6" ht="18" customHeight="1" x14ac:dyDescent="0.25">
      <c r="A65" s="99">
        <v>9</v>
      </c>
      <c r="B65" s="100" t="s">
        <v>120</v>
      </c>
      <c r="C65" s="97">
        <v>864294</v>
      </c>
      <c r="D65" s="97">
        <v>233862</v>
      </c>
      <c r="E65" s="97">
        <f t="shared" si="7"/>
        <v>-630432</v>
      </c>
      <c r="F65" s="98">
        <f t="shared" si="8"/>
        <v>-0.72941846177342429</v>
      </c>
    </row>
    <row r="66" spans="1:6" ht="18" customHeight="1" x14ac:dyDescent="0.25">
      <c r="A66" s="99">
        <v>10</v>
      </c>
      <c r="B66" s="100" t="s">
        <v>121</v>
      </c>
      <c r="C66" s="97">
        <v>1600998</v>
      </c>
      <c r="D66" s="97">
        <v>0</v>
      </c>
      <c r="E66" s="97">
        <f t="shared" si="7"/>
        <v>-1600998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137199</v>
      </c>
      <c r="D67" s="97">
        <v>360535</v>
      </c>
      <c r="E67" s="97">
        <f t="shared" si="7"/>
        <v>223336</v>
      </c>
      <c r="F67" s="98">
        <f t="shared" si="8"/>
        <v>1.6278252756944294</v>
      </c>
    </row>
    <row r="68" spans="1:6" ht="18" customHeight="1" x14ac:dyDescent="0.25">
      <c r="A68" s="101"/>
      <c r="B68" s="102" t="s">
        <v>131</v>
      </c>
      <c r="C68" s="103">
        <f>SUM(C57:C67)</f>
        <v>155694825</v>
      </c>
      <c r="D68" s="103">
        <f>SUM(D57:D67)</f>
        <v>166063306</v>
      </c>
      <c r="E68" s="103">
        <f t="shared" si="7"/>
        <v>10368481</v>
      </c>
      <c r="F68" s="104">
        <f t="shared" si="8"/>
        <v>6.6594898064209901E-2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23686098</v>
      </c>
      <c r="D70" s="97">
        <v>21462037</v>
      </c>
      <c r="E70" s="97">
        <f t="shared" ref="E70:E81" si="9">D70-C70</f>
        <v>-2224061</v>
      </c>
      <c r="F70" s="98">
        <f t="shared" ref="F70:F81" si="10">IF(C70=0,0,E70/C70)</f>
        <v>-9.3897314787771288E-2</v>
      </c>
    </row>
    <row r="71" spans="1:6" ht="18" customHeight="1" x14ac:dyDescent="0.25">
      <c r="A71" s="99">
        <v>2</v>
      </c>
      <c r="B71" s="100" t="s">
        <v>113</v>
      </c>
      <c r="C71" s="97">
        <v>1800247</v>
      </c>
      <c r="D71" s="97">
        <v>2289821</v>
      </c>
      <c r="E71" s="97">
        <f t="shared" si="9"/>
        <v>489574</v>
      </c>
      <c r="F71" s="98">
        <f t="shared" si="10"/>
        <v>0.2719482382139784</v>
      </c>
    </row>
    <row r="72" spans="1:6" ht="18" customHeight="1" x14ac:dyDescent="0.25">
      <c r="A72" s="99">
        <v>3</v>
      </c>
      <c r="B72" s="100" t="s">
        <v>114</v>
      </c>
      <c r="C72" s="97">
        <v>3844187</v>
      </c>
      <c r="D72" s="97">
        <v>6982470</v>
      </c>
      <c r="E72" s="97">
        <f t="shared" si="9"/>
        <v>3138283</v>
      </c>
      <c r="F72" s="98">
        <f t="shared" si="10"/>
        <v>0.8163710558305306</v>
      </c>
    </row>
    <row r="73" spans="1:6" ht="18" customHeight="1" x14ac:dyDescent="0.25">
      <c r="A73" s="99">
        <v>4</v>
      </c>
      <c r="B73" s="100" t="s">
        <v>115</v>
      </c>
      <c r="C73" s="97">
        <v>5112169</v>
      </c>
      <c r="D73" s="97">
        <v>6462244</v>
      </c>
      <c r="E73" s="97">
        <f t="shared" si="9"/>
        <v>1350075</v>
      </c>
      <c r="F73" s="98">
        <f t="shared" si="10"/>
        <v>0.26409044771407203</v>
      </c>
    </row>
    <row r="74" spans="1:6" ht="18" customHeight="1" x14ac:dyDescent="0.25">
      <c r="A74" s="99">
        <v>5</v>
      </c>
      <c r="B74" s="100" t="s">
        <v>116</v>
      </c>
      <c r="C74" s="97">
        <v>40234</v>
      </c>
      <c r="D74" s="97">
        <v>64332</v>
      </c>
      <c r="E74" s="97">
        <f t="shared" si="9"/>
        <v>24098</v>
      </c>
      <c r="F74" s="98">
        <f t="shared" si="10"/>
        <v>0.59894616493512953</v>
      </c>
    </row>
    <row r="75" spans="1:6" ht="18" customHeight="1" x14ac:dyDescent="0.25">
      <c r="A75" s="99">
        <v>6</v>
      </c>
      <c r="B75" s="100" t="s">
        <v>117</v>
      </c>
      <c r="C75" s="97">
        <v>13037836</v>
      </c>
      <c r="D75" s="97">
        <v>13454447</v>
      </c>
      <c r="E75" s="97">
        <f t="shared" si="9"/>
        <v>416611</v>
      </c>
      <c r="F75" s="98">
        <f t="shared" si="10"/>
        <v>3.1953999114576991E-2</v>
      </c>
    </row>
    <row r="76" spans="1:6" ht="18" customHeight="1" x14ac:dyDescent="0.25">
      <c r="A76" s="99">
        <v>7</v>
      </c>
      <c r="B76" s="100" t="s">
        <v>118</v>
      </c>
      <c r="C76" s="97">
        <v>83379554</v>
      </c>
      <c r="D76" s="97">
        <v>105047417</v>
      </c>
      <c r="E76" s="97">
        <f t="shared" si="9"/>
        <v>21667863</v>
      </c>
      <c r="F76" s="98">
        <f t="shared" si="10"/>
        <v>0.25987021950249339</v>
      </c>
    </row>
    <row r="77" spans="1:6" ht="18" customHeight="1" x14ac:dyDescent="0.25">
      <c r="A77" s="99">
        <v>8</v>
      </c>
      <c r="B77" s="100" t="s">
        <v>119</v>
      </c>
      <c r="C77" s="97">
        <v>4493153</v>
      </c>
      <c r="D77" s="97">
        <v>3635996</v>
      </c>
      <c r="E77" s="97">
        <f t="shared" si="9"/>
        <v>-857157</v>
      </c>
      <c r="F77" s="98">
        <f t="shared" si="10"/>
        <v>-0.1907695998778586</v>
      </c>
    </row>
    <row r="78" spans="1:6" ht="18" customHeight="1" x14ac:dyDescent="0.25">
      <c r="A78" s="99">
        <v>9</v>
      </c>
      <c r="B78" s="100" t="s">
        <v>120</v>
      </c>
      <c r="C78" s="97">
        <v>1670341</v>
      </c>
      <c r="D78" s="97">
        <v>1444995</v>
      </c>
      <c r="E78" s="97">
        <f t="shared" si="9"/>
        <v>-225346</v>
      </c>
      <c r="F78" s="98">
        <f t="shared" si="10"/>
        <v>-0.13491017702373348</v>
      </c>
    </row>
    <row r="79" spans="1:6" ht="18" customHeight="1" x14ac:dyDescent="0.25">
      <c r="A79" s="99">
        <v>10</v>
      </c>
      <c r="B79" s="100" t="s">
        <v>121</v>
      </c>
      <c r="C79" s="97">
        <v>516592</v>
      </c>
      <c r="D79" s="97">
        <v>0</v>
      </c>
      <c r="E79" s="97">
        <f t="shared" si="9"/>
        <v>-516592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102140</v>
      </c>
      <c r="D80" s="97">
        <v>142148</v>
      </c>
      <c r="E80" s="97">
        <f t="shared" si="9"/>
        <v>40008</v>
      </c>
      <c r="F80" s="98">
        <f t="shared" si="10"/>
        <v>0.39169766986489135</v>
      </c>
    </row>
    <row r="81" spans="1:6" ht="18" customHeight="1" x14ac:dyDescent="0.25">
      <c r="A81" s="101"/>
      <c r="B81" s="102" t="s">
        <v>133</v>
      </c>
      <c r="C81" s="103">
        <f>SUM(C70:C80)</f>
        <v>137682551</v>
      </c>
      <c r="D81" s="103">
        <f>SUM(D70:D80)</f>
        <v>160985907</v>
      </c>
      <c r="E81" s="103">
        <f t="shared" si="9"/>
        <v>23303356</v>
      </c>
      <c r="F81" s="104">
        <f t="shared" si="10"/>
        <v>0.16925424340808445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91637349</v>
      </c>
      <c r="D84" s="103">
        <f t="shared" si="11"/>
        <v>89435337</v>
      </c>
      <c r="E84" s="103">
        <f t="shared" ref="E84:E95" si="12">D84-C84</f>
        <v>-2202012</v>
      </c>
      <c r="F84" s="104">
        <f t="shared" ref="F84:F95" si="13">IF(C84=0,0,E84/C84)</f>
        <v>-2.4029634467055565E-2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7866100</v>
      </c>
      <c r="D85" s="103">
        <f t="shared" si="11"/>
        <v>8596498</v>
      </c>
      <c r="E85" s="103">
        <f t="shared" si="12"/>
        <v>730398</v>
      </c>
      <c r="F85" s="104">
        <f t="shared" si="13"/>
        <v>9.2853892017645337E-2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12911649</v>
      </c>
      <c r="D86" s="103">
        <f t="shared" si="11"/>
        <v>19693907</v>
      </c>
      <c r="E86" s="103">
        <f t="shared" si="12"/>
        <v>6782258</v>
      </c>
      <c r="F86" s="104">
        <f t="shared" si="13"/>
        <v>0.52528209216344091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10014643</v>
      </c>
      <c r="D87" s="103">
        <f t="shared" si="11"/>
        <v>11978301</v>
      </c>
      <c r="E87" s="103">
        <f t="shared" si="12"/>
        <v>1963658</v>
      </c>
      <c r="F87" s="104">
        <f t="shared" si="13"/>
        <v>0.19607868198596795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114879</v>
      </c>
      <c r="D88" s="103">
        <f t="shared" si="11"/>
        <v>201379</v>
      </c>
      <c r="E88" s="103">
        <f t="shared" si="12"/>
        <v>86500</v>
      </c>
      <c r="F88" s="104">
        <f t="shared" si="13"/>
        <v>0.75296616439906339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21901041</v>
      </c>
      <c r="D89" s="103">
        <f t="shared" si="11"/>
        <v>19772442</v>
      </c>
      <c r="E89" s="103">
        <f t="shared" si="12"/>
        <v>-2128599</v>
      </c>
      <c r="F89" s="104">
        <f t="shared" si="13"/>
        <v>-9.7191681436512536E-2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138759952</v>
      </c>
      <c r="D90" s="103">
        <f t="shared" si="11"/>
        <v>169686707</v>
      </c>
      <c r="E90" s="103">
        <f t="shared" si="12"/>
        <v>30926755</v>
      </c>
      <c r="F90" s="104">
        <f t="shared" si="13"/>
        <v>0.22287954524515835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5280199</v>
      </c>
      <c r="D91" s="103">
        <f t="shared" si="11"/>
        <v>5503102</v>
      </c>
      <c r="E91" s="103">
        <f t="shared" si="12"/>
        <v>222903</v>
      </c>
      <c r="F91" s="104">
        <f t="shared" si="13"/>
        <v>4.2214886219250451E-2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2534635</v>
      </c>
      <c r="D92" s="103">
        <f t="shared" si="11"/>
        <v>1678857</v>
      </c>
      <c r="E92" s="103">
        <f t="shared" si="12"/>
        <v>-855778</v>
      </c>
      <c r="F92" s="104">
        <f t="shared" si="13"/>
        <v>-0.33763362377620448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2117590</v>
      </c>
      <c r="D93" s="103">
        <f t="shared" si="11"/>
        <v>0</v>
      </c>
      <c r="E93" s="103">
        <f t="shared" si="12"/>
        <v>-2117590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239339</v>
      </c>
      <c r="D94" s="103">
        <f t="shared" si="11"/>
        <v>502683</v>
      </c>
      <c r="E94" s="103">
        <f t="shared" si="12"/>
        <v>263344</v>
      </c>
      <c r="F94" s="104">
        <f t="shared" si="13"/>
        <v>1.100297068175266</v>
      </c>
    </row>
    <row r="95" spans="1:6" ht="18.75" customHeight="1" thickBot="1" x14ac:dyDescent="0.3">
      <c r="A95" s="115"/>
      <c r="B95" s="116" t="s">
        <v>134</v>
      </c>
      <c r="C95" s="112">
        <f>SUM(C84:C94)</f>
        <v>293377376</v>
      </c>
      <c r="D95" s="112">
        <f>SUM(D84:D94)</f>
        <v>327049213</v>
      </c>
      <c r="E95" s="112">
        <f t="shared" si="12"/>
        <v>33671837</v>
      </c>
      <c r="F95" s="113">
        <f t="shared" si="13"/>
        <v>0.1147731207467068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5208</v>
      </c>
      <c r="D100" s="117">
        <v>5484</v>
      </c>
      <c r="E100" s="117">
        <f t="shared" ref="E100:E111" si="14">D100-C100</f>
        <v>276</v>
      </c>
      <c r="F100" s="98">
        <f t="shared" ref="F100:F111" si="15">IF(C100=0,0,E100/C100)</f>
        <v>5.2995391705069124E-2</v>
      </c>
    </row>
    <row r="101" spans="1:6" ht="18" customHeight="1" x14ac:dyDescent="0.25">
      <c r="A101" s="99">
        <v>2</v>
      </c>
      <c r="B101" s="100" t="s">
        <v>113</v>
      </c>
      <c r="C101" s="117">
        <v>476</v>
      </c>
      <c r="D101" s="117">
        <v>524</v>
      </c>
      <c r="E101" s="117">
        <f t="shared" si="14"/>
        <v>48</v>
      </c>
      <c r="F101" s="98">
        <f t="shared" si="15"/>
        <v>0.10084033613445378</v>
      </c>
    </row>
    <row r="102" spans="1:6" ht="18" customHeight="1" x14ac:dyDescent="0.25">
      <c r="A102" s="99">
        <v>3</v>
      </c>
      <c r="B102" s="100" t="s">
        <v>114</v>
      </c>
      <c r="C102" s="117">
        <v>1304</v>
      </c>
      <c r="D102" s="117">
        <v>1727</v>
      </c>
      <c r="E102" s="117">
        <f t="shared" si="14"/>
        <v>423</v>
      </c>
      <c r="F102" s="98">
        <f t="shared" si="15"/>
        <v>0.32438650306748468</v>
      </c>
    </row>
    <row r="103" spans="1:6" ht="18" customHeight="1" x14ac:dyDescent="0.25">
      <c r="A103" s="99">
        <v>4</v>
      </c>
      <c r="B103" s="100" t="s">
        <v>115</v>
      </c>
      <c r="C103" s="117">
        <v>1154</v>
      </c>
      <c r="D103" s="117">
        <v>1311</v>
      </c>
      <c r="E103" s="117">
        <f t="shared" si="14"/>
        <v>157</v>
      </c>
      <c r="F103" s="98">
        <f t="shared" si="15"/>
        <v>0.13604852686308491</v>
      </c>
    </row>
    <row r="104" spans="1:6" ht="18" customHeight="1" x14ac:dyDescent="0.25">
      <c r="A104" s="99">
        <v>5</v>
      </c>
      <c r="B104" s="100" t="s">
        <v>116</v>
      </c>
      <c r="C104" s="117">
        <v>9</v>
      </c>
      <c r="D104" s="117">
        <v>19</v>
      </c>
      <c r="E104" s="117">
        <f t="shared" si="14"/>
        <v>10</v>
      </c>
      <c r="F104" s="98">
        <f t="shared" si="15"/>
        <v>1.1111111111111112</v>
      </c>
    </row>
    <row r="105" spans="1:6" ht="18" customHeight="1" x14ac:dyDescent="0.25">
      <c r="A105" s="99">
        <v>6</v>
      </c>
      <c r="B105" s="100" t="s">
        <v>117</v>
      </c>
      <c r="C105" s="117">
        <v>597</v>
      </c>
      <c r="D105" s="117">
        <v>539</v>
      </c>
      <c r="E105" s="117">
        <f t="shared" si="14"/>
        <v>-58</v>
      </c>
      <c r="F105" s="98">
        <f t="shared" si="15"/>
        <v>-9.7152428810720268E-2</v>
      </c>
    </row>
    <row r="106" spans="1:6" ht="18" customHeight="1" x14ac:dyDescent="0.25">
      <c r="A106" s="99">
        <v>7</v>
      </c>
      <c r="B106" s="100" t="s">
        <v>118</v>
      </c>
      <c r="C106" s="117">
        <v>5039</v>
      </c>
      <c r="D106" s="117">
        <v>4947</v>
      </c>
      <c r="E106" s="117">
        <f t="shared" si="14"/>
        <v>-92</v>
      </c>
      <c r="F106" s="98">
        <f t="shared" si="15"/>
        <v>-1.8257590791823774E-2</v>
      </c>
    </row>
    <row r="107" spans="1:6" ht="18" customHeight="1" x14ac:dyDescent="0.25">
      <c r="A107" s="99">
        <v>8</v>
      </c>
      <c r="B107" s="100" t="s">
        <v>119</v>
      </c>
      <c r="C107" s="117">
        <v>55</v>
      </c>
      <c r="D107" s="117">
        <v>64</v>
      </c>
      <c r="E107" s="117">
        <f t="shared" si="14"/>
        <v>9</v>
      </c>
      <c r="F107" s="98">
        <f t="shared" si="15"/>
        <v>0.16363636363636364</v>
      </c>
    </row>
    <row r="108" spans="1:6" ht="18" customHeight="1" x14ac:dyDescent="0.25">
      <c r="A108" s="99">
        <v>9</v>
      </c>
      <c r="B108" s="100" t="s">
        <v>120</v>
      </c>
      <c r="C108" s="117">
        <v>426</v>
      </c>
      <c r="D108" s="117">
        <v>223</v>
      </c>
      <c r="E108" s="117">
        <f t="shared" si="14"/>
        <v>-203</v>
      </c>
      <c r="F108" s="98">
        <f t="shared" si="15"/>
        <v>-0.47652582159624413</v>
      </c>
    </row>
    <row r="109" spans="1:6" ht="18" customHeight="1" x14ac:dyDescent="0.25">
      <c r="A109" s="99">
        <v>10</v>
      </c>
      <c r="B109" s="100" t="s">
        <v>121</v>
      </c>
      <c r="C109" s="117">
        <v>191</v>
      </c>
      <c r="D109" s="117">
        <v>0</v>
      </c>
      <c r="E109" s="117">
        <f t="shared" si="14"/>
        <v>-191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24</v>
      </c>
      <c r="D110" s="117">
        <v>40</v>
      </c>
      <c r="E110" s="117">
        <f t="shared" si="14"/>
        <v>16</v>
      </c>
      <c r="F110" s="98">
        <f t="shared" si="15"/>
        <v>0.66666666666666663</v>
      </c>
    </row>
    <row r="111" spans="1:6" ht="18" customHeight="1" x14ac:dyDescent="0.25">
      <c r="A111" s="101"/>
      <c r="B111" s="102" t="s">
        <v>138</v>
      </c>
      <c r="C111" s="118">
        <f>SUM(C100:C110)</f>
        <v>14483</v>
      </c>
      <c r="D111" s="118">
        <f>SUM(D100:D110)</f>
        <v>14878</v>
      </c>
      <c r="E111" s="118">
        <f t="shared" si="14"/>
        <v>395</v>
      </c>
      <c r="F111" s="104">
        <f t="shared" si="15"/>
        <v>2.7273354967893394E-2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34563</v>
      </c>
      <c r="D113" s="117">
        <v>33825</v>
      </c>
      <c r="E113" s="117">
        <f t="shared" ref="E113:E124" si="16">D113-C113</f>
        <v>-738</v>
      </c>
      <c r="F113" s="98">
        <f t="shared" ref="F113:F124" si="17">IF(C113=0,0,E113/C113)</f>
        <v>-2.1352313167259787E-2</v>
      </c>
    </row>
    <row r="114" spans="1:6" ht="18" customHeight="1" x14ac:dyDescent="0.25">
      <c r="A114" s="99">
        <v>2</v>
      </c>
      <c r="B114" s="100" t="s">
        <v>113</v>
      </c>
      <c r="C114" s="117">
        <v>3105</v>
      </c>
      <c r="D114" s="117">
        <v>3563</v>
      </c>
      <c r="E114" s="117">
        <f t="shared" si="16"/>
        <v>458</v>
      </c>
      <c r="F114" s="98">
        <f t="shared" si="17"/>
        <v>0.14750402576489532</v>
      </c>
    </row>
    <row r="115" spans="1:6" ht="18" customHeight="1" x14ac:dyDescent="0.25">
      <c r="A115" s="99">
        <v>3</v>
      </c>
      <c r="B115" s="100" t="s">
        <v>114</v>
      </c>
      <c r="C115" s="117">
        <v>6276</v>
      </c>
      <c r="D115" s="117">
        <v>8266</v>
      </c>
      <c r="E115" s="117">
        <f t="shared" si="16"/>
        <v>1990</v>
      </c>
      <c r="F115" s="98">
        <f t="shared" si="17"/>
        <v>0.31708094327597197</v>
      </c>
    </row>
    <row r="116" spans="1:6" ht="18" customHeight="1" x14ac:dyDescent="0.25">
      <c r="A116" s="99">
        <v>4</v>
      </c>
      <c r="B116" s="100" t="s">
        <v>115</v>
      </c>
      <c r="C116" s="117">
        <v>3600</v>
      </c>
      <c r="D116" s="117">
        <v>4078</v>
      </c>
      <c r="E116" s="117">
        <f t="shared" si="16"/>
        <v>478</v>
      </c>
      <c r="F116" s="98">
        <f t="shared" si="17"/>
        <v>0.13277777777777777</v>
      </c>
    </row>
    <row r="117" spans="1:6" ht="18" customHeight="1" x14ac:dyDescent="0.25">
      <c r="A117" s="99">
        <v>5</v>
      </c>
      <c r="B117" s="100" t="s">
        <v>116</v>
      </c>
      <c r="C117" s="117">
        <v>24</v>
      </c>
      <c r="D117" s="117">
        <v>97</v>
      </c>
      <c r="E117" s="117">
        <f t="shared" si="16"/>
        <v>73</v>
      </c>
      <c r="F117" s="98">
        <f t="shared" si="17"/>
        <v>3.0416666666666665</v>
      </c>
    </row>
    <row r="118" spans="1:6" ht="18" customHeight="1" x14ac:dyDescent="0.25">
      <c r="A118" s="99">
        <v>6</v>
      </c>
      <c r="B118" s="100" t="s">
        <v>117</v>
      </c>
      <c r="C118" s="117">
        <v>2353</v>
      </c>
      <c r="D118" s="117">
        <v>2067</v>
      </c>
      <c r="E118" s="117">
        <f t="shared" si="16"/>
        <v>-286</v>
      </c>
      <c r="F118" s="98">
        <f t="shared" si="17"/>
        <v>-0.12154696132596685</v>
      </c>
    </row>
    <row r="119" spans="1:6" ht="18" customHeight="1" x14ac:dyDescent="0.25">
      <c r="A119" s="99">
        <v>7</v>
      </c>
      <c r="B119" s="100" t="s">
        <v>118</v>
      </c>
      <c r="C119" s="117">
        <v>16653</v>
      </c>
      <c r="D119" s="117">
        <v>17292</v>
      </c>
      <c r="E119" s="117">
        <f t="shared" si="16"/>
        <v>639</v>
      </c>
      <c r="F119" s="98">
        <f t="shared" si="17"/>
        <v>3.83714646009728E-2</v>
      </c>
    </row>
    <row r="120" spans="1:6" ht="18" customHeight="1" x14ac:dyDescent="0.25">
      <c r="A120" s="99">
        <v>8</v>
      </c>
      <c r="B120" s="100" t="s">
        <v>119</v>
      </c>
      <c r="C120" s="117">
        <v>257</v>
      </c>
      <c r="D120" s="117">
        <v>256</v>
      </c>
      <c r="E120" s="117">
        <f t="shared" si="16"/>
        <v>-1</v>
      </c>
      <c r="F120" s="98">
        <f t="shared" si="17"/>
        <v>-3.8910505836575876E-3</v>
      </c>
    </row>
    <row r="121" spans="1:6" ht="18" customHeight="1" x14ac:dyDescent="0.25">
      <c r="A121" s="99">
        <v>9</v>
      </c>
      <c r="B121" s="100" t="s">
        <v>120</v>
      </c>
      <c r="C121" s="117">
        <v>1527</v>
      </c>
      <c r="D121" s="117">
        <v>745</v>
      </c>
      <c r="E121" s="117">
        <f t="shared" si="16"/>
        <v>-782</v>
      </c>
      <c r="F121" s="98">
        <f t="shared" si="17"/>
        <v>-0.51211525867714469</v>
      </c>
    </row>
    <row r="122" spans="1:6" ht="18" customHeight="1" x14ac:dyDescent="0.25">
      <c r="A122" s="99">
        <v>10</v>
      </c>
      <c r="B122" s="100" t="s">
        <v>121</v>
      </c>
      <c r="C122" s="117">
        <v>950</v>
      </c>
      <c r="D122" s="117">
        <v>0</v>
      </c>
      <c r="E122" s="117">
        <f t="shared" si="16"/>
        <v>-950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109</v>
      </c>
      <c r="D123" s="117">
        <v>166</v>
      </c>
      <c r="E123" s="117">
        <f t="shared" si="16"/>
        <v>57</v>
      </c>
      <c r="F123" s="98">
        <f t="shared" si="17"/>
        <v>0.52293577981651373</v>
      </c>
    </row>
    <row r="124" spans="1:6" ht="18" customHeight="1" x14ac:dyDescent="0.25">
      <c r="A124" s="101"/>
      <c r="B124" s="102" t="s">
        <v>140</v>
      </c>
      <c r="C124" s="118">
        <f>SUM(C113:C123)</f>
        <v>69417</v>
      </c>
      <c r="D124" s="118">
        <f>SUM(D113:D123)</f>
        <v>70355</v>
      </c>
      <c r="E124" s="118">
        <f t="shared" si="16"/>
        <v>938</v>
      </c>
      <c r="F124" s="104">
        <f t="shared" si="17"/>
        <v>1.35125401558696E-2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48212</v>
      </c>
      <c r="D126" s="117">
        <v>55271</v>
      </c>
      <c r="E126" s="117">
        <f t="shared" ref="E126:E137" si="18">D126-C126</f>
        <v>7059</v>
      </c>
      <c r="F126" s="98">
        <f t="shared" ref="F126:F137" si="19">IF(C126=0,0,E126/C126)</f>
        <v>0.14641583008379658</v>
      </c>
    </row>
    <row r="127" spans="1:6" ht="18" customHeight="1" x14ac:dyDescent="0.25">
      <c r="A127" s="99">
        <v>2</v>
      </c>
      <c r="B127" s="100" t="s">
        <v>113</v>
      </c>
      <c r="C127" s="117">
        <v>4380</v>
      </c>
      <c r="D127" s="117">
        <v>5564</v>
      </c>
      <c r="E127" s="117">
        <f t="shared" si="18"/>
        <v>1184</v>
      </c>
      <c r="F127" s="98">
        <f t="shared" si="19"/>
        <v>0.27031963470319637</v>
      </c>
    </row>
    <row r="128" spans="1:6" ht="18" customHeight="1" x14ac:dyDescent="0.25">
      <c r="A128" s="99">
        <v>3</v>
      </c>
      <c r="B128" s="100" t="s">
        <v>114</v>
      </c>
      <c r="C128" s="117">
        <v>12418</v>
      </c>
      <c r="D128" s="117">
        <v>16371</v>
      </c>
      <c r="E128" s="117">
        <f t="shared" si="18"/>
        <v>3953</v>
      </c>
      <c r="F128" s="98">
        <f t="shared" si="19"/>
        <v>0.31832823320985665</v>
      </c>
    </row>
    <row r="129" spans="1:6" ht="18" customHeight="1" x14ac:dyDescent="0.25">
      <c r="A129" s="99">
        <v>4</v>
      </c>
      <c r="B129" s="100" t="s">
        <v>115</v>
      </c>
      <c r="C129" s="117">
        <v>19216</v>
      </c>
      <c r="D129" s="117">
        <v>21860</v>
      </c>
      <c r="E129" s="117">
        <f t="shared" si="18"/>
        <v>2644</v>
      </c>
      <c r="F129" s="98">
        <f t="shared" si="19"/>
        <v>0.13759367194004996</v>
      </c>
    </row>
    <row r="130" spans="1:6" ht="18" customHeight="1" x14ac:dyDescent="0.25">
      <c r="A130" s="99">
        <v>5</v>
      </c>
      <c r="B130" s="100" t="s">
        <v>116</v>
      </c>
      <c r="C130" s="117">
        <v>259</v>
      </c>
      <c r="D130" s="117">
        <v>207</v>
      </c>
      <c r="E130" s="117">
        <f t="shared" si="18"/>
        <v>-52</v>
      </c>
      <c r="F130" s="98">
        <f t="shared" si="19"/>
        <v>-0.20077220077220076</v>
      </c>
    </row>
    <row r="131" spans="1:6" ht="18" customHeight="1" x14ac:dyDescent="0.25">
      <c r="A131" s="99">
        <v>6</v>
      </c>
      <c r="B131" s="100" t="s">
        <v>117</v>
      </c>
      <c r="C131" s="117">
        <v>12850</v>
      </c>
      <c r="D131" s="117">
        <v>13218</v>
      </c>
      <c r="E131" s="117">
        <f t="shared" si="18"/>
        <v>368</v>
      </c>
      <c r="F131" s="98">
        <f t="shared" si="19"/>
        <v>2.8638132295719845E-2</v>
      </c>
    </row>
    <row r="132" spans="1:6" ht="18" customHeight="1" x14ac:dyDescent="0.25">
      <c r="A132" s="99">
        <v>7</v>
      </c>
      <c r="B132" s="100" t="s">
        <v>118</v>
      </c>
      <c r="C132" s="117">
        <v>87999</v>
      </c>
      <c r="D132" s="117">
        <v>105979</v>
      </c>
      <c r="E132" s="117">
        <f t="shared" si="18"/>
        <v>17980</v>
      </c>
      <c r="F132" s="98">
        <f t="shared" si="19"/>
        <v>0.20432050364208684</v>
      </c>
    </row>
    <row r="133" spans="1:6" ht="18" customHeight="1" x14ac:dyDescent="0.25">
      <c r="A133" s="99">
        <v>8</v>
      </c>
      <c r="B133" s="100" t="s">
        <v>119</v>
      </c>
      <c r="C133" s="117">
        <v>2776</v>
      </c>
      <c r="D133" s="117">
        <v>3019</v>
      </c>
      <c r="E133" s="117">
        <f t="shared" si="18"/>
        <v>243</v>
      </c>
      <c r="F133" s="98">
        <f t="shared" si="19"/>
        <v>8.7536023054755038E-2</v>
      </c>
    </row>
    <row r="134" spans="1:6" ht="18" customHeight="1" x14ac:dyDescent="0.25">
      <c r="A134" s="99">
        <v>9</v>
      </c>
      <c r="B134" s="100" t="s">
        <v>120</v>
      </c>
      <c r="C134" s="117">
        <v>18279</v>
      </c>
      <c r="D134" s="117">
        <v>18593</v>
      </c>
      <c r="E134" s="117">
        <f t="shared" si="18"/>
        <v>314</v>
      </c>
      <c r="F134" s="98">
        <f t="shared" si="19"/>
        <v>1.7178182613928551E-2</v>
      </c>
    </row>
    <row r="135" spans="1:6" ht="18" customHeight="1" x14ac:dyDescent="0.25">
      <c r="A135" s="99">
        <v>10</v>
      </c>
      <c r="B135" s="100" t="s">
        <v>121</v>
      </c>
      <c r="C135" s="117">
        <v>540</v>
      </c>
      <c r="D135" s="117">
        <v>0</v>
      </c>
      <c r="E135" s="117">
        <f t="shared" si="18"/>
        <v>-540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196</v>
      </c>
      <c r="D136" s="117">
        <v>201</v>
      </c>
      <c r="E136" s="117">
        <f t="shared" si="18"/>
        <v>5</v>
      </c>
      <c r="F136" s="98">
        <f t="shared" si="19"/>
        <v>2.5510204081632654E-2</v>
      </c>
    </row>
    <row r="137" spans="1:6" ht="18" customHeight="1" x14ac:dyDescent="0.25">
      <c r="A137" s="101"/>
      <c r="B137" s="102" t="s">
        <v>143</v>
      </c>
      <c r="C137" s="118">
        <f>SUM(C126:C136)</f>
        <v>207125</v>
      </c>
      <c r="D137" s="118">
        <f>SUM(D126:D136)</f>
        <v>240283</v>
      </c>
      <c r="E137" s="118">
        <f t="shared" si="18"/>
        <v>33158</v>
      </c>
      <c r="F137" s="104">
        <f t="shared" si="19"/>
        <v>0.16008690404345202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25055188</v>
      </c>
      <c r="D142" s="97">
        <v>25303091</v>
      </c>
      <c r="E142" s="97">
        <f t="shared" ref="E142:E153" si="20">D142-C142</f>
        <v>247903</v>
      </c>
      <c r="F142" s="98">
        <f t="shared" ref="F142:F153" si="21">IF(C142=0,0,E142/C142)</f>
        <v>9.8942781830254085E-3</v>
      </c>
    </row>
    <row r="143" spans="1:6" ht="18" customHeight="1" x14ac:dyDescent="0.25">
      <c r="A143" s="99">
        <v>2</v>
      </c>
      <c r="B143" s="100" t="s">
        <v>113</v>
      </c>
      <c r="C143" s="97">
        <v>2208911</v>
      </c>
      <c r="D143" s="97">
        <v>2407960</v>
      </c>
      <c r="E143" s="97">
        <f t="shared" si="20"/>
        <v>199049</v>
      </c>
      <c r="F143" s="98">
        <f t="shared" si="21"/>
        <v>9.0111824333347967E-2</v>
      </c>
    </row>
    <row r="144" spans="1:6" ht="18" customHeight="1" x14ac:dyDescent="0.25">
      <c r="A144" s="99">
        <v>3</v>
      </c>
      <c r="B144" s="100" t="s">
        <v>114</v>
      </c>
      <c r="C144" s="97">
        <v>8143390</v>
      </c>
      <c r="D144" s="97">
        <v>12520872</v>
      </c>
      <c r="E144" s="97">
        <f t="shared" si="20"/>
        <v>4377482</v>
      </c>
      <c r="F144" s="98">
        <f t="shared" si="21"/>
        <v>0.53755033223264514</v>
      </c>
    </row>
    <row r="145" spans="1:6" ht="18" customHeight="1" x14ac:dyDescent="0.25">
      <c r="A145" s="99">
        <v>4</v>
      </c>
      <c r="B145" s="100" t="s">
        <v>115</v>
      </c>
      <c r="C145" s="97">
        <v>11070715</v>
      </c>
      <c r="D145" s="97">
        <v>13444913</v>
      </c>
      <c r="E145" s="97">
        <f t="shared" si="20"/>
        <v>2374198</v>
      </c>
      <c r="F145" s="98">
        <f t="shared" si="21"/>
        <v>0.2144575124551576</v>
      </c>
    </row>
    <row r="146" spans="1:6" ht="18" customHeight="1" x14ac:dyDescent="0.25">
      <c r="A146" s="99">
        <v>5</v>
      </c>
      <c r="B146" s="100" t="s">
        <v>116</v>
      </c>
      <c r="C146" s="97">
        <v>120086</v>
      </c>
      <c r="D146" s="97">
        <v>117619</v>
      </c>
      <c r="E146" s="97">
        <f t="shared" si="20"/>
        <v>-2467</v>
      </c>
      <c r="F146" s="98">
        <f t="shared" si="21"/>
        <v>-2.0543610412537681E-2</v>
      </c>
    </row>
    <row r="147" spans="1:6" ht="18" customHeight="1" x14ac:dyDescent="0.25">
      <c r="A147" s="99">
        <v>6</v>
      </c>
      <c r="B147" s="100" t="s">
        <v>117</v>
      </c>
      <c r="C147" s="97">
        <v>6554612</v>
      </c>
      <c r="D147" s="97">
        <v>7801944</v>
      </c>
      <c r="E147" s="97">
        <f t="shared" si="20"/>
        <v>1247332</v>
      </c>
      <c r="F147" s="98">
        <f t="shared" si="21"/>
        <v>0.1902983731149914</v>
      </c>
    </row>
    <row r="148" spans="1:6" ht="18" customHeight="1" x14ac:dyDescent="0.25">
      <c r="A148" s="99">
        <v>7</v>
      </c>
      <c r="B148" s="100" t="s">
        <v>118</v>
      </c>
      <c r="C148" s="97">
        <v>40308573</v>
      </c>
      <c r="D148" s="97">
        <v>46937344</v>
      </c>
      <c r="E148" s="97">
        <f t="shared" si="20"/>
        <v>6628771</v>
      </c>
      <c r="F148" s="98">
        <f t="shared" si="21"/>
        <v>0.16445064924526104</v>
      </c>
    </row>
    <row r="149" spans="1:6" ht="18" customHeight="1" x14ac:dyDescent="0.25">
      <c r="A149" s="99">
        <v>8</v>
      </c>
      <c r="B149" s="100" t="s">
        <v>119</v>
      </c>
      <c r="C149" s="97">
        <v>1660586</v>
      </c>
      <c r="D149" s="97">
        <v>2136080</v>
      </c>
      <c r="E149" s="97">
        <f t="shared" si="20"/>
        <v>475494</v>
      </c>
      <c r="F149" s="98">
        <f t="shared" si="21"/>
        <v>0.28634108682115833</v>
      </c>
    </row>
    <row r="150" spans="1:6" ht="18" customHeight="1" x14ac:dyDescent="0.25">
      <c r="A150" s="99">
        <v>9</v>
      </c>
      <c r="B150" s="100" t="s">
        <v>120</v>
      </c>
      <c r="C150" s="97">
        <v>12540636</v>
      </c>
      <c r="D150" s="97">
        <v>13015997</v>
      </c>
      <c r="E150" s="97">
        <f t="shared" si="20"/>
        <v>475361</v>
      </c>
      <c r="F150" s="98">
        <f t="shared" si="21"/>
        <v>3.7905653269897956E-2</v>
      </c>
    </row>
    <row r="151" spans="1:6" ht="18" customHeight="1" x14ac:dyDescent="0.25">
      <c r="A151" s="99">
        <v>10</v>
      </c>
      <c r="B151" s="100" t="s">
        <v>121</v>
      </c>
      <c r="C151" s="97">
        <v>299117</v>
      </c>
      <c r="D151" s="97">
        <v>0</v>
      </c>
      <c r="E151" s="97">
        <f t="shared" si="20"/>
        <v>-299117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345017</v>
      </c>
      <c r="D152" s="97">
        <v>439572</v>
      </c>
      <c r="E152" s="97">
        <f t="shared" si="20"/>
        <v>94555</v>
      </c>
      <c r="F152" s="98">
        <f t="shared" si="21"/>
        <v>0.27405895941359409</v>
      </c>
    </row>
    <row r="153" spans="1:6" ht="33.75" customHeight="1" x14ac:dyDescent="0.25">
      <c r="A153" s="101"/>
      <c r="B153" s="102" t="s">
        <v>147</v>
      </c>
      <c r="C153" s="103">
        <f>SUM(C142:C152)</f>
        <v>108306831</v>
      </c>
      <c r="D153" s="103">
        <f>SUM(D142:D152)</f>
        <v>124125392</v>
      </c>
      <c r="E153" s="103">
        <f t="shared" si="20"/>
        <v>15818561</v>
      </c>
      <c r="F153" s="104">
        <f t="shared" si="21"/>
        <v>0.14605321616325381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4868376</v>
      </c>
      <c r="D155" s="97">
        <v>4814327</v>
      </c>
      <c r="E155" s="97">
        <f t="shared" ref="E155:E166" si="22">D155-C155</f>
        <v>-54049</v>
      </c>
      <c r="F155" s="98">
        <f t="shared" ref="F155:F166" si="23">IF(C155=0,0,E155/C155)</f>
        <v>-1.1102059495815442E-2</v>
      </c>
    </row>
    <row r="156" spans="1:6" ht="18" customHeight="1" x14ac:dyDescent="0.25">
      <c r="A156" s="99">
        <v>2</v>
      </c>
      <c r="B156" s="100" t="s">
        <v>113</v>
      </c>
      <c r="C156" s="97">
        <v>414038</v>
      </c>
      <c r="D156" s="97">
        <v>440980</v>
      </c>
      <c r="E156" s="97">
        <f t="shared" si="22"/>
        <v>26942</v>
      </c>
      <c r="F156" s="98">
        <f t="shared" si="23"/>
        <v>6.5071321955955733E-2</v>
      </c>
    </row>
    <row r="157" spans="1:6" ht="18" customHeight="1" x14ac:dyDescent="0.25">
      <c r="A157" s="99">
        <v>3</v>
      </c>
      <c r="B157" s="100" t="s">
        <v>114</v>
      </c>
      <c r="C157" s="97">
        <v>1354729</v>
      </c>
      <c r="D157" s="97">
        <v>2500750</v>
      </c>
      <c r="E157" s="97">
        <f t="shared" si="22"/>
        <v>1146021</v>
      </c>
      <c r="F157" s="98">
        <f t="shared" si="23"/>
        <v>0.84594114394834685</v>
      </c>
    </row>
    <row r="158" spans="1:6" ht="18" customHeight="1" x14ac:dyDescent="0.25">
      <c r="A158" s="99">
        <v>4</v>
      </c>
      <c r="B158" s="100" t="s">
        <v>115</v>
      </c>
      <c r="C158" s="97">
        <v>2130054</v>
      </c>
      <c r="D158" s="97">
        <v>2649698</v>
      </c>
      <c r="E158" s="97">
        <f t="shared" si="22"/>
        <v>519644</v>
      </c>
      <c r="F158" s="98">
        <f t="shared" si="23"/>
        <v>0.24395813439471487</v>
      </c>
    </row>
    <row r="159" spans="1:6" ht="18" customHeight="1" x14ac:dyDescent="0.25">
      <c r="A159" s="99">
        <v>5</v>
      </c>
      <c r="B159" s="100" t="s">
        <v>116</v>
      </c>
      <c r="C159" s="97">
        <v>31734</v>
      </c>
      <c r="D159" s="97">
        <v>24112</v>
      </c>
      <c r="E159" s="97">
        <f t="shared" si="22"/>
        <v>-7622</v>
      </c>
      <c r="F159" s="98">
        <f t="shared" si="23"/>
        <v>-0.24018402974727421</v>
      </c>
    </row>
    <row r="160" spans="1:6" ht="18" customHeight="1" x14ac:dyDescent="0.25">
      <c r="A160" s="99">
        <v>6</v>
      </c>
      <c r="B160" s="100" t="s">
        <v>117</v>
      </c>
      <c r="C160" s="97">
        <v>4811388</v>
      </c>
      <c r="D160" s="97">
        <v>5685780</v>
      </c>
      <c r="E160" s="97">
        <f t="shared" si="22"/>
        <v>874392</v>
      </c>
      <c r="F160" s="98">
        <f t="shared" si="23"/>
        <v>0.1817338364729679</v>
      </c>
    </row>
    <row r="161" spans="1:6" ht="18" customHeight="1" x14ac:dyDescent="0.25">
      <c r="A161" s="99">
        <v>7</v>
      </c>
      <c r="B161" s="100" t="s">
        <v>118</v>
      </c>
      <c r="C161" s="97">
        <v>24429882</v>
      </c>
      <c r="D161" s="97">
        <v>28237740</v>
      </c>
      <c r="E161" s="97">
        <f t="shared" si="22"/>
        <v>3807858</v>
      </c>
      <c r="F161" s="98">
        <f t="shared" si="23"/>
        <v>0.15586886584225007</v>
      </c>
    </row>
    <row r="162" spans="1:6" ht="18" customHeight="1" x14ac:dyDescent="0.25">
      <c r="A162" s="99">
        <v>8</v>
      </c>
      <c r="B162" s="100" t="s">
        <v>119</v>
      </c>
      <c r="C162" s="97">
        <v>1071235</v>
      </c>
      <c r="D162" s="97">
        <v>1384577</v>
      </c>
      <c r="E162" s="97">
        <f t="shared" si="22"/>
        <v>313342</v>
      </c>
      <c r="F162" s="98">
        <f t="shared" si="23"/>
        <v>0.29250537930519449</v>
      </c>
    </row>
    <row r="163" spans="1:6" ht="18" customHeight="1" x14ac:dyDescent="0.25">
      <c r="A163" s="99">
        <v>9</v>
      </c>
      <c r="B163" s="100" t="s">
        <v>120</v>
      </c>
      <c r="C163" s="97">
        <v>887925</v>
      </c>
      <c r="D163" s="97">
        <v>911837</v>
      </c>
      <c r="E163" s="97">
        <f t="shared" si="22"/>
        <v>23912</v>
      </c>
      <c r="F163" s="98">
        <f t="shared" si="23"/>
        <v>2.6930202438268998E-2</v>
      </c>
    </row>
    <row r="164" spans="1:6" ht="18" customHeight="1" x14ac:dyDescent="0.25">
      <c r="A164" s="99">
        <v>10</v>
      </c>
      <c r="B164" s="100" t="s">
        <v>121</v>
      </c>
      <c r="C164" s="97">
        <v>13009</v>
      </c>
      <c r="D164" s="97">
        <v>0</v>
      </c>
      <c r="E164" s="97">
        <f t="shared" si="22"/>
        <v>-13009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103614</v>
      </c>
      <c r="D165" s="97">
        <v>136032</v>
      </c>
      <c r="E165" s="97">
        <f t="shared" si="22"/>
        <v>32418</v>
      </c>
      <c r="F165" s="98">
        <f t="shared" si="23"/>
        <v>0.31287277780994849</v>
      </c>
    </row>
    <row r="166" spans="1:6" ht="33.75" customHeight="1" x14ac:dyDescent="0.25">
      <c r="A166" s="101"/>
      <c r="B166" s="102" t="s">
        <v>149</v>
      </c>
      <c r="C166" s="103">
        <f>SUM(C155:C165)</f>
        <v>40115984</v>
      </c>
      <c r="D166" s="103">
        <f>SUM(D155:D165)</f>
        <v>46785833</v>
      </c>
      <c r="E166" s="103">
        <f t="shared" si="22"/>
        <v>6669849</v>
      </c>
      <c r="F166" s="104">
        <f t="shared" si="23"/>
        <v>0.16626412554157963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6245</v>
      </c>
      <c r="D168" s="117">
        <v>6211</v>
      </c>
      <c r="E168" s="117">
        <f t="shared" ref="E168:E179" si="24">D168-C168</f>
        <v>-34</v>
      </c>
      <c r="F168" s="98">
        <f t="shared" ref="F168:F179" si="25">IF(C168=0,0,E168/C168)</f>
        <v>-5.4443554843875098E-3</v>
      </c>
    </row>
    <row r="169" spans="1:6" ht="18" customHeight="1" x14ac:dyDescent="0.25">
      <c r="A169" s="99">
        <v>2</v>
      </c>
      <c r="B169" s="100" t="s">
        <v>113</v>
      </c>
      <c r="C169" s="117">
        <v>568</v>
      </c>
      <c r="D169" s="117">
        <v>617</v>
      </c>
      <c r="E169" s="117">
        <f t="shared" si="24"/>
        <v>49</v>
      </c>
      <c r="F169" s="98">
        <f t="shared" si="25"/>
        <v>8.6267605633802813E-2</v>
      </c>
    </row>
    <row r="170" spans="1:6" ht="18" customHeight="1" x14ac:dyDescent="0.25">
      <c r="A170" s="99">
        <v>3</v>
      </c>
      <c r="B170" s="100" t="s">
        <v>114</v>
      </c>
      <c r="C170" s="117">
        <v>3047</v>
      </c>
      <c r="D170" s="117">
        <v>3830</v>
      </c>
      <c r="E170" s="117">
        <f t="shared" si="24"/>
        <v>783</v>
      </c>
      <c r="F170" s="98">
        <f t="shared" si="25"/>
        <v>0.2569740728585494</v>
      </c>
    </row>
    <row r="171" spans="1:6" ht="18" customHeight="1" x14ac:dyDescent="0.25">
      <c r="A171" s="99">
        <v>4</v>
      </c>
      <c r="B171" s="100" t="s">
        <v>115</v>
      </c>
      <c r="C171" s="117">
        <v>5939</v>
      </c>
      <c r="D171" s="117">
        <v>6212</v>
      </c>
      <c r="E171" s="117">
        <f t="shared" si="24"/>
        <v>273</v>
      </c>
      <c r="F171" s="98">
        <f t="shared" si="25"/>
        <v>4.5967334568109107E-2</v>
      </c>
    </row>
    <row r="172" spans="1:6" ht="18" customHeight="1" x14ac:dyDescent="0.25">
      <c r="A172" s="99">
        <v>5</v>
      </c>
      <c r="B172" s="100" t="s">
        <v>116</v>
      </c>
      <c r="C172" s="117">
        <v>54</v>
      </c>
      <c r="D172" s="117">
        <v>47</v>
      </c>
      <c r="E172" s="117">
        <f t="shared" si="24"/>
        <v>-7</v>
      </c>
      <c r="F172" s="98">
        <f t="shared" si="25"/>
        <v>-0.12962962962962962</v>
      </c>
    </row>
    <row r="173" spans="1:6" ht="18" customHeight="1" x14ac:dyDescent="0.25">
      <c r="A173" s="99">
        <v>6</v>
      </c>
      <c r="B173" s="100" t="s">
        <v>117</v>
      </c>
      <c r="C173" s="117">
        <v>2294</v>
      </c>
      <c r="D173" s="117">
        <v>2282</v>
      </c>
      <c r="E173" s="117">
        <f t="shared" si="24"/>
        <v>-12</v>
      </c>
      <c r="F173" s="98">
        <f t="shared" si="25"/>
        <v>-5.2310374891020054E-3</v>
      </c>
    </row>
    <row r="174" spans="1:6" ht="18" customHeight="1" x14ac:dyDescent="0.25">
      <c r="A174" s="99">
        <v>7</v>
      </c>
      <c r="B174" s="100" t="s">
        <v>118</v>
      </c>
      <c r="C174" s="117">
        <v>15277</v>
      </c>
      <c r="D174" s="117">
        <v>15323</v>
      </c>
      <c r="E174" s="117">
        <f t="shared" si="24"/>
        <v>46</v>
      </c>
      <c r="F174" s="98">
        <f t="shared" si="25"/>
        <v>3.0110623813575962E-3</v>
      </c>
    </row>
    <row r="175" spans="1:6" ht="18" customHeight="1" x14ac:dyDescent="0.25">
      <c r="A175" s="99">
        <v>8</v>
      </c>
      <c r="B175" s="100" t="s">
        <v>119</v>
      </c>
      <c r="C175" s="117">
        <v>819</v>
      </c>
      <c r="D175" s="117">
        <v>926</v>
      </c>
      <c r="E175" s="117">
        <f t="shared" si="24"/>
        <v>107</v>
      </c>
      <c r="F175" s="98">
        <f t="shared" si="25"/>
        <v>0.13064713064713065</v>
      </c>
    </row>
    <row r="176" spans="1:6" ht="18" customHeight="1" x14ac:dyDescent="0.25">
      <c r="A176" s="99">
        <v>9</v>
      </c>
      <c r="B176" s="100" t="s">
        <v>120</v>
      </c>
      <c r="C176" s="117">
        <v>4979</v>
      </c>
      <c r="D176" s="117">
        <v>4494</v>
      </c>
      <c r="E176" s="117">
        <f t="shared" si="24"/>
        <v>-485</v>
      </c>
      <c r="F176" s="98">
        <f t="shared" si="25"/>
        <v>-9.7409118296846758E-2</v>
      </c>
    </row>
    <row r="177" spans="1:6" ht="18" customHeight="1" x14ac:dyDescent="0.25">
      <c r="A177" s="99">
        <v>10</v>
      </c>
      <c r="B177" s="100" t="s">
        <v>121</v>
      </c>
      <c r="C177" s="117">
        <v>104</v>
      </c>
      <c r="D177" s="117">
        <v>0</v>
      </c>
      <c r="E177" s="117">
        <f t="shared" si="24"/>
        <v>-104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165</v>
      </c>
      <c r="D178" s="117">
        <v>165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39491</v>
      </c>
      <c r="D179" s="118">
        <f>SUM(D168:D178)</f>
        <v>40107</v>
      </c>
      <c r="E179" s="118">
        <f t="shared" si="24"/>
        <v>616</v>
      </c>
      <c r="F179" s="104">
        <f t="shared" si="25"/>
        <v>1.5598490795371097E-2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FILING&amp;RNORWALK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45786858</v>
      </c>
      <c r="D15" s="146">
        <v>45217418</v>
      </c>
      <c r="E15" s="146">
        <f>+D15-C15</f>
        <v>-569440</v>
      </c>
      <c r="F15" s="150">
        <f>IF(C15=0,0,E15/C15)</f>
        <v>-1.2436756416000417E-2</v>
      </c>
    </row>
    <row r="16" spans="1:7" ht="15" customHeight="1" x14ac:dyDescent="0.2">
      <c r="A16" s="141">
        <v>2</v>
      </c>
      <c r="B16" s="149" t="s">
        <v>158</v>
      </c>
      <c r="C16" s="146">
        <v>16914558</v>
      </c>
      <c r="D16" s="146">
        <v>15263892</v>
      </c>
      <c r="E16" s="146">
        <f>+D16-C16</f>
        <v>-1650666</v>
      </c>
      <c r="F16" s="150">
        <f>IF(C16=0,0,E16/C16)</f>
        <v>-9.7588479698967015E-2</v>
      </c>
    </row>
    <row r="17" spans="1:7" ht="15" customHeight="1" x14ac:dyDescent="0.2">
      <c r="A17" s="141">
        <v>3</v>
      </c>
      <c r="B17" s="149" t="s">
        <v>159</v>
      </c>
      <c r="C17" s="146">
        <v>67563362</v>
      </c>
      <c r="D17" s="146">
        <v>71810399</v>
      </c>
      <c r="E17" s="146">
        <f>+D17-C17</f>
        <v>4247037</v>
      </c>
      <c r="F17" s="150">
        <f>IF(C17=0,0,E17/C17)</f>
        <v>6.2860060161008563E-2</v>
      </c>
    </row>
    <row r="18" spans="1:7" ht="15.75" customHeight="1" x14ac:dyDescent="0.25">
      <c r="A18" s="141"/>
      <c r="B18" s="151" t="s">
        <v>160</v>
      </c>
      <c r="C18" s="147">
        <f>SUM(C15:C17)</f>
        <v>130264778</v>
      </c>
      <c r="D18" s="147">
        <f>SUM(D15:D17)</f>
        <v>132291709</v>
      </c>
      <c r="E18" s="147">
        <f>+D18-C18</f>
        <v>2026931</v>
      </c>
      <c r="F18" s="148">
        <f>IF(C18=0,0,E18/C18)</f>
        <v>1.5560084860391041E-2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13413788</v>
      </c>
      <c r="D21" s="146">
        <v>11940821</v>
      </c>
      <c r="E21" s="146">
        <f>+D21-C21</f>
        <v>-1472967</v>
      </c>
      <c r="F21" s="150">
        <f>IF(C21=0,0,E21/C21)</f>
        <v>-0.10980992095595965</v>
      </c>
    </row>
    <row r="22" spans="1:7" ht="15" customHeight="1" x14ac:dyDescent="0.2">
      <c r="A22" s="141">
        <v>2</v>
      </c>
      <c r="B22" s="149" t="s">
        <v>163</v>
      </c>
      <c r="C22" s="146">
        <v>2509283</v>
      </c>
      <c r="D22" s="146">
        <v>1874277</v>
      </c>
      <c r="E22" s="146">
        <f>+D22-C22</f>
        <v>-635006</v>
      </c>
      <c r="F22" s="150">
        <f>IF(C22=0,0,E22/C22)</f>
        <v>-0.25306272748032005</v>
      </c>
    </row>
    <row r="23" spans="1:7" ht="15" customHeight="1" x14ac:dyDescent="0.2">
      <c r="A23" s="141">
        <v>3</v>
      </c>
      <c r="B23" s="149" t="s">
        <v>164</v>
      </c>
      <c r="C23" s="146">
        <v>30756962</v>
      </c>
      <c r="D23" s="146">
        <v>28758833</v>
      </c>
      <c r="E23" s="146">
        <f>+D23-C23</f>
        <v>-1998129</v>
      </c>
      <c r="F23" s="150">
        <f>IF(C23=0,0,E23/C23)</f>
        <v>-6.4965096357696192E-2</v>
      </c>
    </row>
    <row r="24" spans="1:7" ht="15.75" customHeight="1" x14ac:dyDescent="0.25">
      <c r="A24" s="141"/>
      <c r="B24" s="151" t="s">
        <v>165</v>
      </c>
      <c r="C24" s="147">
        <f>SUM(C21:C23)</f>
        <v>46680033</v>
      </c>
      <c r="D24" s="147">
        <f>SUM(D21:D23)</f>
        <v>42573931</v>
      </c>
      <c r="E24" s="147">
        <f>+D24-C24</f>
        <v>-4106102</v>
      </c>
      <c r="F24" s="148">
        <f>IF(C24=0,0,E24/C24)</f>
        <v>-8.7962705596202131E-2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1016120</v>
      </c>
      <c r="D27" s="146">
        <v>1774799</v>
      </c>
      <c r="E27" s="146">
        <f>+D27-C27</f>
        <v>758679</v>
      </c>
      <c r="F27" s="150">
        <f>IF(C27=0,0,E27/C27)</f>
        <v>0.74664311301814745</v>
      </c>
    </row>
    <row r="28" spans="1:7" ht="15" customHeight="1" x14ac:dyDescent="0.2">
      <c r="A28" s="141">
        <v>2</v>
      </c>
      <c r="B28" s="149" t="s">
        <v>168</v>
      </c>
      <c r="C28" s="146">
        <v>5522886</v>
      </c>
      <c r="D28" s="146">
        <v>6121281</v>
      </c>
      <c r="E28" s="146">
        <f>+D28-C28</f>
        <v>598395</v>
      </c>
      <c r="F28" s="150">
        <f>IF(C28=0,0,E28/C28)</f>
        <v>0.10834824401590039</v>
      </c>
    </row>
    <row r="29" spans="1:7" ht="15" customHeight="1" x14ac:dyDescent="0.2">
      <c r="A29" s="141">
        <v>3</v>
      </c>
      <c r="B29" s="149" t="s">
        <v>169</v>
      </c>
      <c r="C29" s="146">
        <v>7400935</v>
      </c>
      <c r="D29" s="146">
        <v>7976769</v>
      </c>
      <c r="E29" s="146">
        <f>+D29-C29</f>
        <v>575834</v>
      </c>
      <c r="F29" s="150">
        <f>IF(C29=0,0,E29/C29)</f>
        <v>7.780557456591633E-2</v>
      </c>
    </row>
    <row r="30" spans="1:7" ht="15.75" customHeight="1" x14ac:dyDescent="0.25">
      <c r="A30" s="141"/>
      <c r="B30" s="151" t="s">
        <v>170</v>
      </c>
      <c r="C30" s="147">
        <f>SUM(C27:C29)</f>
        <v>13939941</v>
      </c>
      <c r="D30" s="147">
        <f>SUM(D27:D29)</f>
        <v>15872849</v>
      </c>
      <c r="E30" s="147">
        <f>+D30-C30</f>
        <v>1932908</v>
      </c>
      <c r="F30" s="148">
        <f>IF(C30=0,0,E30/C30)</f>
        <v>0.13865969734018244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23859859</v>
      </c>
      <c r="D33" s="146">
        <v>23844251</v>
      </c>
      <c r="E33" s="146">
        <f>+D33-C33</f>
        <v>-15608</v>
      </c>
      <c r="F33" s="150">
        <f>IF(C33=0,0,E33/C33)</f>
        <v>-6.5415306938737571E-4</v>
      </c>
    </row>
    <row r="34" spans="1:7" ht="15" customHeight="1" x14ac:dyDescent="0.2">
      <c r="A34" s="141">
        <v>2</v>
      </c>
      <c r="B34" s="149" t="s">
        <v>174</v>
      </c>
      <c r="C34" s="146">
        <v>6881522</v>
      </c>
      <c r="D34" s="146">
        <v>6897746</v>
      </c>
      <c r="E34" s="146">
        <f>+D34-C34</f>
        <v>16224</v>
      </c>
      <c r="F34" s="150">
        <f>IF(C34=0,0,E34/C34)</f>
        <v>2.3576179804409548E-3</v>
      </c>
    </row>
    <row r="35" spans="1:7" ht="15.75" customHeight="1" x14ac:dyDescent="0.25">
      <c r="A35" s="141"/>
      <c r="B35" s="151" t="s">
        <v>175</v>
      </c>
      <c r="C35" s="147">
        <f>SUM(C33:C34)</f>
        <v>30741381</v>
      </c>
      <c r="D35" s="147">
        <f>SUM(D33:D34)</f>
        <v>30741997</v>
      </c>
      <c r="E35" s="147">
        <f>+D35-C35</f>
        <v>616</v>
      </c>
      <c r="F35" s="148">
        <f>IF(C35=0,0,E35/C35)</f>
        <v>2.0038136868346934E-5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7511470</v>
      </c>
      <c r="D38" s="146">
        <v>5731576</v>
      </c>
      <c r="E38" s="146">
        <f>+D38-C38</f>
        <v>-1779894</v>
      </c>
      <c r="F38" s="150">
        <f>IF(C38=0,0,E38/C38)</f>
        <v>-0.23695681404571942</v>
      </c>
    </row>
    <row r="39" spans="1:7" ht="15" customHeight="1" x14ac:dyDescent="0.2">
      <c r="A39" s="141">
        <v>2</v>
      </c>
      <c r="B39" s="149" t="s">
        <v>179</v>
      </c>
      <c r="C39" s="146">
        <v>12376880</v>
      </c>
      <c r="D39" s="146">
        <v>13309772</v>
      </c>
      <c r="E39" s="146">
        <f>+D39-C39</f>
        <v>932892</v>
      </c>
      <c r="F39" s="150">
        <f>IF(C39=0,0,E39/C39)</f>
        <v>7.5373761400288286E-2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19888350</v>
      </c>
      <c r="D41" s="147">
        <f>SUM(D38:D40)</f>
        <v>19041348</v>
      </c>
      <c r="E41" s="147">
        <f>+D41-C41</f>
        <v>-847002</v>
      </c>
      <c r="F41" s="148">
        <f>IF(C41=0,0,E41/C41)</f>
        <v>-4.2587846653945653E-2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23255695</v>
      </c>
      <c r="D44" s="146">
        <v>20654069</v>
      </c>
      <c r="E44" s="146">
        <f>+D44-C44</f>
        <v>-2601626</v>
      </c>
      <c r="F44" s="150">
        <f>IF(C44=0,0,E44/C44)</f>
        <v>-0.11187049021755746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646398</v>
      </c>
      <c r="D47" s="146">
        <v>1450895</v>
      </c>
      <c r="E47" s="146">
        <f>+D47-C47</f>
        <v>804497</v>
      </c>
      <c r="F47" s="150">
        <f>IF(C47=0,0,E47/C47)</f>
        <v>1.2445846057692009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4828177</v>
      </c>
      <c r="D50" s="146">
        <v>7934455</v>
      </c>
      <c r="E50" s="146">
        <f>+D50-C50</f>
        <v>3106278</v>
      </c>
      <c r="F50" s="150">
        <f>IF(C50=0,0,E50/C50)</f>
        <v>0.64336456596350966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127385</v>
      </c>
      <c r="D53" s="146">
        <v>184700</v>
      </c>
      <c r="E53" s="146">
        <f t="shared" ref="E53:E59" si="0">+D53-C53</f>
        <v>57315</v>
      </c>
      <c r="F53" s="150">
        <f t="shared" ref="F53:F59" si="1">IF(C53=0,0,E53/C53)</f>
        <v>0.44993523570279076</v>
      </c>
    </row>
    <row r="54" spans="1:7" ht="15" customHeight="1" x14ac:dyDescent="0.2">
      <c r="A54" s="141">
        <v>2</v>
      </c>
      <c r="B54" s="149" t="s">
        <v>193</v>
      </c>
      <c r="C54" s="146">
        <v>2631399</v>
      </c>
      <c r="D54" s="146">
        <v>2074888</v>
      </c>
      <c r="E54" s="146">
        <f t="shared" si="0"/>
        <v>-556511</v>
      </c>
      <c r="F54" s="150">
        <f t="shared" si="1"/>
        <v>-0.21148864159331215</v>
      </c>
    </row>
    <row r="55" spans="1:7" ht="15" customHeight="1" x14ac:dyDescent="0.2">
      <c r="A55" s="141">
        <v>3</v>
      </c>
      <c r="B55" s="149" t="s">
        <v>194</v>
      </c>
      <c r="C55" s="146">
        <v>145423</v>
      </c>
      <c r="D55" s="146">
        <v>208291</v>
      </c>
      <c r="E55" s="146">
        <f t="shared" si="0"/>
        <v>62868</v>
      </c>
      <c r="F55" s="150">
        <f t="shared" si="1"/>
        <v>0.43231125750397115</v>
      </c>
    </row>
    <row r="56" spans="1:7" ht="15" customHeight="1" x14ac:dyDescent="0.2">
      <c r="A56" s="141">
        <v>4</v>
      </c>
      <c r="B56" s="149" t="s">
        <v>195</v>
      </c>
      <c r="C56" s="146">
        <v>1783014</v>
      </c>
      <c r="D56" s="146">
        <v>1831260</v>
      </c>
      <c r="E56" s="146">
        <f t="shared" si="0"/>
        <v>48246</v>
      </c>
      <c r="F56" s="150">
        <f t="shared" si="1"/>
        <v>2.7058677049086547E-2</v>
      </c>
    </row>
    <row r="57" spans="1:7" ht="15" customHeight="1" x14ac:dyDescent="0.2">
      <c r="A57" s="141">
        <v>5</v>
      </c>
      <c r="B57" s="149" t="s">
        <v>196</v>
      </c>
      <c r="C57" s="146">
        <v>587371</v>
      </c>
      <c r="D57" s="146">
        <v>696085</v>
      </c>
      <c r="E57" s="146">
        <f t="shared" si="0"/>
        <v>108714</v>
      </c>
      <c r="F57" s="150">
        <f t="shared" si="1"/>
        <v>0.18508574648731382</v>
      </c>
    </row>
    <row r="58" spans="1:7" ht="15" customHeight="1" x14ac:dyDescent="0.2">
      <c r="A58" s="141">
        <v>6</v>
      </c>
      <c r="B58" s="149" t="s">
        <v>197</v>
      </c>
      <c r="C58" s="146">
        <v>0</v>
      </c>
      <c r="D58" s="146">
        <v>0</v>
      </c>
      <c r="E58" s="146">
        <f t="shared" si="0"/>
        <v>0</v>
      </c>
      <c r="F58" s="150">
        <f t="shared" si="1"/>
        <v>0</v>
      </c>
    </row>
    <row r="59" spans="1:7" ht="15.75" customHeight="1" x14ac:dyDescent="0.25">
      <c r="A59" s="141"/>
      <c r="B59" s="151" t="s">
        <v>198</v>
      </c>
      <c r="C59" s="147">
        <f>SUM(C53:C58)</f>
        <v>5274592</v>
      </c>
      <c r="D59" s="147">
        <f>SUM(D53:D58)</f>
        <v>4995224</v>
      </c>
      <c r="E59" s="147">
        <f t="shared" si="0"/>
        <v>-279368</v>
      </c>
      <c r="F59" s="148">
        <f t="shared" si="1"/>
        <v>-5.2964854912000779E-2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214615</v>
      </c>
      <c r="D62" s="146">
        <v>241990</v>
      </c>
      <c r="E62" s="146">
        <f t="shared" ref="E62:E78" si="2">+D62-C62</f>
        <v>27375</v>
      </c>
      <c r="F62" s="150">
        <f t="shared" ref="F62:F78" si="3">IF(C62=0,0,E62/C62)</f>
        <v>0.1275539920322438</v>
      </c>
    </row>
    <row r="63" spans="1:7" ht="15" customHeight="1" x14ac:dyDescent="0.2">
      <c r="A63" s="141">
        <v>2</v>
      </c>
      <c r="B63" s="149" t="s">
        <v>202</v>
      </c>
      <c r="C63" s="146">
        <v>1801698</v>
      </c>
      <c r="D63" s="146">
        <v>1607556</v>
      </c>
      <c r="E63" s="146">
        <f t="shared" si="2"/>
        <v>-194142</v>
      </c>
      <c r="F63" s="150">
        <f t="shared" si="3"/>
        <v>-0.10775501776657354</v>
      </c>
    </row>
    <row r="64" spans="1:7" ht="15" customHeight="1" x14ac:dyDescent="0.2">
      <c r="A64" s="141">
        <v>3</v>
      </c>
      <c r="B64" s="149" t="s">
        <v>203</v>
      </c>
      <c r="C64" s="146">
        <v>3039758</v>
      </c>
      <c r="D64" s="146">
        <v>7347843</v>
      </c>
      <c r="E64" s="146">
        <f t="shared" si="2"/>
        <v>4308085</v>
      </c>
      <c r="F64" s="150">
        <f t="shared" si="3"/>
        <v>1.4172460439284968</v>
      </c>
    </row>
    <row r="65" spans="1:7" ht="15" customHeight="1" x14ac:dyDescent="0.2">
      <c r="A65" s="141">
        <v>4</v>
      </c>
      <c r="B65" s="149" t="s">
        <v>204</v>
      </c>
      <c r="C65" s="146">
        <v>639378</v>
      </c>
      <c r="D65" s="146">
        <v>701523</v>
      </c>
      <c r="E65" s="146">
        <f t="shared" si="2"/>
        <v>62145</v>
      </c>
      <c r="F65" s="150">
        <f t="shared" si="3"/>
        <v>9.7196024886686744E-2</v>
      </c>
    </row>
    <row r="66" spans="1:7" ht="15" customHeight="1" x14ac:dyDescent="0.2">
      <c r="A66" s="141">
        <v>5</v>
      </c>
      <c r="B66" s="149" t="s">
        <v>205</v>
      </c>
      <c r="C66" s="146">
        <v>560953</v>
      </c>
      <c r="D66" s="146">
        <v>770412</v>
      </c>
      <c r="E66" s="146">
        <f t="shared" si="2"/>
        <v>209459</v>
      </c>
      <c r="F66" s="150">
        <f t="shared" si="3"/>
        <v>0.37339848436500028</v>
      </c>
    </row>
    <row r="67" spans="1:7" ht="15" customHeight="1" x14ac:dyDescent="0.2">
      <c r="A67" s="141">
        <v>6</v>
      </c>
      <c r="B67" s="149" t="s">
        <v>206</v>
      </c>
      <c r="C67" s="146">
        <v>3076339</v>
      </c>
      <c r="D67" s="146">
        <v>3873585</v>
      </c>
      <c r="E67" s="146">
        <f t="shared" si="2"/>
        <v>797246</v>
      </c>
      <c r="F67" s="150">
        <f t="shared" si="3"/>
        <v>0.25915414393537251</v>
      </c>
    </row>
    <row r="68" spans="1:7" ht="15" customHeight="1" x14ac:dyDescent="0.2">
      <c r="A68" s="141">
        <v>7</v>
      </c>
      <c r="B68" s="149" t="s">
        <v>207</v>
      </c>
      <c r="C68" s="146">
        <v>5750462</v>
      </c>
      <c r="D68" s="146">
        <v>5744772</v>
      </c>
      <c r="E68" s="146">
        <f t="shared" si="2"/>
        <v>-5690</v>
      </c>
      <c r="F68" s="150">
        <f t="shared" si="3"/>
        <v>-9.894857143652111E-4</v>
      </c>
    </row>
    <row r="69" spans="1:7" ht="15" customHeight="1" x14ac:dyDescent="0.2">
      <c r="A69" s="141">
        <v>8</v>
      </c>
      <c r="B69" s="149" t="s">
        <v>208</v>
      </c>
      <c r="C69" s="146">
        <v>461235</v>
      </c>
      <c r="D69" s="146">
        <v>576282</v>
      </c>
      <c r="E69" s="146">
        <f t="shared" si="2"/>
        <v>115047</v>
      </c>
      <c r="F69" s="150">
        <f t="shared" si="3"/>
        <v>0.24943250186997951</v>
      </c>
    </row>
    <row r="70" spans="1:7" ht="15" customHeight="1" x14ac:dyDescent="0.2">
      <c r="A70" s="141">
        <v>9</v>
      </c>
      <c r="B70" s="149" t="s">
        <v>209</v>
      </c>
      <c r="C70" s="146">
        <v>567067</v>
      </c>
      <c r="D70" s="146">
        <v>380359</v>
      </c>
      <c r="E70" s="146">
        <f t="shared" si="2"/>
        <v>-186708</v>
      </c>
      <c r="F70" s="150">
        <f t="shared" si="3"/>
        <v>-0.32925209895832414</v>
      </c>
    </row>
    <row r="71" spans="1:7" ht="15" customHeight="1" x14ac:dyDescent="0.2">
      <c r="A71" s="141">
        <v>10</v>
      </c>
      <c r="B71" s="149" t="s">
        <v>210</v>
      </c>
      <c r="C71" s="146">
        <v>16062</v>
      </c>
      <c r="D71" s="146">
        <v>30559</v>
      </c>
      <c r="E71" s="146">
        <f t="shared" si="2"/>
        <v>14497</v>
      </c>
      <c r="F71" s="150">
        <f t="shared" si="3"/>
        <v>0.90256506039098494</v>
      </c>
    </row>
    <row r="72" spans="1:7" ht="15" customHeight="1" x14ac:dyDescent="0.2">
      <c r="A72" s="141">
        <v>11</v>
      </c>
      <c r="B72" s="149" t="s">
        <v>211</v>
      </c>
      <c r="C72" s="146">
        <v>658744</v>
      </c>
      <c r="D72" s="146">
        <v>691236</v>
      </c>
      <c r="E72" s="146">
        <f t="shared" si="2"/>
        <v>32492</v>
      </c>
      <c r="F72" s="150">
        <f t="shared" si="3"/>
        <v>4.9324168417473252E-2</v>
      </c>
    </row>
    <row r="73" spans="1:7" ht="15" customHeight="1" x14ac:dyDescent="0.2">
      <c r="A73" s="141">
        <v>12</v>
      </c>
      <c r="B73" s="149" t="s">
        <v>212</v>
      </c>
      <c r="C73" s="146">
        <v>1058885</v>
      </c>
      <c r="D73" s="146">
        <v>901709</v>
      </c>
      <c r="E73" s="146">
        <f t="shared" si="2"/>
        <v>-157176</v>
      </c>
      <c r="F73" s="150">
        <f t="shared" si="3"/>
        <v>-0.14843538250140478</v>
      </c>
    </row>
    <row r="74" spans="1:7" ht="15" customHeight="1" x14ac:dyDescent="0.2">
      <c r="A74" s="141">
        <v>13</v>
      </c>
      <c r="B74" s="149" t="s">
        <v>213</v>
      </c>
      <c r="C74" s="146">
        <v>232430</v>
      </c>
      <c r="D74" s="146">
        <v>264891</v>
      </c>
      <c r="E74" s="146">
        <f t="shared" si="2"/>
        <v>32461</v>
      </c>
      <c r="F74" s="150">
        <f t="shared" si="3"/>
        <v>0.13965925224798864</v>
      </c>
    </row>
    <row r="75" spans="1:7" ht="15" customHeight="1" x14ac:dyDescent="0.2">
      <c r="A75" s="141">
        <v>14</v>
      </c>
      <c r="B75" s="149" t="s">
        <v>214</v>
      </c>
      <c r="C75" s="146">
        <v>243793</v>
      </c>
      <c r="D75" s="146">
        <v>261333</v>
      </c>
      <c r="E75" s="146">
        <f t="shared" si="2"/>
        <v>17540</v>
      </c>
      <c r="F75" s="150">
        <f t="shared" si="3"/>
        <v>7.1946282296866601E-2</v>
      </c>
    </row>
    <row r="76" spans="1:7" ht="15" customHeight="1" x14ac:dyDescent="0.2">
      <c r="A76" s="141">
        <v>15</v>
      </c>
      <c r="B76" s="149" t="s">
        <v>215</v>
      </c>
      <c r="C76" s="146">
        <v>1698820</v>
      </c>
      <c r="D76" s="146">
        <v>1746100</v>
      </c>
      <c r="E76" s="146">
        <f t="shared" si="2"/>
        <v>47280</v>
      </c>
      <c r="F76" s="150">
        <f t="shared" si="3"/>
        <v>2.7831082751556963E-2</v>
      </c>
    </row>
    <row r="77" spans="1:7" ht="15" customHeight="1" x14ac:dyDescent="0.2">
      <c r="A77" s="141">
        <v>16</v>
      </c>
      <c r="B77" s="149" t="s">
        <v>216</v>
      </c>
      <c r="C77" s="146">
        <v>41904917</v>
      </c>
      <c r="D77" s="146">
        <v>37779237</v>
      </c>
      <c r="E77" s="146">
        <f t="shared" si="2"/>
        <v>-4125680</v>
      </c>
      <c r="F77" s="150">
        <f t="shared" si="3"/>
        <v>-9.8453362883405782E-2</v>
      </c>
    </row>
    <row r="78" spans="1:7" ht="15.75" customHeight="1" x14ac:dyDescent="0.25">
      <c r="A78" s="141"/>
      <c r="B78" s="151" t="s">
        <v>217</v>
      </c>
      <c r="C78" s="147">
        <f>SUM(C62:C77)</f>
        <v>61925156</v>
      </c>
      <c r="D78" s="147">
        <f>SUM(D62:D77)</f>
        <v>62919387</v>
      </c>
      <c r="E78" s="147">
        <f t="shared" si="2"/>
        <v>994231</v>
      </c>
      <c r="F78" s="148">
        <f t="shared" si="3"/>
        <v>1.6055365286443527E-2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0</v>
      </c>
      <c r="D81" s="146">
        <v>0</v>
      </c>
      <c r="E81" s="146">
        <f>+D81-C81</f>
        <v>0</v>
      </c>
      <c r="F81" s="150">
        <f>IF(C81=0,0,E81/C81)</f>
        <v>0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337444501</v>
      </c>
      <c r="D83" s="147">
        <f>+D81+D78+D59+D50+D47+D44+D41+D35+D30+D24+D18</f>
        <v>338475864</v>
      </c>
      <c r="E83" s="147">
        <f>+D83-C83</f>
        <v>1031363</v>
      </c>
      <c r="F83" s="148">
        <f>IF(C83=0,0,E83/C83)</f>
        <v>3.056392968158044E-3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69932664</v>
      </c>
      <c r="D91" s="146">
        <v>67599906</v>
      </c>
      <c r="E91" s="146">
        <f t="shared" ref="E91:E109" si="4">D91-C91</f>
        <v>-2332758</v>
      </c>
      <c r="F91" s="150">
        <f t="shared" ref="F91:F109" si="5">IF(C91=0,0,E91/C91)</f>
        <v>-3.3357202007920077E-2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2828786</v>
      </c>
      <c r="D92" s="146">
        <v>3173089</v>
      </c>
      <c r="E92" s="146">
        <f t="shared" si="4"/>
        <v>344303</v>
      </c>
      <c r="F92" s="150">
        <f t="shared" si="5"/>
        <v>0.12171404977258796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4288022</v>
      </c>
      <c r="D93" s="146">
        <v>4807219</v>
      </c>
      <c r="E93" s="146">
        <f t="shared" si="4"/>
        <v>519197</v>
      </c>
      <c r="F93" s="150">
        <f t="shared" si="5"/>
        <v>0.12108076870874264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1937284</v>
      </c>
      <c r="D94" s="146">
        <v>1871003</v>
      </c>
      <c r="E94" s="146">
        <f t="shared" si="4"/>
        <v>-66281</v>
      </c>
      <c r="F94" s="150">
        <f t="shared" si="5"/>
        <v>-3.4213362625201055E-2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7519835</v>
      </c>
      <c r="D95" s="146">
        <v>11687596</v>
      </c>
      <c r="E95" s="146">
        <f t="shared" si="4"/>
        <v>4167761</v>
      </c>
      <c r="F95" s="150">
        <f t="shared" si="5"/>
        <v>0.55423569799071393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206350</v>
      </c>
      <c r="D96" s="146">
        <v>194886</v>
      </c>
      <c r="E96" s="146">
        <f t="shared" si="4"/>
        <v>-11464</v>
      </c>
      <c r="F96" s="150">
        <f t="shared" si="5"/>
        <v>-5.5556094015023018E-2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7360425</v>
      </c>
      <c r="D97" s="146">
        <v>3250178</v>
      </c>
      <c r="E97" s="146">
        <f t="shared" si="4"/>
        <v>-4110247</v>
      </c>
      <c r="F97" s="150">
        <f t="shared" si="5"/>
        <v>-0.55842522680415874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3475184</v>
      </c>
      <c r="D98" s="146">
        <v>3645939</v>
      </c>
      <c r="E98" s="146">
        <f t="shared" si="4"/>
        <v>170755</v>
      </c>
      <c r="F98" s="150">
        <f t="shared" si="5"/>
        <v>4.9135527787881161E-2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1218234</v>
      </c>
      <c r="D99" s="146">
        <v>1350157</v>
      </c>
      <c r="E99" s="146">
        <f t="shared" si="4"/>
        <v>131923</v>
      </c>
      <c r="F99" s="150">
        <f t="shared" si="5"/>
        <v>0.10829036129347892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4718074</v>
      </c>
      <c r="D100" s="146">
        <v>4956334</v>
      </c>
      <c r="E100" s="146">
        <f t="shared" si="4"/>
        <v>238260</v>
      </c>
      <c r="F100" s="150">
        <f t="shared" si="5"/>
        <v>5.0499419890404434E-2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4110842</v>
      </c>
      <c r="D101" s="146">
        <v>4016469</v>
      </c>
      <c r="E101" s="146">
        <f t="shared" si="4"/>
        <v>-94373</v>
      </c>
      <c r="F101" s="150">
        <f t="shared" si="5"/>
        <v>-2.2957097353778131E-2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1339939</v>
      </c>
      <c r="D102" s="146">
        <v>1412481</v>
      </c>
      <c r="E102" s="146">
        <f t="shared" si="4"/>
        <v>72542</v>
      </c>
      <c r="F102" s="150">
        <f t="shared" si="5"/>
        <v>5.4138285399559234E-2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4944108</v>
      </c>
      <c r="D103" s="146">
        <v>4449893</v>
      </c>
      <c r="E103" s="146">
        <f t="shared" si="4"/>
        <v>-494215</v>
      </c>
      <c r="F103" s="150">
        <f t="shared" si="5"/>
        <v>-9.9960397305236856E-2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1655734</v>
      </c>
      <c r="D104" s="146">
        <v>1660571</v>
      </c>
      <c r="E104" s="146">
        <f t="shared" si="4"/>
        <v>4837</v>
      </c>
      <c r="F104" s="150">
        <f t="shared" si="5"/>
        <v>2.9213629725547701E-3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5578717</v>
      </c>
      <c r="D105" s="146">
        <v>5192618</v>
      </c>
      <c r="E105" s="146">
        <f t="shared" si="4"/>
        <v>-386099</v>
      </c>
      <c r="F105" s="150">
        <f t="shared" si="5"/>
        <v>-6.9209282349328702E-2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1503719</v>
      </c>
      <c r="D106" s="146">
        <v>1531521</v>
      </c>
      <c r="E106" s="146">
        <f t="shared" si="4"/>
        <v>27802</v>
      </c>
      <c r="F106" s="150">
        <f t="shared" si="5"/>
        <v>1.8488826702329358E-2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10469531</v>
      </c>
      <c r="D107" s="146">
        <v>10442898</v>
      </c>
      <c r="E107" s="146">
        <f t="shared" si="4"/>
        <v>-26633</v>
      </c>
      <c r="F107" s="150">
        <f t="shared" si="5"/>
        <v>-2.5438579817949822E-3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23416212</v>
      </c>
      <c r="D108" s="146">
        <v>24476319</v>
      </c>
      <c r="E108" s="146">
        <f t="shared" si="4"/>
        <v>1060107</v>
      </c>
      <c r="F108" s="150">
        <f t="shared" si="5"/>
        <v>4.5272352334357072E-2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156503660</v>
      </c>
      <c r="D109" s="147">
        <f>SUM(D91:D108)</f>
        <v>155719077</v>
      </c>
      <c r="E109" s="147">
        <f t="shared" si="4"/>
        <v>-784583</v>
      </c>
      <c r="F109" s="148">
        <f t="shared" si="5"/>
        <v>-5.0131926627147248E-3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8725965</v>
      </c>
      <c r="D112" s="146">
        <v>9555127</v>
      </c>
      <c r="E112" s="146">
        <f t="shared" ref="E112:E118" si="6">D112-C112</f>
        <v>829162</v>
      </c>
      <c r="F112" s="150">
        <f t="shared" ref="F112:F118" si="7">IF(C112=0,0,E112/C112)</f>
        <v>9.5022384343737346E-2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5481895</v>
      </c>
      <c r="D113" s="146">
        <v>6115498</v>
      </c>
      <c r="E113" s="146">
        <f t="shared" si="6"/>
        <v>633603</v>
      </c>
      <c r="F113" s="150">
        <f t="shared" si="7"/>
        <v>0.11558101714826716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3077814</v>
      </c>
      <c r="D114" s="146">
        <v>3044927</v>
      </c>
      <c r="E114" s="146">
        <f t="shared" si="6"/>
        <v>-32887</v>
      </c>
      <c r="F114" s="150">
        <f t="shared" si="7"/>
        <v>-1.0685181105810812E-2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2469256</v>
      </c>
      <c r="D115" s="146">
        <v>2608290</v>
      </c>
      <c r="E115" s="146">
        <f t="shared" si="6"/>
        <v>139034</v>
      </c>
      <c r="F115" s="150">
        <f t="shared" si="7"/>
        <v>5.6306029022507184E-2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2746018</v>
      </c>
      <c r="D116" s="146">
        <v>3428756</v>
      </c>
      <c r="E116" s="146">
        <f t="shared" si="6"/>
        <v>682738</v>
      </c>
      <c r="F116" s="150">
        <f t="shared" si="7"/>
        <v>0.24862837752702277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1023642</v>
      </c>
      <c r="D117" s="146">
        <v>1044121</v>
      </c>
      <c r="E117" s="146">
        <f t="shared" si="6"/>
        <v>20479</v>
      </c>
      <c r="F117" s="150">
        <f t="shared" si="7"/>
        <v>2.0006017728854422E-2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23524590</v>
      </c>
      <c r="D118" s="147">
        <f>SUM(D112:D117)</f>
        <v>25796719</v>
      </c>
      <c r="E118" s="147">
        <f t="shared" si="6"/>
        <v>2272129</v>
      </c>
      <c r="F118" s="148">
        <f t="shared" si="7"/>
        <v>9.6585275237528051E-2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9862320</v>
      </c>
      <c r="D121" s="146">
        <v>10112927</v>
      </c>
      <c r="E121" s="146">
        <f t="shared" ref="E121:E155" si="8">D121-C121</f>
        <v>250607</v>
      </c>
      <c r="F121" s="150">
        <f t="shared" ref="F121:F155" si="9">IF(C121=0,0,E121/C121)</f>
        <v>2.5410552486636005E-2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2114154</v>
      </c>
      <c r="D122" s="146">
        <v>2066297</v>
      </c>
      <c r="E122" s="146">
        <f t="shared" si="8"/>
        <v>-47857</v>
      </c>
      <c r="F122" s="150">
        <f t="shared" si="9"/>
        <v>-2.2636477758952282E-2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876580</v>
      </c>
      <c r="D123" s="146">
        <v>934084</v>
      </c>
      <c r="E123" s="146">
        <f t="shared" si="8"/>
        <v>57504</v>
      </c>
      <c r="F123" s="150">
        <f t="shared" si="9"/>
        <v>6.5600401560610561E-2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2880373</v>
      </c>
      <c r="D124" s="146">
        <v>2936895</v>
      </c>
      <c r="E124" s="146">
        <f t="shared" si="8"/>
        <v>56522</v>
      </c>
      <c r="F124" s="150">
        <f t="shared" si="9"/>
        <v>1.9623152973590574E-2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4181436</v>
      </c>
      <c r="D125" s="146">
        <v>9563361</v>
      </c>
      <c r="E125" s="146">
        <f t="shared" si="8"/>
        <v>5381925</v>
      </c>
      <c r="F125" s="150">
        <f t="shared" si="9"/>
        <v>1.2870996949373372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849126</v>
      </c>
      <c r="D126" s="146">
        <v>791727</v>
      </c>
      <c r="E126" s="146">
        <f t="shared" si="8"/>
        <v>-57399</v>
      </c>
      <c r="F126" s="150">
        <f t="shared" si="9"/>
        <v>-6.759774167791352E-2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964435</v>
      </c>
      <c r="D127" s="146">
        <v>1001314</v>
      </c>
      <c r="E127" s="146">
        <f t="shared" si="8"/>
        <v>36879</v>
      </c>
      <c r="F127" s="150">
        <f t="shared" si="9"/>
        <v>3.823896892999528E-2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938495</v>
      </c>
      <c r="D128" s="146">
        <v>945861</v>
      </c>
      <c r="E128" s="146">
        <f t="shared" si="8"/>
        <v>7366</v>
      </c>
      <c r="F128" s="150">
        <f t="shared" si="9"/>
        <v>7.8487365409512042E-3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1457969</v>
      </c>
      <c r="D129" s="146">
        <v>1400621</v>
      </c>
      <c r="E129" s="146">
        <f t="shared" si="8"/>
        <v>-57348</v>
      </c>
      <c r="F129" s="150">
        <f t="shared" si="9"/>
        <v>-3.9334169656556485E-2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11741458</v>
      </c>
      <c r="D130" s="146">
        <v>11825875</v>
      </c>
      <c r="E130" s="146">
        <f t="shared" si="8"/>
        <v>84417</v>
      </c>
      <c r="F130" s="150">
        <f t="shared" si="9"/>
        <v>7.1896522561337786E-3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0</v>
      </c>
      <c r="D132" s="146">
        <v>0</v>
      </c>
      <c r="E132" s="146">
        <f t="shared" si="8"/>
        <v>0</v>
      </c>
      <c r="F132" s="150">
        <f t="shared" si="9"/>
        <v>0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1185496</v>
      </c>
      <c r="D133" s="146">
        <v>1152526</v>
      </c>
      <c r="E133" s="146">
        <f t="shared" si="8"/>
        <v>-32970</v>
      </c>
      <c r="F133" s="150">
        <f t="shared" si="9"/>
        <v>-2.7811144027478793E-2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195096</v>
      </c>
      <c r="D134" s="146">
        <v>191299</v>
      </c>
      <c r="E134" s="146">
        <f t="shared" si="8"/>
        <v>-3797</v>
      </c>
      <c r="F134" s="150">
        <f t="shared" si="9"/>
        <v>-1.9462213474392094E-2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241806</v>
      </c>
      <c r="D137" s="146">
        <v>226314</v>
      </c>
      <c r="E137" s="146">
        <f t="shared" si="8"/>
        <v>-15492</v>
      </c>
      <c r="F137" s="150">
        <f t="shared" si="9"/>
        <v>-6.4067889134264658E-2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1950612</v>
      </c>
      <c r="D138" s="146">
        <v>1926372</v>
      </c>
      <c r="E138" s="146">
        <f t="shared" si="8"/>
        <v>-24240</v>
      </c>
      <c r="F138" s="150">
        <f t="shared" si="9"/>
        <v>-1.2426869105696058E-2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872581</v>
      </c>
      <c r="D139" s="146">
        <v>930992</v>
      </c>
      <c r="E139" s="146">
        <f t="shared" si="8"/>
        <v>58411</v>
      </c>
      <c r="F139" s="150">
        <f t="shared" si="9"/>
        <v>6.6940490338432759E-2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1156362</v>
      </c>
      <c r="D140" s="146">
        <v>1041016</v>
      </c>
      <c r="E140" s="146">
        <f t="shared" si="8"/>
        <v>-115346</v>
      </c>
      <c r="F140" s="150">
        <f t="shared" si="9"/>
        <v>-9.9749040525371813E-2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3448400</v>
      </c>
      <c r="D142" s="146">
        <v>3420213</v>
      </c>
      <c r="E142" s="146">
        <f t="shared" si="8"/>
        <v>-28187</v>
      </c>
      <c r="F142" s="150">
        <f t="shared" si="9"/>
        <v>-8.173935738313421E-3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692865</v>
      </c>
      <c r="D143" s="146">
        <v>607343</v>
      </c>
      <c r="E143" s="146">
        <f t="shared" si="8"/>
        <v>-85522</v>
      </c>
      <c r="F143" s="150">
        <f t="shared" si="9"/>
        <v>-0.12343241468395719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11362245</v>
      </c>
      <c r="D144" s="146">
        <v>12456456</v>
      </c>
      <c r="E144" s="146">
        <f t="shared" si="8"/>
        <v>1094211</v>
      </c>
      <c r="F144" s="150">
        <f t="shared" si="9"/>
        <v>9.6302359260867901E-2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5070241</v>
      </c>
      <c r="D145" s="146">
        <v>2956236</v>
      </c>
      <c r="E145" s="146">
        <f t="shared" si="8"/>
        <v>-2114005</v>
      </c>
      <c r="F145" s="150">
        <f t="shared" si="9"/>
        <v>-0.41694369163122619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491390</v>
      </c>
      <c r="D146" s="146">
        <v>274164</v>
      </c>
      <c r="E146" s="146">
        <f t="shared" si="8"/>
        <v>-217226</v>
      </c>
      <c r="F146" s="150">
        <f t="shared" si="9"/>
        <v>-0.44206434807383138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2997291</v>
      </c>
      <c r="D148" s="146">
        <v>3632291</v>
      </c>
      <c r="E148" s="146">
        <f t="shared" si="8"/>
        <v>635000</v>
      </c>
      <c r="F148" s="150">
        <f t="shared" si="9"/>
        <v>0.21185797441756574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1511668</v>
      </c>
      <c r="D149" s="146">
        <v>1360293</v>
      </c>
      <c r="E149" s="146">
        <f t="shared" si="8"/>
        <v>-151375</v>
      </c>
      <c r="F149" s="150">
        <f t="shared" si="9"/>
        <v>-0.10013772865470461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5782421</v>
      </c>
      <c r="D151" s="146">
        <v>5113302</v>
      </c>
      <c r="E151" s="146">
        <f t="shared" si="8"/>
        <v>-669119</v>
      </c>
      <c r="F151" s="150">
        <f t="shared" si="9"/>
        <v>-0.11571606425751428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5906229</v>
      </c>
      <c r="D152" s="146">
        <v>5822234</v>
      </c>
      <c r="E152" s="146">
        <f t="shared" si="8"/>
        <v>-83995</v>
      </c>
      <c r="F152" s="150">
        <f t="shared" si="9"/>
        <v>-1.4221426226446688E-2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303387</v>
      </c>
      <c r="D153" s="146">
        <v>287361</v>
      </c>
      <c r="E153" s="146">
        <f t="shared" si="8"/>
        <v>-16026</v>
      </c>
      <c r="F153" s="150">
        <f t="shared" si="9"/>
        <v>-5.2823621315349699E-2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13616377</v>
      </c>
      <c r="D154" s="146">
        <v>13522171</v>
      </c>
      <c r="E154" s="146">
        <f t="shared" si="8"/>
        <v>-94206</v>
      </c>
      <c r="F154" s="150">
        <f t="shared" si="9"/>
        <v>-6.9185804711488236E-3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92650813</v>
      </c>
      <c r="D155" s="147">
        <f>SUM(D121:D154)</f>
        <v>96499545</v>
      </c>
      <c r="E155" s="147">
        <f t="shared" si="8"/>
        <v>3848732</v>
      </c>
      <c r="F155" s="148">
        <f t="shared" si="9"/>
        <v>4.1540185945265262E-2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14371729</v>
      </c>
      <c r="D158" s="146">
        <v>14247074</v>
      </c>
      <c r="E158" s="146">
        <f t="shared" ref="E158:E171" si="10">D158-C158</f>
        <v>-124655</v>
      </c>
      <c r="F158" s="150">
        <f t="shared" ref="F158:F171" si="11">IF(C158=0,0,E158/C158)</f>
        <v>-8.6736258386169128E-3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4533737</v>
      </c>
      <c r="D159" s="146">
        <v>4501947</v>
      </c>
      <c r="E159" s="146">
        <f t="shared" si="10"/>
        <v>-31790</v>
      </c>
      <c r="F159" s="150">
        <f t="shared" si="11"/>
        <v>-7.011875633721144E-3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5221996</v>
      </c>
      <c r="D160" s="146">
        <v>4889581</v>
      </c>
      <c r="E160" s="146">
        <f t="shared" si="10"/>
        <v>-332415</v>
      </c>
      <c r="F160" s="150">
        <f t="shared" si="11"/>
        <v>-6.3656693724008978E-2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2318148</v>
      </c>
      <c r="D161" s="146">
        <v>2345902</v>
      </c>
      <c r="E161" s="146">
        <f t="shared" si="10"/>
        <v>27754</v>
      </c>
      <c r="F161" s="150">
        <f t="shared" si="11"/>
        <v>1.1972488382967782E-2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1378857</v>
      </c>
      <c r="D162" s="146">
        <v>1719622</v>
      </c>
      <c r="E162" s="146">
        <f t="shared" si="10"/>
        <v>340765</v>
      </c>
      <c r="F162" s="150">
        <f t="shared" si="11"/>
        <v>0.24713585237627977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4571321</v>
      </c>
      <c r="D163" s="146">
        <v>4443953</v>
      </c>
      <c r="E163" s="146">
        <f t="shared" si="10"/>
        <v>-127368</v>
      </c>
      <c r="F163" s="150">
        <f t="shared" si="11"/>
        <v>-2.7862405637232652E-2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111211</v>
      </c>
      <c r="D164" s="146">
        <v>114926</v>
      </c>
      <c r="E164" s="146">
        <f t="shared" si="10"/>
        <v>3715</v>
      </c>
      <c r="F164" s="150">
        <f t="shared" si="11"/>
        <v>3.3404968932929296E-2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1575394</v>
      </c>
      <c r="D165" s="146">
        <v>1621664</v>
      </c>
      <c r="E165" s="146">
        <f t="shared" si="10"/>
        <v>46270</v>
      </c>
      <c r="F165" s="150">
        <f t="shared" si="11"/>
        <v>2.9370430508177638E-2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2463928</v>
      </c>
      <c r="D166" s="146">
        <v>2588108</v>
      </c>
      <c r="E166" s="146">
        <f t="shared" si="10"/>
        <v>124180</v>
      </c>
      <c r="F166" s="150">
        <f t="shared" si="11"/>
        <v>5.0399199976622691E-2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3438117</v>
      </c>
      <c r="D167" s="146">
        <v>2468662</v>
      </c>
      <c r="E167" s="146">
        <f t="shared" si="10"/>
        <v>-969455</v>
      </c>
      <c r="F167" s="150">
        <f t="shared" si="11"/>
        <v>-0.28197266119797554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1525305</v>
      </c>
      <c r="D169" s="146">
        <v>865015</v>
      </c>
      <c r="E169" s="146">
        <f t="shared" si="10"/>
        <v>-660290</v>
      </c>
      <c r="F169" s="150">
        <f t="shared" si="11"/>
        <v>-0.43289047108611067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41509743</v>
      </c>
      <c r="D171" s="147">
        <f>SUM(D158:D170)</f>
        <v>39806454</v>
      </c>
      <c r="E171" s="147">
        <f t="shared" si="10"/>
        <v>-1703289</v>
      </c>
      <c r="F171" s="148">
        <f t="shared" si="11"/>
        <v>-4.1033474960324376E-2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23255695</v>
      </c>
      <c r="D174" s="146">
        <v>20654069</v>
      </c>
      <c r="E174" s="146">
        <f>D174-C174</f>
        <v>-2601626</v>
      </c>
      <c r="F174" s="150">
        <f>IF(C174=0,0,E174/C174)</f>
        <v>-0.11187049021755746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337444501</v>
      </c>
      <c r="D176" s="147">
        <f>+D174+D171+D155+D118+D109</f>
        <v>338475864</v>
      </c>
      <c r="E176" s="147">
        <f>D176-C176</f>
        <v>1031363</v>
      </c>
      <c r="F176" s="148">
        <f>IF(C176=0,0,E176/C176)</f>
        <v>3.056392968158044E-3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FILING&amp;RNORWALK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322749162</v>
      </c>
      <c r="D11" s="164">
        <v>326580262</v>
      </c>
      <c r="E11" s="51">
        <v>350594448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12251535</v>
      </c>
      <c r="D12" s="49">
        <v>13756910</v>
      </c>
      <c r="E12" s="49">
        <v>12324861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335000697</v>
      </c>
      <c r="D13" s="51">
        <f>+D11+D12</f>
        <v>340337172</v>
      </c>
      <c r="E13" s="51">
        <f>+E11+E12</f>
        <v>362919309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321077894</v>
      </c>
      <c r="D14" s="49">
        <v>337444501</v>
      </c>
      <c r="E14" s="49">
        <v>338475864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13922803</v>
      </c>
      <c r="D15" s="51">
        <f>+D13-D14</f>
        <v>2892671</v>
      </c>
      <c r="E15" s="51">
        <f>+E13-E14</f>
        <v>24443445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1080679</v>
      </c>
      <c r="D16" s="49">
        <v>2351981</v>
      </c>
      <c r="E16" s="49">
        <v>-658476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15003482</v>
      </c>
      <c r="D17" s="51">
        <f>D15+D16</f>
        <v>5244652</v>
      </c>
      <c r="E17" s="51">
        <f>E15+E16</f>
        <v>23784969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4.1426880494562127E-2</v>
      </c>
      <c r="D20" s="169">
        <f>IF(+D27=0,0,+D24/+D27)</f>
        <v>8.4410929691725606E-3</v>
      </c>
      <c r="E20" s="169">
        <f>IF(+E27=0,0,+E24/+E27)</f>
        <v>6.7474710963301959E-2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3.2155277774154317E-3</v>
      </c>
      <c r="D21" s="169">
        <f>IF(D27=0,0,+D26/D27)</f>
        <v>6.8633074009202735E-3</v>
      </c>
      <c r="E21" s="169">
        <f>IF(E27=0,0,+E26/E27)</f>
        <v>-1.817684773004428E-3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4.464240827197756E-2</v>
      </c>
      <c r="D22" s="169">
        <f>IF(D27=0,0,+D28/D27)</f>
        <v>1.5304400370092834E-2</v>
      </c>
      <c r="E22" s="169">
        <f>IF(E27=0,0,+E28/E27)</f>
        <v>6.5657026190297535E-2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13922803</v>
      </c>
      <c r="D24" s="51">
        <f>+D15</f>
        <v>2892671</v>
      </c>
      <c r="E24" s="51">
        <f>+E15</f>
        <v>24443445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335000697</v>
      </c>
      <c r="D25" s="51">
        <f>+D13</f>
        <v>340337172</v>
      </c>
      <c r="E25" s="51">
        <f>+E13</f>
        <v>362919309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1080679</v>
      </c>
      <c r="D26" s="51">
        <f>+D16</f>
        <v>2351981</v>
      </c>
      <c r="E26" s="51">
        <f>+E16</f>
        <v>-658476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336081376</v>
      </c>
      <c r="D27" s="51">
        <f>+D25+D26</f>
        <v>342689153</v>
      </c>
      <c r="E27" s="51">
        <f>+E25+E26</f>
        <v>362260833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15003482</v>
      </c>
      <c r="D28" s="51">
        <f>+D17</f>
        <v>5244652</v>
      </c>
      <c r="E28" s="51">
        <f>+E17</f>
        <v>23784969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125849836</v>
      </c>
      <c r="D31" s="51">
        <v>111900976</v>
      </c>
      <c r="E31" s="51">
        <v>104824797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148919922</v>
      </c>
      <c r="D32" s="51">
        <v>135176638</v>
      </c>
      <c r="E32" s="51">
        <v>135696801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-15351231</v>
      </c>
      <c r="D33" s="51">
        <f>+D32-C32</f>
        <v>-13743284</v>
      </c>
      <c r="E33" s="51">
        <f>+E32-D32</f>
        <v>520163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0.90649999999999997</v>
      </c>
      <c r="D34" s="171">
        <f>IF(C32=0,0,+D33/C32)</f>
        <v>-9.2286403426937058E-2</v>
      </c>
      <c r="E34" s="171">
        <f>IF(D32=0,0,+E33/D32)</f>
        <v>3.8480243901316733E-3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0.47614152297774587</v>
      </c>
      <c r="D38" s="172">
        <f>IF((D40+D41)=0,0,+D39/(D40+D41))</f>
        <v>0.4470710497208264</v>
      </c>
      <c r="E38" s="172">
        <f>IF((E40+E41)=0,0,+E39/(E40+E41))</f>
        <v>0.39072205837333518</v>
      </c>
      <c r="F38" s="5"/>
    </row>
    <row r="39" spans="1:6" ht="24" customHeight="1" x14ac:dyDescent="0.2">
      <c r="A39" s="21">
        <v>2</v>
      </c>
      <c r="B39" s="48" t="s">
        <v>324</v>
      </c>
      <c r="C39" s="51">
        <v>321077894</v>
      </c>
      <c r="D39" s="51">
        <v>337444501</v>
      </c>
      <c r="E39" s="23">
        <v>338475864</v>
      </c>
      <c r="F39" s="5"/>
    </row>
    <row r="40" spans="1:6" ht="24" customHeight="1" x14ac:dyDescent="0.2">
      <c r="A40" s="21">
        <v>3</v>
      </c>
      <c r="B40" s="48" t="s">
        <v>325</v>
      </c>
      <c r="C40" s="51">
        <v>662081365</v>
      </c>
      <c r="D40" s="51">
        <v>741032516</v>
      </c>
      <c r="E40" s="23">
        <v>853958106</v>
      </c>
      <c r="F40" s="5"/>
    </row>
    <row r="41" spans="1:6" ht="24" customHeight="1" x14ac:dyDescent="0.2">
      <c r="A41" s="21">
        <v>4</v>
      </c>
      <c r="B41" s="48" t="s">
        <v>326</v>
      </c>
      <c r="C41" s="51">
        <v>12251535</v>
      </c>
      <c r="D41" s="51">
        <v>13756910</v>
      </c>
      <c r="E41" s="23">
        <v>12324861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1.3149754792484336</v>
      </c>
      <c r="D43" s="173">
        <f>IF(D38=0,0,IF((D46-D47)=0,0,((+D44-D45)/(D46-D47)/D38)))</f>
        <v>1.2724347780732059</v>
      </c>
      <c r="E43" s="173">
        <f>IF(E38=0,0,IF((E46-E47)=0,0,((+E44-E45)/(E46-E47)/E38)))</f>
        <v>1.461407173820737</v>
      </c>
      <c r="F43" s="5"/>
    </row>
    <row r="44" spans="1:6" ht="24" customHeight="1" x14ac:dyDescent="0.2">
      <c r="A44" s="21">
        <v>6</v>
      </c>
      <c r="B44" s="48" t="s">
        <v>328</v>
      </c>
      <c r="C44" s="51">
        <v>174745433</v>
      </c>
      <c r="D44" s="51">
        <v>168475827</v>
      </c>
      <c r="E44" s="23">
        <v>196641108</v>
      </c>
      <c r="F44" s="5"/>
    </row>
    <row r="45" spans="1:6" ht="24" customHeight="1" x14ac:dyDescent="0.2">
      <c r="A45" s="21">
        <v>7</v>
      </c>
      <c r="B45" s="48" t="s">
        <v>329</v>
      </c>
      <c r="C45" s="51">
        <v>3114640</v>
      </c>
      <c r="D45" s="51">
        <v>2534635</v>
      </c>
      <c r="E45" s="23">
        <v>1678857</v>
      </c>
      <c r="F45" s="5"/>
    </row>
    <row r="46" spans="1:6" ht="24" customHeight="1" x14ac:dyDescent="0.2">
      <c r="A46" s="21">
        <v>8</v>
      </c>
      <c r="B46" s="48" t="s">
        <v>330</v>
      </c>
      <c r="C46" s="51">
        <v>307382397</v>
      </c>
      <c r="D46" s="51">
        <v>325314726</v>
      </c>
      <c r="E46" s="23">
        <v>371651515</v>
      </c>
      <c r="F46" s="5"/>
    </row>
    <row r="47" spans="1:6" ht="24" customHeight="1" x14ac:dyDescent="0.2">
      <c r="A47" s="21">
        <v>9</v>
      </c>
      <c r="B47" s="48" t="s">
        <v>331</v>
      </c>
      <c r="C47" s="51">
        <v>33261908</v>
      </c>
      <c r="D47" s="51">
        <v>33610899</v>
      </c>
      <c r="E47" s="174">
        <v>30213899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0.74432920029412253</v>
      </c>
      <c r="D49" s="175">
        <f>IF(D38=0,0,IF(D51=0,0,(D50/D51)/D38))</f>
        <v>0.70179548799915026</v>
      </c>
      <c r="E49" s="175">
        <f>IF(E38=0,0,IF(E51=0,0,(E50/E51)/E38))</f>
        <v>0.706340325270435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97923130</v>
      </c>
      <c r="D50" s="176">
        <v>99503449</v>
      </c>
      <c r="E50" s="176">
        <v>98031835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276302092</v>
      </c>
      <c r="D51" s="176">
        <v>317139995</v>
      </c>
      <c r="E51" s="176">
        <v>355210014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0.59692382064946126</v>
      </c>
      <c r="D53" s="175">
        <f>IF(D38=0,0,IF(D55=0,0,(D54/D55)/D38))</f>
        <v>0.57934194940872763</v>
      </c>
      <c r="E53" s="175">
        <f>IF(E38=0,0,IF(E55=0,0,(E54/E55)/E38))</f>
        <v>0.65005780636658572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17266767</v>
      </c>
      <c r="D54" s="176">
        <v>22926292</v>
      </c>
      <c r="E54" s="176">
        <v>31672208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60751368</v>
      </c>
      <c r="D55" s="176">
        <v>88516105</v>
      </c>
      <c r="E55" s="176">
        <v>124697697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18357526.429715183</v>
      </c>
      <c r="D57" s="53">
        <f>+D60*D38</f>
        <v>18455850.717904989</v>
      </c>
      <c r="E57" s="53">
        <f>+E60*E38</f>
        <v>14840041.458899671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17554000</v>
      </c>
      <c r="D58" s="51">
        <v>18026000</v>
      </c>
      <c r="E58" s="52">
        <v>17327000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21000769</v>
      </c>
      <c r="D59" s="51">
        <v>23255695</v>
      </c>
      <c r="E59" s="52">
        <v>20654069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38554769</v>
      </c>
      <c r="D60" s="51">
        <v>41281695</v>
      </c>
      <c r="E60" s="52">
        <v>37981069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5.7174681822583472E-2</v>
      </c>
      <c r="D62" s="178">
        <f>IF(D63=0,0,+D57/D63)</f>
        <v>5.4692995924402361E-2</v>
      </c>
      <c r="E62" s="178">
        <f>IF(E63=0,0,+E57/E63)</f>
        <v>4.3843721332223771E-2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321077894</v>
      </c>
      <c r="D63" s="176">
        <v>337444501</v>
      </c>
      <c r="E63" s="176">
        <v>338475864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2.304775951862994</v>
      </c>
      <c r="D67" s="179">
        <f>IF(D69=0,0,D68/D69)</f>
        <v>2.0543075022142743</v>
      </c>
      <c r="E67" s="179">
        <f>IF(E69=0,0,E68/E69)</f>
        <v>2.1345590638850958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81118604</v>
      </c>
      <c r="D68" s="180">
        <v>81491821</v>
      </c>
      <c r="E68" s="180">
        <v>115124348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35195874</v>
      </c>
      <c r="D69" s="180">
        <v>39668755</v>
      </c>
      <c r="E69" s="180">
        <v>53933550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29.433538405077368</v>
      </c>
      <c r="D71" s="181">
        <f>IF((D77/365)=0,0,+D74/(D77/365))</f>
        <v>40.189884733172747</v>
      </c>
      <c r="E71" s="181">
        <f>IF((E77/365)=0,0,+E74/(E77/365))</f>
        <v>80.159021105909545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15790395</v>
      </c>
      <c r="D72" s="182">
        <v>26310543</v>
      </c>
      <c r="E72" s="182">
        <v>61458676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8601698</v>
      </c>
      <c r="D73" s="184">
        <v>8655334</v>
      </c>
      <c r="E73" s="184">
        <v>8693538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24392093</v>
      </c>
      <c r="D74" s="180">
        <f>+D72+D73</f>
        <v>34965877</v>
      </c>
      <c r="E74" s="180">
        <f>+E72+E73</f>
        <v>70152214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321077894</v>
      </c>
      <c r="D75" s="180">
        <f>+D14</f>
        <v>337444501</v>
      </c>
      <c r="E75" s="180">
        <f>+E14</f>
        <v>338475864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18595949</v>
      </c>
      <c r="D76" s="180">
        <v>19888350</v>
      </c>
      <c r="E76" s="180">
        <v>19041348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302481945</v>
      </c>
      <c r="D77" s="180">
        <f>+D75-D76</f>
        <v>317556151</v>
      </c>
      <c r="E77" s="180">
        <f>+E75-E76</f>
        <v>319434516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47.91886245083419</v>
      </c>
      <c r="D79" s="179">
        <f>IF((D84/365)=0,0,+D83/(D84/365))</f>
        <v>45.280218726139672</v>
      </c>
      <c r="E79" s="179">
        <f>IF((E84/365)=0,0,+E83/(E84/365))</f>
        <v>34.206006550908072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42345864</v>
      </c>
      <c r="D80" s="189">
        <v>40941651</v>
      </c>
      <c r="E80" s="189">
        <v>37299759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1696670</v>
      </c>
      <c r="D81" s="190">
        <v>573584</v>
      </c>
      <c r="E81" s="190">
        <v>81421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1670554</v>
      </c>
      <c r="D82" s="190">
        <v>1001192</v>
      </c>
      <c r="E82" s="190">
        <v>4525191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42371980</v>
      </c>
      <c r="D83" s="191">
        <f>+D80+D81-D82</f>
        <v>40514043</v>
      </c>
      <c r="E83" s="191">
        <f>+E80+E81-E82</f>
        <v>32855989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322749162</v>
      </c>
      <c r="D84" s="191">
        <f>+D11</f>
        <v>326580262</v>
      </c>
      <c r="E84" s="191">
        <f>+E11</f>
        <v>350594448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42.470283672633748</v>
      </c>
      <c r="D86" s="179">
        <f>IF((D90/365)=0,0,+D87/(D90/365))</f>
        <v>45.595386924185256</v>
      </c>
      <c r="E86" s="179">
        <f>IF((E90/365)=0,0,+E87/(E90/365))</f>
        <v>61.626858601592069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35195874</v>
      </c>
      <c r="D87" s="51">
        <f>+D69</f>
        <v>39668755</v>
      </c>
      <c r="E87" s="51">
        <f>+E69</f>
        <v>53933550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321077894</v>
      </c>
      <c r="D88" s="51">
        <f t="shared" si="0"/>
        <v>337444501</v>
      </c>
      <c r="E88" s="51">
        <f t="shared" si="0"/>
        <v>338475864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18595949</v>
      </c>
      <c r="D89" s="52">
        <f t="shared" si="0"/>
        <v>19888350</v>
      </c>
      <c r="E89" s="52">
        <f t="shared" si="0"/>
        <v>19041348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302481945</v>
      </c>
      <c r="D90" s="51">
        <f>+D88-D89</f>
        <v>317556151</v>
      </c>
      <c r="E90" s="51">
        <f>+E88-E89</f>
        <v>319434516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55.844770686109015</v>
      </c>
      <c r="D94" s="192">
        <f>IF(D96=0,0,(D95/D96)*100)</f>
        <v>51.387977294768703</v>
      </c>
      <c r="E94" s="192">
        <f>IF(E96=0,0,(E95/E96)*100)</f>
        <v>38.750306508014965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148919922</v>
      </c>
      <c r="D95" s="51">
        <f>+D32</f>
        <v>135176638</v>
      </c>
      <c r="E95" s="51">
        <f>+E32</f>
        <v>135696801</v>
      </c>
      <c r="F95" s="28"/>
    </row>
    <row r="96" spans="1:6" ht="24" customHeight="1" x14ac:dyDescent="0.25">
      <c r="A96" s="21">
        <v>3</v>
      </c>
      <c r="B96" s="48" t="s">
        <v>43</v>
      </c>
      <c r="C96" s="51">
        <v>266667622</v>
      </c>
      <c r="D96" s="51">
        <v>263051097</v>
      </c>
      <c r="E96" s="51">
        <v>350182523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63.726880098556805</v>
      </c>
      <c r="D98" s="192">
        <f>IF(D104=0,0,(D101/D104)*100)</f>
        <v>45.356844899219581</v>
      </c>
      <c r="E98" s="192">
        <f>IF(E104=0,0,(E101/E104)*100)</f>
        <v>38.338981172705964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15003482</v>
      </c>
      <c r="D99" s="51">
        <f>+D28</f>
        <v>5244652</v>
      </c>
      <c r="E99" s="51">
        <f>+E28</f>
        <v>23784969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18595949</v>
      </c>
      <c r="D100" s="52">
        <f>+D76</f>
        <v>19888350</v>
      </c>
      <c r="E100" s="52">
        <f>+E76</f>
        <v>19041348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33599431</v>
      </c>
      <c r="D101" s="51">
        <f>+D99+D100</f>
        <v>25133002</v>
      </c>
      <c r="E101" s="51">
        <f>+E99+E100</f>
        <v>42826317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35195874</v>
      </c>
      <c r="D102" s="180">
        <f>+D69</f>
        <v>39668755</v>
      </c>
      <c r="E102" s="180">
        <f>+E69</f>
        <v>53933550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17528237</v>
      </c>
      <c r="D103" s="194">
        <v>15742952</v>
      </c>
      <c r="E103" s="194">
        <v>57770819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52724111</v>
      </c>
      <c r="D104" s="180">
        <f>+D102+D103</f>
        <v>55411707</v>
      </c>
      <c r="E104" s="180">
        <f>+E102+E103</f>
        <v>111704369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10.530748495692285</v>
      </c>
      <c r="D106" s="197">
        <f>IF(D109=0,0,(D107/D109)*100)</f>
        <v>10.431350893545364</v>
      </c>
      <c r="E106" s="197">
        <f>IF(E109=0,0,(E107/E109)*100)</f>
        <v>29.860717261110668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17528237</v>
      </c>
      <c r="D107" s="180">
        <f>+D103</f>
        <v>15742952</v>
      </c>
      <c r="E107" s="180">
        <f>+E103</f>
        <v>57770819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148919922</v>
      </c>
      <c r="D108" s="180">
        <f>+D32</f>
        <v>135176638</v>
      </c>
      <c r="E108" s="180">
        <f>+E32</f>
        <v>135696801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166448159</v>
      </c>
      <c r="D109" s="180">
        <f>+D107+D108</f>
        <v>150919590</v>
      </c>
      <c r="E109" s="180">
        <f>+E107+E108</f>
        <v>193467620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14.991468991440541</v>
      </c>
      <c r="D111" s="197">
        <f>IF((+D113+D115)=0,0,((+D112+D113+D114)/(+D113+D115)))</f>
        <v>10.535706987731215</v>
      </c>
      <c r="E111" s="197">
        <f>IF((+E113+E115)=0,0,((+E112+E113+E114)/(+E113+E115)))</f>
        <v>14.301254151678419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15003482</v>
      </c>
      <c r="D112" s="180">
        <f>+D17</f>
        <v>5244652</v>
      </c>
      <c r="E112" s="180">
        <f>+E17</f>
        <v>23784969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651938</v>
      </c>
      <c r="D113" s="180">
        <v>646398</v>
      </c>
      <c r="E113" s="180">
        <v>1450895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18595949</v>
      </c>
      <c r="D114" s="180">
        <v>19888350</v>
      </c>
      <c r="E114" s="180">
        <v>19041348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1632786</v>
      </c>
      <c r="D115" s="180">
        <v>1800462</v>
      </c>
      <c r="E115" s="180">
        <v>1645142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13.33573839119477</v>
      </c>
      <c r="D119" s="197">
        <f>IF(+D121=0,0,(+D120)/(+D121))</f>
        <v>13.130405488640335</v>
      </c>
      <c r="E119" s="197">
        <f>IF(+E121=0,0,(+E120)/(+E121))</f>
        <v>14.585208620734205</v>
      </c>
    </row>
    <row r="120" spans="1:8" ht="24" customHeight="1" x14ac:dyDescent="0.25">
      <c r="A120" s="17">
        <v>21</v>
      </c>
      <c r="B120" s="48" t="s">
        <v>369</v>
      </c>
      <c r="C120" s="180">
        <v>247990711</v>
      </c>
      <c r="D120" s="180">
        <v>261142100</v>
      </c>
      <c r="E120" s="180">
        <v>277722033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18595949</v>
      </c>
      <c r="D121" s="180">
        <v>19888350</v>
      </c>
      <c r="E121" s="180">
        <v>19041348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71363</v>
      </c>
      <c r="D124" s="198">
        <v>69417</v>
      </c>
      <c r="E124" s="198">
        <v>70355</v>
      </c>
    </row>
    <row r="125" spans="1:8" ht="24" customHeight="1" x14ac:dyDescent="0.2">
      <c r="A125" s="44">
        <v>2</v>
      </c>
      <c r="B125" s="48" t="s">
        <v>373</v>
      </c>
      <c r="C125" s="198">
        <v>15332</v>
      </c>
      <c r="D125" s="198">
        <v>14483</v>
      </c>
      <c r="E125" s="198">
        <v>14878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4.6545134359509523</v>
      </c>
      <c r="D126" s="199">
        <f>IF(D125=0,0,D124/D125)</f>
        <v>4.7929986881171027</v>
      </c>
      <c r="E126" s="199">
        <f>IF(E125=0,0,E124/E125)</f>
        <v>4.728794192767845</v>
      </c>
    </row>
    <row r="127" spans="1:8" ht="24" customHeight="1" x14ac:dyDescent="0.2">
      <c r="A127" s="44">
        <v>4</v>
      </c>
      <c r="B127" s="48" t="s">
        <v>375</v>
      </c>
      <c r="C127" s="198">
        <v>200</v>
      </c>
      <c r="D127" s="198">
        <v>194</v>
      </c>
      <c r="E127" s="198">
        <v>196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312</v>
      </c>
      <c r="E128" s="198">
        <v>312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366</v>
      </c>
      <c r="D129" s="198">
        <v>366</v>
      </c>
      <c r="E129" s="198">
        <v>366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0.97750000000000004</v>
      </c>
      <c r="D130" s="171">
        <v>0.98029999999999995</v>
      </c>
      <c r="E130" s="171">
        <v>0.98340000000000005</v>
      </c>
    </row>
    <row r="131" spans="1:8" ht="24" customHeight="1" x14ac:dyDescent="0.2">
      <c r="A131" s="44">
        <v>7</v>
      </c>
      <c r="B131" s="48" t="s">
        <v>379</v>
      </c>
      <c r="C131" s="171">
        <v>0.60709999999999997</v>
      </c>
      <c r="D131" s="171">
        <v>0.60950000000000004</v>
      </c>
      <c r="E131" s="171">
        <v>0.61770000000000003</v>
      </c>
    </row>
    <row r="132" spans="1:8" ht="24" customHeight="1" x14ac:dyDescent="0.2">
      <c r="A132" s="44">
        <v>8</v>
      </c>
      <c r="B132" s="48" t="s">
        <v>380</v>
      </c>
      <c r="C132" s="199">
        <v>1695.3</v>
      </c>
      <c r="D132" s="199">
        <v>1726.6</v>
      </c>
      <c r="E132" s="199">
        <v>1698.4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0.414028401176946</v>
      </c>
      <c r="D135" s="203">
        <f>IF(D149=0,0,D143/D149)</f>
        <v>0.3936451109791787</v>
      </c>
      <c r="E135" s="203">
        <f>IF(E149=0,0,E143/E149)</f>
        <v>0.39982946891776444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0.41732346899689587</v>
      </c>
      <c r="D136" s="203">
        <f>IF(D149=0,0,D144/D149)</f>
        <v>0.42797041715778095</v>
      </c>
      <c r="E136" s="203">
        <f>IF(E149=0,0,E144/E149)</f>
        <v>0.41595718982495378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9.1758160267809377E-2</v>
      </c>
      <c r="D137" s="203">
        <f>IF(D149=0,0,D145/D149)</f>
        <v>0.11944969092287443</v>
      </c>
      <c r="E137" s="203">
        <f>IF(E149=0,0,E145/E149)</f>
        <v>0.14602320198597657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2.5911806172040502E-2</v>
      </c>
      <c r="D138" s="203">
        <f>IF(D149=0,0,D146/D149)</f>
        <v>1.2857644967363349E-2</v>
      </c>
      <c r="E138" s="203">
        <f>IF(E149=0,0,E146/E149)</f>
        <v>1.7872082825571305E-3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5.0238399324228071E-2</v>
      </c>
      <c r="D139" s="203">
        <f>IF(D149=0,0,D147/D149)</f>
        <v>4.5356847741887751E-2</v>
      </c>
      <c r="E139" s="203">
        <f>IF(E149=0,0,E147/E149)</f>
        <v>3.5381008491767861E-2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7.3976406208019468E-4</v>
      </c>
      <c r="D140" s="203">
        <f>IF(D149=0,0,D148/D149)</f>
        <v>7.2028823091482266E-4</v>
      </c>
      <c r="E140" s="203">
        <f>IF(E149=0,0,E148/E149)</f>
        <v>1.0219224969801972E-3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0.99999999999999989</v>
      </c>
      <c r="D141" s="203">
        <f>SUM(D135:D140)</f>
        <v>1</v>
      </c>
      <c r="E141" s="203">
        <f>SUM(E135:E140)</f>
        <v>1.0000000000000002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274120489</v>
      </c>
      <c r="D143" s="205">
        <f>+D46-D147</f>
        <v>291703827</v>
      </c>
      <c r="E143" s="205">
        <f>+E46-E147</f>
        <v>341437616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276302092</v>
      </c>
      <c r="D144" s="205">
        <f>+D51</f>
        <v>317139995</v>
      </c>
      <c r="E144" s="205">
        <f>+E51</f>
        <v>355210014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60751368</v>
      </c>
      <c r="D145" s="205">
        <f>+D55</f>
        <v>88516105</v>
      </c>
      <c r="E145" s="205">
        <f>+E55</f>
        <v>124697697</v>
      </c>
    </row>
    <row r="146" spans="1:7" ht="20.100000000000001" customHeight="1" x14ac:dyDescent="0.2">
      <c r="A146" s="202">
        <v>11</v>
      </c>
      <c r="B146" s="201" t="s">
        <v>392</v>
      </c>
      <c r="C146" s="204">
        <v>17155724</v>
      </c>
      <c r="D146" s="205">
        <v>9527933</v>
      </c>
      <c r="E146" s="205">
        <v>1526201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33261908</v>
      </c>
      <c r="D147" s="205">
        <f>+D47</f>
        <v>33610899</v>
      </c>
      <c r="E147" s="205">
        <f>+E47</f>
        <v>30213899</v>
      </c>
    </row>
    <row r="148" spans="1:7" ht="20.100000000000001" customHeight="1" x14ac:dyDescent="0.2">
      <c r="A148" s="202">
        <v>13</v>
      </c>
      <c r="B148" s="201" t="s">
        <v>394</v>
      </c>
      <c r="C148" s="206">
        <v>489784</v>
      </c>
      <c r="D148" s="205">
        <v>533757</v>
      </c>
      <c r="E148" s="205">
        <v>872679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662081365</v>
      </c>
      <c r="D149" s="205">
        <f>SUM(D143:D148)</f>
        <v>741032516</v>
      </c>
      <c r="E149" s="205">
        <f>SUM(E143:E148)</f>
        <v>853958106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0.58586754866104518</v>
      </c>
      <c r="D152" s="203">
        <f>IF(D166=0,0,D160/D166)</f>
        <v>0.56562368326588341</v>
      </c>
      <c r="E152" s="203">
        <f>IF(E166=0,0,E160/E166)</f>
        <v>0.59612511894349063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0.33426393438802593</v>
      </c>
      <c r="D153" s="203">
        <f>IF(D166=0,0,D161/D166)</f>
        <v>0.33916537926905449</v>
      </c>
      <c r="E153" s="203">
        <f>IF(E166=0,0,E161/E166)</f>
        <v>0.29974643296267467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5.8940696356226875E-2</v>
      </c>
      <c r="D154" s="203">
        <f>IF(D166=0,0,D162/D166)</f>
        <v>7.8146080357607395E-2</v>
      </c>
      <c r="E154" s="203">
        <f>IF(E166=0,0,E162/E166)</f>
        <v>9.6842330576102018E-2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9.4960727069362573E-3</v>
      </c>
      <c r="D155" s="203">
        <f>IF(D166=0,0,D163/D166)</f>
        <v>8.0337789918742738E-3</v>
      </c>
      <c r="E155" s="203">
        <f>IF(E166=0,0,E163/E166)</f>
        <v>1.5370255607372459E-3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1.0631929561507287E-2</v>
      </c>
      <c r="D156" s="203">
        <f>IF(D166=0,0,D164/D166)</f>
        <v>8.6395039541153993E-3</v>
      </c>
      <c r="E156" s="203">
        <f>IF(E166=0,0,E164/E166)</f>
        <v>5.1333467052250637E-3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7.998183262584598E-4</v>
      </c>
      <c r="D157" s="203">
        <f>IF(D166=0,0,D165/D166)</f>
        <v>3.9157416146499312E-4</v>
      </c>
      <c r="E157" s="203">
        <f>IF(E166=0,0,E165/E166)</f>
        <v>6.1574525177041171E-4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171630793</v>
      </c>
      <c r="D160" s="208">
        <f>+D44-D164</f>
        <v>165941192</v>
      </c>
      <c r="E160" s="208">
        <f>+E44-E164</f>
        <v>194962251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97923130</v>
      </c>
      <c r="D161" s="208">
        <f>+D50</f>
        <v>99503449</v>
      </c>
      <c r="E161" s="208">
        <f>+E50</f>
        <v>98031835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17266767</v>
      </c>
      <c r="D162" s="208">
        <f>+D54</f>
        <v>22926292</v>
      </c>
      <c r="E162" s="208">
        <f>+E54</f>
        <v>31672208</v>
      </c>
    </row>
    <row r="163" spans="1:6" ht="20.100000000000001" customHeight="1" x14ac:dyDescent="0.2">
      <c r="A163" s="202">
        <v>11</v>
      </c>
      <c r="B163" s="201" t="s">
        <v>408</v>
      </c>
      <c r="C163" s="207">
        <v>2781889</v>
      </c>
      <c r="D163" s="208">
        <v>2356929</v>
      </c>
      <c r="E163" s="208">
        <v>502683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3114640</v>
      </c>
      <c r="D164" s="208">
        <f>+D45</f>
        <v>2534635</v>
      </c>
      <c r="E164" s="208">
        <f>+E45</f>
        <v>1678857</v>
      </c>
    </row>
    <row r="165" spans="1:6" ht="20.100000000000001" customHeight="1" x14ac:dyDescent="0.2">
      <c r="A165" s="202">
        <v>13</v>
      </c>
      <c r="B165" s="201" t="s">
        <v>410</v>
      </c>
      <c r="C165" s="209">
        <v>234308</v>
      </c>
      <c r="D165" s="208">
        <v>114879</v>
      </c>
      <c r="E165" s="208">
        <v>201379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292951527</v>
      </c>
      <c r="D166" s="208">
        <f>SUM(D160:D165)</f>
        <v>293377376</v>
      </c>
      <c r="E166" s="208">
        <f>SUM(E160:E165)</f>
        <v>327049213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7052</v>
      </c>
      <c r="D169" s="198">
        <v>6117</v>
      </c>
      <c r="E169" s="198">
        <v>5773</v>
      </c>
    </row>
    <row r="170" spans="1:6" ht="20.100000000000001" customHeight="1" x14ac:dyDescent="0.2">
      <c r="A170" s="202">
        <v>2</v>
      </c>
      <c r="B170" s="201" t="s">
        <v>414</v>
      </c>
      <c r="C170" s="198">
        <v>5539</v>
      </c>
      <c r="D170" s="198">
        <v>5684</v>
      </c>
      <c r="E170" s="198">
        <v>6008</v>
      </c>
    </row>
    <row r="171" spans="1:6" ht="20.100000000000001" customHeight="1" x14ac:dyDescent="0.2">
      <c r="A171" s="202">
        <v>3</v>
      </c>
      <c r="B171" s="201" t="s">
        <v>415</v>
      </c>
      <c r="C171" s="198">
        <v>2730</v>
      </c>
      <c r="D171" s="198">
        <v>2673</v>
      </c>
      <c r="E171" s="198">
        <v>3078</v>
      </c>
    </row>
    <row r="172" spans="1:6" ht="20.100000000000001" customHeight="1" x14ac:dyDescent="0.2">
      <c r="A172" s="202">
        <v>4</v>
      </c>
      <c r="B172" s="201" t="s">
        <v>416</v>
      </c>
      <c r="C172" s="198">
        <v>2254</v>
      </c>
      <c r="D172" s="198">
        <v>2458</v>
      </c>
      <c r="E172" s="198">
        <v>3038</v>
      </c>
    </row>
    <row r="173" spans="1:6" ht="20.100000000000001" customHeight="1" x14ac:dyDescent="0.2">
      <c r="A173" s="202">
        <v>5</v>
      </c>
      <c r="B173" s="201" t="s">
        <v>417</v>
      </c>
      <c r="C173" s="198">
        <v>476</v>
      </c>
      <c r="D173" s="198">
        <v>215</v>
      </c>
      <c r="E173" s="198">
        <v>40</v>
      </c>
    </row>
    <row r="174" spans="1:6" ht="20.100000000000001" customHeight="1" x14ac:dyDescent="0.2">
      <c r="A174" s="202">
        <v>6</v>
      </c>
      <c r="B174" s="201" t="s">
        <v>418</v>
      </c>
      <c r="C174" s="198">
        <v>11</v>
      </c>
      <c r="D174" s="198">
        <v>9</v>
      </c>
      <c r="E174" s="198">
        <v>19</v>
      </c>
    </row>
    <row r="175" spans="1:6" ht="20.100000000000001" customHeight="1" x14ac:dyDescent="0.2">
      <c r="A175" s="202">
        <v>7</v>
      </c>
      <c r="B175" s="201" t="s">
        <v>419</v>
      </c>
      <c r="C175" s="198">
        <v>527</v>
      </c>
      <c r="D175" s="198">
        <v>426</v>
      </c>
      <c r="E175" s="198">
        <v>223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15332</v>
      </c>
      <c r="D176" s="198">
        <f>+D169+D170+D171+D174</f>
        <v>14483</v>
      </c>
      <c r="E176" s="198">
        <f>+E169+E170+E171+E174</f>
        <v>14878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0.9718</v>
      </c>
      <c r="D179" s="210">
        <v>1.00613</v>
      </c>
      <c r="E179" s="210">
        <v>1.04515</v>
      </c>
    </row>
    <row r="180" spans="1:6" ht="20.100000000000001" customHeight="1" x14ac:dyDescent="0.2">
      <c r="A180" s="202">
        <v>2</v>
      </c>
      <c r="B180" s="201" t="s">
        <v>414</v>
      </c>
      <c r="C180" s="210">
        <v>1.4787999999999999</v>
      </c>
      <c r="D180" s="210">
        <v>1.4781299999999999</v>
      </c>
      <c r="E180" s="210">
        <v>1.41103</v>
      </c>
    </row>
    <row r="181" spans="1:6" ht="20.100000000000001" customHeight="1" x14ac:dyDescent="0.2">
      <c r="A181" s="202">
        <v>3</v>
      </c>
      <c r="B181" s="201" t="s">
        <v>415</v>
      </c>
      <c r="C181" s="210">
        <v>0.83933199999999997</v>
      </c>
      <c r="D181" s="210">
        <v>0.90314399999999995</v>
      </c>
      <c r="E181" s="210">
        <v>0.94949700000000004</v>
      </c>
    </row>
    <row r="182" spans="1:6" ht="20.100000000000001" customHeight="1" x14ac:dyDescent="0.2">
      <c r="A182" s="202">
        <v>4</v>
      </c>
      <c r="B182" s="201" t="s">
        <v>416</v>
      </c>
      <c r="C182" s="210">
        <v>0.79590000000000005</v>
      </c>
      <c r="D182" s="210">
        <v>0.89512000000000003</v>
      </c>
      <c r="E182" s="210">
        <v>0.94935999999999998</v>
      </c>
    </row>
    <row r="183" spans="1:6" ht="20.100000000000001" customHeight="1" x14ac:dyDescent="0.2">
      <c r="A183" s="202">
        <v>5</v>
      </c>
      <c r="B183" s="201" t="s">
        <v>417</v>
      </c>
      <c r="C183" s="210">
        <v>1.0449999999999999</v>
      </c>
      <c r="D183" s="210">
        <v>0.99489000000000005</v>
      </c>
      <c r="E183" s="210">
        <v>0.95994999999999997</v>
      </c>
    </row>
    <row r="184" spans="1:6" ht="20.100000000000001" customHeight="1" x14ac:dyDescent="0.2">
      <c r="A184" s="202">
        <v>6</v>
      </c>
      <c r="B184" s="201" t="s">
        <v>418</v>
      </c>
      <c r="C184" s="210">
        <v>0.89129999999999998</v>
      </c>
      <c r="D184" s="210">
        <v>0.96191000000000004</v>
      </c>
      <c r="E184" s="210">
        <v>0.86317999999999995</v>
      </c>
    </row>
    <row r="185" spans="1:6" ht="20.100000000000001" customHeight="1" x14ac:dyDescent="0.2">
      <c r="A185" s="202">
        <v>7</v>
      </c>
      <c r="B185" s="201" t="s">
        <v>419</v>
      </c>
      <c r="C185" s="210">
        <v>1.0489999999999999</v>
      </c>
      <c r="D185" s="210">
        <v>1.0328200000000001</v>
      </c>
      <c r="E185" s="210">
        <v>1.03169</v>
      </c>
    </row>
    <row r="186" spans="1:6" ht="20.100000000000001" customHeight="1" x14ac:dyDescent="0.2">
      <c r="A186" s="202">
        <v>8</v>
      </c>
      <c r="B186" s="201" t="s">
        <v>423</v>
      </c>
      <c r="C186" s="210">
        <v>1.131319</v>
      </c>
      <c r="D186" s="210">
        <v>1.172336</v>
      </c>
      <c r="E186" s="210">
        <v>1.1728769999999999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9239</v>
      </c>
      <c r="D189" s="198">
        <v>9008</v>
      </c>
      <c r="E189" s="198">
        <v>9538</v>
      </c>
    </row>
    <row r="190" spans="1:6" ht="20.100000000000001" customHeight="1" x14ac:dyDescent="0.2">
      <c r="A190" s="202">
        <v>2</v>
      </c>
      <c r="B190" s="201" t="s">
        <v>427</v>
      </c>
      <c r="C190" s="198">
        <v>40491</v>
      </c>
      <c r="D190" s="198">
        <v>39491</v>
      </c>
      <c r="E190" s="198">
        <v>40107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49730</v>
      </c>
      <c r="D191" s="198">
        <f>+D190+D189</f>
        <v>48499</v>
      </c>
      <c r="E191" s="198">
        <f>+E190+E189</f>
        <v>49645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FILING&amp;RNORWALK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5" width="21.710937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605096</v>
      </c>
      <c r="D14" s="237">
        <v>536589</v>
      </c>
      <c r="E14" s="237">
        <f t="shared" ref="E14:E24" si="0">D14-C14</f>
        <v>-68507</v>
      </c>
      <c r="F14" s="238">
        <f t="shared" ref="F14:F24" si="1">IF(C14=0,0,E14/C14)</f>
        <v>-0.11321674577257163</v>
      </c>
    </row>
    <row r="15" spans="1:7" ht="20.25" customHeight="1" x14ac:dyDescent="0.3">
      <c r="A15" s="235">
        <v>2</v>
      </c>
      <c r="B15" s="236" t="s">
        <v>435</v>
      </c>
      <c r="C15" s="237">
        <v>230348</v>
      </c>
      <c r="D15" s="237">
        <v>141469</v>
      </c>
      <c r="E15" s="237">
        <f t="shared" si="0"/>
        <v>-88879</v>
      </c>
      <c r="F15" s="238">
        <f t="shared" si="1"/>
        <v>-0.38584663205237291</v>
      </c>
    </row>
    <row r="16" spans="1:7" ht="20.25" customHeight="1" x14ac:dyDescent="0.3">
      <c r="A16" s="235">
        <v>3</v>
      </c>
      <c r="B16" s="236" t="s">
        <v>436</v>
      </c>
      <c r="C16" s="237">
        <v>79847</v>
      </c>
      <c r="D16" s="237">
        <v>372474</v>
      </c>
      <c r="E16" s="237">
        <f t="shared" si="0"/>
        <v>292627</v>
      </c>
      <c r="F16" s="238">
        <f t="shared" si="1"/>
        <v>3.6648465189675252</v>
      </c>
    </row>
    <row r="17" spans="1:6" ht="20.25" customHeight="1" x14ac:dyDescent="0.3">
      <c r="A17" s="235">
        <v>4</v>
      </c>
      <c r="B17" s="236" t="s">
        <v>437</v>
      </c>
      <c r="C17" s="237">
        <v>20401</v>
      </c>
      <c r="D17" s="237">
        <v>57481</v>
      </c>
      <c r="E17" s="237">
        <f t="shared" si="0"/>
        <v>37080</v>
      </c>
      <c r="F17" s="238">
        <f t="shared" si="1"/>
        <v>1.8175579628449585</v>
      </c>
    </row>
    <row r="18" spans="1:6" ht="20.25" customHeight="1" x14ac:dyDescent="0.3">
      <c r="A18" s="235">
        <v>5</v>
      </c>
      <c r="B18" s="236" t="s">
        <v>373</v>
      </c>
      <c r="C18" s="239">
        <v>15</v>
      </c>
      <c r="D18" s="239">
        <v>15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99</v>
      </c>
      <c r="D19" s="239">
        <v>66</v>
      </c>
      <c r="E19" s="239">
        <f t="shared" si="0"/>
        <v>-33</v>
      </c>
      <c r="F19" s="238">
        <f t="shared" si="1"/>
        <v>-0.33333333333333331</v>
      </c>
    </row>
    <row r="20" spans="1:6" ht="20.25" customHeight="1" x14ac:dyDescent="0.3">
      <c r="A20" s="235">
        <v>7</v>
      </c>
      <c r="B20" s="236" t="s">
        <v>438</v>
      </c>
      <c r="C20" s="239">
        <v>29</v>
      </c>
      <c r="D20" s="239">
        <v>104</v>
      </c>
      <c r="E20" s="239">
        <f t="shared" si="0"/>
        <v>75</v>
      </c>
      <c r="F20" s="238">
        <f t="shared" si="1"/>
        <v>2.5862068965517242</v>
      </c>
    </row>
    <row r="21" spans="1:6" ht="20.25" customHeight="1" x14ac:dyDescent="0.3">
      <c r="A21" s="235">
        <v>8</v>
      </c>
      <c r="B21" s="236" t="s">
        <v>439</v>
      </c>
      <c r="C21" s="239">
        <v>16</v>
      </c>
      <c r="D21" s="239">
        <v>21</v>
      </c>
      <c r="E21" s="239">
        <f t="shared" si="0"/>
        <v>5</v>
      </c>
      <c r="F21" s="238">
        <f t="shared" si="1"/>
        <v>0.3125</v>
      </c>
    </row>
    <row r="22" spans="1:6" ht="20.25" customHeight="1" x14ac:dyDescent="0.3">
      <c r="A22" s="235">
        <v>9</v>
      </c>
      <c r="B22" s="236" t="s">
        <v>440</v>
      </c>
      <c r="C22" s="239">
        <v>12</v>
      </c>
      <c r="D22" s="239">
        <v>13</v>
      </c>
      <c r="E22" s="239">
        <f t="shared" si="0"/>
        <v>1</v>
      </c>
      <c r="F22" s="238">
        <f t="shared" si="1"/>
        <v>8.3333333333333329E-2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684943</v>
      </c>
      <c r="D23" s="243">
        <f>+D14+D16</f>
        <v>909063</v>
      </c>
      <c r="E23" s="243">
        <f t="shared" si="0"/>
        <v>224120</v>
      </c>
      <c r="F23" s="244">
        <f t="shared" si="1"/>
        <v>0.32720970942107591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250749</v>
      </c>
      <c r="D24" s="243">
        <f>+D15+D17</f>
        <v>198950</v>
      </c>
      <c r="E24" s="243">
        <f t="shared" si="0"/>
        <v>-51799</v>
      </c>
      <c r="F24" s="244">
        <f t="shared" si="1"/>
        <v>-0.20657709502331018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1113925</v>
      </c>
      <c r="D40" s="237">
        <v>2142486</v>
      </c>
      <c r="E40" s="237">
        <f t="shared" ref="E40:E50" si="4">D40-C40</f>
        <v>1028561</v>
      </c>
      <c r="F40" s="238">
        <f t="shared" ref="F40:F50" si="5">IF(C40=0,0,E40/C40)</f>
        <v>0.923366474403573</v>
      </c>
    </row>
    <row r="41" spans="1:6" ht="20.25" customHeight="1" x14ac:dyDescent="0.3">
      <c r="A41" s="235">
        <v>2</v>
      </c>
      <c r="B41" s="236" t="s">
        <v>435</v>
      </c>
      <c r="C41" s="237">
        <v>269696</v>
      </c>
      <c r="D41" s="237">
        <v>568856</v>
      </c>
      <c r="E41" s="237">
        <f t="shared" si="4"/>
        <v>299160</v>
      </c>
      <c r="F41" s="238">
        <f t="shared" si="5"/>
        <v>1.109248932130992</v>
      </c>
    </row>
    <row r="42" spans="1:6" ht="20.25" customHeight="1" x14ac:dyDescent="0.3">
      <c r="A42" s="235">
        <v>3</v>
      </c>
      <c r="B42" s="236" t="s">
        <v>436</v>
      </c>
      <c r="C42" s="237">
        <v>396577</v>
      </c>
      <c r="D42" s="237">
        <v>1231476</v>
      </c>
      <c r="E42" s="237">
        <f t="shared" si="4"/>
        <v>834899</v>
      </c>
      <c r="F42" s="238">
        <f t="shared" si="5"/>
        <v>2.1052632906093898</v>
      </c>
    </row>
    <row r="43" spans="1:6" ht="20.25" customHeight="1" x14ac:dyDescent="0.3">
      <c r="A43" s="235">
        <v>4</v>
      </c>
      <c r="B43" s="236" t="s">
        <v>437</v>
      </c>
      <c r="C43" s="237">
        <v>88666</v>
      </c>
      <c r="D43" s="237">
        <v>255865</v>
      </c>
      <c r="E43" s="237">
        <f t="shared" si="4"/>
        <v>167199</v>
      </c>
      <c r="F43" s="238">
        <f t="shared" si="5"/>
        <v>1.8857171858435027</v>
      </c>
    </row>
    <row r="44" spans="1:6" ht="20.25" customHeight="1" x14ac:dyDescent="0.3">
      <c r="A44" s="235">
        <v>5</v>
      </c>
      <c r="B44" s="236" t="s">
        <v>373</v>
      </c>
      <c r="C44" s="239">
        <v>16</v>
      </c>
      <c r="D44" s="239">
        <v>51</v>
      </c>
      <c r="E44" s="239">
        <f t="shared" si="4"/>
        <v>35</v>
      </c>
      <c r="F44" s="238">
        <f t="shared" si="5"/>
        <v>2.1875</v>
      </c>
    </row>
    <row r="45" spans="1:6" ht="20.25" customHeight="1" x14ac:dyDescent="0.3">
      <c r="A45" s="235">
        <v>6</v>
      </c>
      <c r="B45" s="236" t="s">
        <v>372</v>
      </c>
      <c r="C45" s="239">
        <v>158</v>
      </c>
      <c r="D45" s="239">
        <v>301</v>
      </c>
      <c r="E45" s="239">
        <f t="shared" si="4"/>
        <v>143</v>
      </c>
      <c r="F45" s="238">
        <f t="shared" si="5"/>
        <v>0.90506329113924056</v>
      </c>
    </row>
    <row r="46" spans="1:6" ht="20.25" customHeight="1" x14ac:dyDescent="0.3">
      <c r="A46" s="235">
        <v>7</v>
      </c>
      <c r="B46" s="236" t="s">
        <v>438</v>
      </c>
      <c r="C46" s="239">
        <v>178</v>
      </c>
      <c r="D46" s="239">
        <v>596</v>
      </c>
      <c r="E46" s="239">
        <f t="shared" si="4"/>
        <v>418</v>
      </c>
      <c r="F46" s="238">
        <f t="shared" si="5"/>
        <v>2.3483146067415732</v>
      </c>
    </row>
    <row r="47" spans="1:6" ht="20.25" customHeight="1" x14ac:dyDescent="0.3">
      <c r="A47" s="235">
        <v>8</v>
      </c>
      <c r="B47" s="236" t="s">
        <v>439</v>
      </c>
      <c r="C47" s="239">
        <v>17</v>
      </c>
      <c r="D47" s="239">
        <v>57</v>
      </c>
      <c r="E47" s="239">
        <f t="shared" si="4"/>
        <v>40</v>
      </c>
      <c r="F47" s="238">
        <f t="shared" si="5"/>
        <v>2.3529411764705883</v>
      </c>
    </row>
    <row r="48" spans="1:6" ht="20.25" customHeight="1" x14ac:dyDescent="0.3">
      <c r="A48" s="235">
        <v>9</v>
      </c>
      <c r="B48" s="236" t="s">
        <v>440</v>
      </c>
      <c r="C48" s="239">
        <v>11</v>
      </c>
      <c r="D48" s="239">
        <v>42</v>
      </c>
      <c r="E48" s="239">
        <f t="shared" si="4"/>
        <v>31</v>
      </c>
      <c r="F48" s="238">
        <f t="shared" si="5"/>
        <v>2.8181818181818183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1510502</v>
      </c>
      <c r="D49" s="243">
        <f>+D40+D42</f>
        <v>3373962</v>
      </c>
      <c r="E49" s="243">
        <f t="shared" si="4"/>
        <v>1863460</v>
      </c>
      <c r="F49" s="244">
        <f t="shared" si="5"/>
        <v>1.2336693364192832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358362</v>
      </c>
      <c r="D50" s="243">
        <f>+D41+D43</f>
        <v>824721</v>
      </c>
      <c r="E50" s="243">
        <f t="shared" si="4"/>
        <v>466359</v>
      </c>
      <c r="F50" s="244">
        <f t="shared" si="5"/>
        <v>1.3013628677147688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12311689</v>
      </c>
      <c r="D53" s="237">
        <v>3498878</v>
      </c>
      <c r="E53" s="237">
        <f t="shared" ref="E53:E63" si="6">D53-C53</f>
        <v>-8812811</v>
      </c>
      <c r="F53" s="238">
        <f t="shared" ref="F53:F63" si="7">IF(C53=0,0,E53/C53)</f>
        <v>-0.71580844837779767</v>
      </c>
    </row>
    <row r="54" spans="1:6" ht="20.25" customHeight="1" x14ac:dyDescent="0.3">
      <c r="A54" s="235">
        <v>2</v>
      </c>
      <c r="B54" s="236" t="s">
        <v>435</v>
      </c>
      <c r="C54" s="237">
        <v>3865214</v>
      </c>
      <c r="D54" s="237">
        <v>829627</v>
      </c>
      <c r="E54" s="237">
        <f t="shared" si="6"/>
        <v>-3035587</v>
      </c>
      <c r="F54" s="238">
        <f t="shared" si="7"/>
        <v>-0.78536065532205979</v>
      </c>
    </row>
    <row r="55" spans="1:6" ht="20.25" customHeight="1" x14ac:dyDescent="0.3">
      <c r="A55" s="235">
        <v>3</v>
      </c>
      <c r="B55" s="236" t="s">
        <v>436</v>
      </c>
      <c r="C55" s="237">
        <v>5947890</v>
      </c>
      <c r="D55" s="237">
        <v>1371438</v>
      </c>
      <c r="E55" s="237">
        <f t="shared" si="6"/>
        <v>-4576452</v>
      </c>
      <c r="F55" s="238">
        <f t="shared" si="7"/>
        <v>-0.7694244513600621</v>
      </c>
    </row>
    <row r="56" spans="1:6" ht="20.25" customHeight="1" x14ac:dyDescent="0.3">
      <c r="A56" s="235">
        <v>4</v>
      </c>
      <c r="B56" s="236" t="s">
        <v>437</v>
      </c>
      <c r="C56" s="237">
        <v>1271607</v>
      </c>
      <c r="D56" s="237">
        <v>270449</v>
      </c>
      <c r="E56" s="237">
        <f t="shared" si="6"/>
        <v>-1001158</v>
      </c>
      <c r="F56" s="238">
        <f t="shared" si="7"/>
        <v>-0.78731715066054209</v>
      </c>
    </row>
    <row r="57" spans="1:6" ht="20.25" customHeight="1" x14ac:dyDescent="0.3">
      <c r="A57" s="235">
        <v>5</v>
      </c>
      <c r="B57" s="236" t="s">
        <v>373</v>
      </c>
      <c r="C57" s="239">
        <v>308</v>
      </c>
      <c r="D57" s="239">
        <v>74</v>
      </c>
      <c r="E57" s="239">
        <f t="shared" si="6"/>
        <v>-234</v>
      </c>
      <c r="F57" s="238">
        <f t="shared" si="7"/>
        <v>-0.75974025974025972</v>
      </c>
    </row>
    <row r="58" spans="1:6" ht="20.25" customHeight="1" x14ac:dyDescent="0.3">
      <c r="A58" s="235">
        <v>6</v>
      </c>
      <c r="B58" s="236" t="s">
        <v>372</v>
      </c>
      <c r="C58" s="239">
        <v>1997</v>
      </c>
      <c r="D58" s="239">
        <v>549</v>
      </c>
      <c r="E58" s="239">
        <f t="shared" si="6"/>
        <v>-1448</v>
      </c>
      <c r="F58" s="238">
        <f t="shared" si="7"/>
        <v>-0.72508763144717081</v>
      </c>
    </row>
    <row r="59" spans="1:6" ht="20.25" customHeight="1" x14ac:dyDescent="0.3">
      <c r="A59" s="235">
        <v>7</v>
      </c>
      <c r="B59" s="236" t="s">
        <v>438</v>
      </c>
      <c r="C59" s="239">
        <v>2792</v>
      </c>
      <c r="D59" s="239">
        <v>571</v>
      </c>
      <c r="E59" s="239">
        <f t="shared" si="6"/>
        <v>-2221</v>
      </c>
      <c r="F59" s="238">
        <f t="shared" si="7"/>
        <v>-0.79548710601719197</v>
      </c>
    </row>
    <row r="60" spans="1:6" ht="20.25" customHeight="1" x14ac:dyDescent="0.3">
      <c r="A60" s="235">
        <v>8</v>
      </c>
      <c r="B60" s="236" t="s">
        <v>439</v>
      </c>
      <c r="C60" s="239">
        <v>384</v>
      </c>
      <c r="D60" s="239">
        <v>85</v>
      </c>
      <c r="E60" s="239">
        <f t="shared" si="6"/>
        <v>-299</v>
      </c>
      <c r="F60" s="238">
        <f t="shared" si="7"/>
        <v>-0.77864583333333337</v>
      </c>
    </row>
    <row r="61" spans="1:6" ht="20.25" customHeight="1" x14ac:dyDescent="0.3">
      <c r="A61" s="235">
        <v>9</v>
      </c>
      <c r="B61" s="236" t="s">
        <v>440</v>
      </c>
      <c r="C61" s="239">
        <v>230</v>
      </c>
      <c r="D61" s="239">
        <v>54</v>
      </c>
      <c r="E61" s="239">
        <f t="shared" si="6"/>
        <v>-176</v>
      </c>
      <c r="F61" s="238">
        <f t="shared" si="7"/>
        <v>-0.76521739130434785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18259579</v>
      </c>
      <c r="D62" s="243">
        <f>+D53+D55</f>
        <v>4870316</v>
      </c>
      <c r="E62" s="243">
        <f t="shared" si="6"/>
        <v>-13389263</v>
      </c>
      <c r="F62" s="244">
        <f t="shared" si="7"/>
        <v>-0.73327336846046665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5136821</v>
      </c>
      <c r="D63" s="243">
        <f>+D54+D56</f>
        <v>1100076</v>
      </c>
      <c r="E63" s="243">
        <f t="shared" si="6"/>
        <v>-4036745</v>
      </c>
      <c r="F63" s="244">
        <f t="shared" si="7"/>
        <v>-0.78584498077702147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2608304</v>
      </c>
      <c r="D66" s="237">
        <v>3302653</v>
      </c>
      <c r="E66" s="237">
        <f t="shared" ref="E66:E76" si="8">D66-C66</f>
        <v>694349</v>
      </c>
      <c r="F66" s="238">
        <f t="shared" ref="F66:F76" si="9">IF(C66=0,0,E66/C66)</f>
        <v>0.26620708322342795</v>
      </c>
    </row>
    <row r="67" spans="1:6" ht="20.25" customHeight="1" x14ac:dyDescent="0.3">
      <c r="A67" s="235">
        <v>2</v>
      </c>
      <c r="B67" s="236" t="s">
        <v>435</v>
      </c>
      <c r="C67" s="237">
        <v>910047</v>
      </c>
      <c r="D67" s="237">
        <v>922874</v>
      </c>
      <c r="E67" s="237">
        <f t="shared" si="8"/>
        <v>12827</v>
      </c>
      <c r="F67" s="238">
        <f t="shared" si="9"/>
        <v>1.4094876418470695E-2</v>
      </c>
    </row>
    <row r="68" spans="1:6" ht="20.25" customHeight="1" x14ac:dyDescent="0.3">
      <c r="A68" s="235">
        <v>3</v>
      </c>
      <c r="B68" s="236" t="s">
        <v>436</v>
      </c>
      <c r="C68" s="237">
        <v>945893</v>
      </c>
      <c r="D68" s="237">
        <v>1285970</v>
      </c>
      <c r="E68" s="237">
        <f t="shared" si="8"/>
        <v>340077</v>
      </c>
      <c r="F68" s="238">
        <f t="shared" si="9"/>
        <v>0.35953009484159415</v>
      </c>
    </row>
    <row r="69" spans="1:6" ht="20.25" customHeight="1" x14ac:dyDescent="0.3">
      <c r="A69" s="235">
        <v>4</v>
      </c>
      <c r="B69" s="236" t="s">
        <v>437</v>
      </c>
      <c r="C69" s="237">
        <v>160244</v>
      </c>
      <c r="D69" s="237">
        <v>292334</v>
      </c>
      <c r="E69" s="237">
        <f t="shared" si="8"/>
        <v>132090</v>
      </c>
      <c r="F69" s="238">
        <f t="shared" si="9"/>
        <v>0.82430543421282543</v>
      </c>
    </row>
    <row r="70" spans="1:6" ht="20.25" customHeight="1" x14ac:dyDescent="0.3">
      <c r="A70" s="235">
        <v>5</v>
      </c>
      <c r="B70" s="236" t="s">
        <v>373</v>
      </c>
      <c r="C70" s="239">
        <v>80</v>
      </c>
      <c r="D70" s="239">
        <v>72</v>
      </c>
      <c r="E70" s="239">
        <f t="shared" si="8"/>
        <v>-8</v>
      </c>
      <c r="F70" s="238">
        <f t="shared" si="9"/>
        <v>-0.1</v>
      </c>
    </row>
    <row r="71" spans="1:6" ht="20.25" customHeight="1" x14ac:dyDescent="0.3">
      <c r="A71" s="235">
        <v>6</v>
      </c>
      <c r="B71" s="236" t="s">
        <v>372</v>
      </c>
      <c r="C71" s="239">
        <v>448</v>
      </c>
      <c r="D71" s="239">
        <v>515</v>
      </c>
      <c r="E71" s="239">
        <f t="shared" si="8"/>
        <v>67</v>
      </c>
      <c r="F71" s="238">
        <f t="shared" si="9"/>
        <v>0.14955357142857142</v>
      </c>
    </row>
    <row r="72" spans="1:6" ht="20.25" customHeight="1" x14ac:dyDescent="0.3">
      <c r="A72" s="235">
        <v>7</v>
      </c>
      <c r="B72" s="236" t="s">
        <v>438</v>
      </c>
      <c r="C72" s="239">
        <v>483</v>
      </c>
      <c r="D72" s="239">
        <v>668</v>
      </c>
      <c r="E72" s="239">
        <f t="shared" si="8"/>
        <v>185</v>
      </c>
      <c r="F72" s="238">
        <f t="shared" si="9"/>
        <v>0.38302277432712217</v>
      </c>
    </row>
    <row r="73" spans="1:6" ht="20.25" customHeight="1" x14ac:dyDescent="0.3">
      <c r="A73" s="235">
        <v>8</v>
      </c>
      <c r="B73" s="236" t="s">
        <v>439</v>
      </c>
      <c r="C73" s="239">
        <v>86</v>
      </c>
      <c r="D73" s="239">
        <v>87</v>
      </c>
      <c r="E73" s="239">
        <f t="shared" si="8"/>
        <v>1</v>
      </c>
      <c r="F73" s="238">
        <f t="shared" si="9"/>
        <v>1.1627906976744186E-2</v>
      </c>
    </row>
    <row r="74" spans="1:6" ht="20.25" customHeight="1" x14ac:dyDescent="0.3">
      <c r="A74" s="235">
        <v>9</v>
      </c>
      <c r="B74" s="236" t="s">
        <v>440</v>
      </c>
      <c r="C74" s="239">
        <v>64</v>
      </c>
      <c r="D74" s="239">
        <v>56</v>
      </c>
      <c r="E74" s="239">
        <f t="shared" si="8"/>
        <v>-8</v>
      </c>
      <c r="F74" s="238">
        <f t="shared" si="9"/>
        <v>-0.125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3554197</v>
      </c>
      <c r="D75" s="243">
        <f>+D66+D68</f>
        <v>4588623</v>
      </c>
      <c r="E75" s="243">
        <f t="shared" si="8"/>
        <v>1034426</v>
      </c>
      <c r="F75" s="244">
        <f t="shared" si="9"/>
        <v>0.29104351840936221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1070291</v>
      </c>
      <c r="D76" s="243">
        <f>+D67+D69</f>
        <v>1215208</v>
      </c>
      <c r="E76" s="243">
        <f t="shared" si="8"/>
        <v>144917</v>
      </c>
      <c r="F76" s="244">
        <f t="shared" si="9"/>
        <v>0.13539962496180946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31243</v>
      </c>
      <c r="D79" s="237">
        <v>196098</v>
      </c>
      <c r="E79" s="237">
        <f t="shared" ref="E79:E89" si="10">D79-C79</f>
        <v>164855</v>
      </c>
      <c r="F79" s="238">
        <f t="shared" ref="F79:F89" si="11">IF(C79=0,0,E79/C79)</f>
        <v>5.2765419453957687</v>
      </c>
    </row>
    <row r="80" spans="1:6" ht="20.25" customHeight="1" x14ac:dyDescent="0.3">
      <c r="A80" s="235">
        <v>2</v>
      </c>
      <c r="B80" s="236" t="s">
        <v>435</v>
      </c>
      <c r="C80" s="237">
        <v>9422</v>
      </c>
      <c r="D80" s="237">
        <v>57001</v>
      </c>
      <c r="E80" s="237">
        <f t="shared" si="10"/>
        <v>47579</v>
      </c>
      <c r="F80" s="238">
        <f t="shared" si="11"/>
        <v>5.0497771173848438</v>
      </c>
    </row>
    <row r="81" spans="1:6" ht="20.25" customHeight="1" x14ac:dyDescent="0.3">
      <c r="A81" s="235">
        <v>3</v>
      </c>
      <c r="B81" s="236" t="s">
        <v>436</v>
      </c>
      <c r="C81" s="237">
        <v>30093</v>
      </c>
      <c r="D81" s="237">
        <v>79653</v>
      </c>
      <c r="E81" s="237">
        <f t="shared" si="10"/>
        <v>49560</v>
      </c>
      <c r="F81" s="238">
        <f t="shared" si="11"/>
        <v>1.6468946266573621</v>
      </c>
    </row>
    <row r="82" spans="1:6" ht="20.25" customHeight="1" x14ac:dyDescent="0.3">
      <c r="A82" s="235">
        <v>4</v>
      </c>
      <c r="B82" s="236" t="s">
        <v>437</v>
      </c>
      <c r="C82" s="237">
        <v>5345</v>
      </c>
      <c r="D82" s="237">
        <v>17186</v>
      </c>
      <c r="E82" s="237">
        <f t="shared" si="10"/>
        <v>11841</v>
      </c>
      <c r="F82" s="238">
        <f t="shared" si="11"/>
        <v>2.2153414405986904</v>
      </c>
    </row>
    <row r="83" spans="1:6" ht="20.25" customHeight="1" x14ac:dyDescent="0.3">
      <c r="A83" s="235">
        <v>5</v>
      </c>
      <c r="B83" s="236" t="s">
        <v>373</v>
      </c>
      <c r="C83" s="239">
        <v>2</v>
      </c>
      <c r="D83" s="239">
        <v>5</v>
      </c>
      <c r="E83" s="239">
        <f t="shared" si="10"/>
        <v>3</v>
      </c>
      <c r="F83" s="238">
        <f t="shared" si="11"/>
        <v>1.5</v>
      </c>
    </row>
    <row r="84" spans="1:6" ht="20.25" customHeight="1" x14ac:dyDescent="0.3">
      <c r="A84" s="235">
        <v>6</v>
      </c>
      <c r="B84" s="236" t="s">
        <v>372</v>
      </c>
      <c r="C84" s="239">
        <v>5</v>
      </c>
      <c r="D84" s="239">
        <v>30</v>
      </c>
      <c r="E84" s="239">
        <f t="shared" si="10"/>
        <v>25</v>
      </c>
      <c r="F84" s="238">
        <f t="shared" si="11"/>
        <v>5</v>
      </c>
    </row>
    <row r="85" spans="1:6" ht="20.25" customHeight="1" x14ac:dyDescent="0.3">
      <c r="A85" s="235">
        <v>7</v>
      </c>
      <c r="B85" s="236" t="s">
        <v>438</v>
      </c>
      <c r="C85" s="239">
        <v>17</v>
      </c>
      <c r="D85" s="239">
        <v>18</v>
      </c>
      <c r="E85" s="239">
        <f t="shared" si="10"/>
        <v>1</v>
      </c>
      <c r="F85" s="238">
        <f t="shared" si="11"/>
        <v>5.8823529411764705E-2</v>
      </c>
    </row>
    <row r="86" spans="1:6" ht="20.25" customHeight="1" x14ac:dyDescent="0.3">
      <c r="A86" s="235">
        <v>8</v>
      </c>
      <c r="B86" s="236" t="s">
        <v>439</v>
      </c>
      <c r="C86" s="239">
        <v>5</v>
      </c>
      <c r="D86" s="239">
        <v>7</v>
      </c>
      <c r="E86" s="239">
        <f t="shared" si="10"/>
        <v>2</v>
      </c>
      <c r="F86" s="238">
        <f t="shared" si="11"/>
        <v>0.4</v>
      </c>
    </row>
    <row r="87" spans="1:6" ht="20.25" customHeight="1" x14ac:dyDescent="0.3">
      <c r="A87" s="235">
        <v>9</v>
      </c>
      <c r="B87" s="236" t="s">
        <v>440</v>
      </c>
      <c r="C87" s="239">
        <v>1</v>
      </c>
      <c r="D87" s="239">
        <v>4</v>
      </c>
      <c r="E87" s="239">
        <f t="shared" si="10"/>
        <v>3</v>
      </c>
      <c r="F87" s="238">
        <f t="shared" si="11"/>
        <v>3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61336</v>
      </c>
      <c r="D88" s="243">
        <f>+D79+D81</f>
        <v>275751</v>
      </c>
      <c r="E88" s="243">
        <f t="shared" si="10"/>
        <v>214415</v>
      </c>
      <c r="F88" s="244">
        <f t="shared" si="11"/>
        <v>3.4957447502282508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14767</v>
      </c>
      <c r="D89" s="243">
        <f>+D80+D82</f>
        <v>74187</v>
      </c>
      <c r="E89" s="243">
        <f t="shared" si="10"/>
        <v>59420</v>
      </c>
      <c r="F89" s="244">
        <f t="shared" si="11"/>
        <v>4.023836933703528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623888</v>
      </c>
      <c r="D92" s="237">
        <v>12067454</v>
      </c>
      <c r="E92" s="237">
        <f t="shared" ref="E92:E102" si="12">D92-C92</f>
        <v>11443566</v>
      </c>
      <c r="F92" s="238">
        <f t="shared" ref="F92:F102" si="13">IF(C92=0,0,E92/C92)</f>
        <v>18.342340291847254</v>
      </c>
    </row>
    <row r="93" spans="1:6" ht="20.25" customHeight="1" x14ac:dyDescent="0.3">
      <c r="A93" s="235">
        <v>2</v>
      </c>
      <c r="B93" s="236" t="s">
        <v>435</v>
      </c>
      <c r="C93" s="237">
        <v>210599</v>
      </c>
      <c r="D93" s="237">
        <v>3429275</v>
      </c>
      <c r="E93" s="237">
        <f t="shared" si="12"/>
        <v>3218676</v>
      </c>
      <c r="F93" s="238">
        <f t="shared" si="13"/>
        <v>15.283434394275377</v>
      </c>
    </row>
    <row r="94" spans="1:6" ht="20.25" customHeight="1" x14ac:dyDescent="0.3">
      <c r="A94" s="235">
        <v>3</v>
      </c>
      <c r="B94" s="236" t="s">
        <v>436</v>
      </c>
      <c r="C94" s="237">
        <v>43843</v>
      </c>
      <c r="D94" s="237">
        <v>5404612</v>
      </c>
      <c r="E94" s="237">
        <f t="shared" si="12"/>
        <v>5360769</v>
      </c>
      <c r="F94" s="238">
        <f t="shared" si="13"/>
        <v>122.27194763132086</v>
      </c>
    </row>
    <row r="95" spans="1:6" ht="20.25" customHeight="1" x14ac:dyDescent="0.3">
      <c r="A95" s="235">
        <v>4</v>
      </c>
      <c r="B95" s="236" t="s">
        <v>437</v>
      </c>
      <c r="C95" s="237">
        <v>9312</v>
      </c>
      <c r="D95" s="237">
        <v>1300609</v>
      </c>
      <c r="E95" s="237">
        <f t="shared" si="12"/>
        <v>1291297</v>
      </c>
      <c r="F95" s="238">
        <f t="shared" si="13"/>
        <v>138.67021048109964</v>
      </c>
    </row>
    <row r="96" spans="1:6" ht="20.25" customHeight="1" x14ac:dyDescent="0.3">
      <c r="A96" s="235">
        <v>5</v>
      </c>
      <c r="B96" s="236" t="s">
        <v>373</v>
      </c>
      <c r="C96" s="239">
        <v>5</v>
      </c>
      <c r="D96" s="239">
        <v>271</v>
      </c>
      <c r="E96" s="239">
        <f t="shared" si="12"/>
        <v>266</v>
      </c>
      <c r="F96" s="238">
        <f t="shared" si="13"/>
        <v>53.2</v>
      </c>
    </row>
    <row r="97" spans="1:6" ht="20.25" customHeight="1" x14ac:dyDescent="0.3">
      <c r="A97" s="235">
        <v>6</v>
      </c>
      <c r="B97" s="236" t="s">
        <v>372</v>
      </c>
      <c r="C97" s="239">
        <v>79</v>
      </c>
      <c r="D97" s="239">
        <v>1900</v>
      </c>
      <c r="E97" s="239">
        <f t="shared" si="12"/>
        <v>1821</v>
      </c>
      <c r="F97" s="238">
        <f t="shared" si="13"/>
        <v>23.050632911392405</v>
      </c>
    </row>
    <row r="98" spans="1:6" ht="20.25" customHeight="1" x14ac:dyDescent="0.3">
      <c r="A98" s="235">
        <v>7</v>
      </c>
      <c r="B98" s="236" t="s">
        <v>438</v>
      </c>
      <c r="C98" s="239">
        <v>25</v>
      </c>
      <c r="D98" s="239">
        <v>2679</v>
      </c>
      <c r="E98" s="239">
        <f t="shared" si="12"/>
        <v>2654</v>
      </c>
      <c r="F98" s="238">
        <f t="shared" si="13"/>
        <v>106.16</v>
      </c>
    </row>
    <row r="99" spans="1:6" ht="20.25" customHeight="1" x14ac:dyDescent="0.3">
      <c r="A99" s="235">
        <v>8</v>
      </c>
      <c r="B99" s="236" t="s">
        <v>439</v>
      </c>
      <c r="C99" s="239">
        <v>7</v>
      </c>
      <c r="D99" s="239">
        <v>287</v>
      </c>
      <c r="E99" s="239">
        <f t="shared" si="12"/>
        <v>280</v>
      </c>
      <c r="F99" s="238">
        <f t="shared" si="13"/>
        <v>40</v>
      </c>
    </row>
    <row r="100" spans="1:6" ht="20.25" customHeight="1" x14ac:dyDescent="0.3">
      <c r="A100" s="235">
        <v>9</v>
      </c>
      <c r="B100" s="236" t="s">
        <v>440</v>
      </c>
      <c r="C100" s="239">
        <v>4</v>
      </c>
      <c r="D100" s="239">
        <v>226</v>
      </c>
      <c r="E100" s="239">
        <f t="shared" si="12"/>
        <v>222</v>
      </c>
      <c r="F100" s="238">
        <f t="shared" si="13"/>
        <v>55.5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667731</v>
      </c>
      <c r="D101" s="243">
        <f>+D92+D94</f>
        <v>17472066</v>
      </c>
      <c r="E101" s="243">
        <f t="shared" si="12"/>
        <v>16804335</v>
      </c>
      <c r="F101" s="244">
        <f t="shared" si="13"/>
        <v>25.16632446299483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219911</v>
      </c>
      <c r="D102" s="243">
        <f>+D93+D95</f>
        <v>4729884</v>
      </c>
      <c r="E102" s="243">
        <f t="shared" si="12"/>
        <v>4509973</v>
      </c>
      <c r="F102" s="244">
        <f t="shared" si="13"/>
        <v>20.508173761203395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119382</v>
      </c>
      <c r="D105" s="237">
        <v>23843</v>
      </c>
      <c r="E105" s="237">
        <f t="shared" ref="E105:E115" si="14">D105-C105</f>
        <v>-95539</v>
      </c>
      <c r="F105" s="238">
        <f t="shared" ref="F105:F115" si="15">IF(C105=0,0,E105/C105)</f>
        <v>-0.80027977417031049</v>
      </c>
    </row>
    <row r="106" spans="1:6" ht="20.25" customHeight="1" x14ac:dyDescent="0.3">
      <c r="A106" s="235">
        <v>2</v>
      </c>
      <c r="B106" s="236" t="s">
        <v>435</v>
      </c>
      <c r="C106" s="237">
        <v>107443</v>
      </c>
      <c r="D106" s="237">
        <v>21459</v>
      </c>
      <c r="E106" s="237">
        <f t="shared" si="14"/>
        <v>-85984</v>
      </c>
      <c r="F106" s="238">
        <f t="shared" si="15"/>
        <v>-0.80027549491358208</v>
      </c>
    </row>
    <row r="107" spans="1:6" ht="20.25" customHeight="1" x14ac:dyDescent="0.3">
      <c r="A107" s="235">
        <v>3</v>
      </c>
      <c r="B107" s="236" t="s">
        <v>436</v>
      </c>
      <c r="C107" s="237">
        <v>24613</v>
      </c>
      <c r="D107" s="237">
        <v>20943</v>
      </c>
      <c r="E107" s="237">
        <f t="shared" si="14"/>
        <v>-3670</v>
      </c>
      <c r="F107" s="238">
        <f t="shared" si="15"/>
        <v>-0.14910819485637672</v>
      </c>
    </row>
    <row r="108" spans="1:6" ht="20.25" customHeight="1" x14ac:dyDescent="0.3">
      <c r="A108" s="235">
        <v>4</v>
      </c>
      <c r="B108" s="236" t="s">
        <v>437</v>
      </c>
      <c r="C108" s="237">
        <v>22241</v>
      </c>
      <c r="D108" s="237">
        <v>19389</v>
      </c>
      <c r="E108" s="237">
        <f t="shared" si="14"/>
        <v>-2852</v>
      </c>
      <c r="F108" s="238">
        <f t="shared" si="15"/>
        <v>-0.1282316442605998</v>
      </c>
    </row>
    <row r="109" spans="1:6" ht="20.25" customHeight="1" x14ac:dyDescent="0.3">
      <c r="A109" s="235">
        <v>5</v>
      </c>
      <c r="B109" s="236" t="s">
        <v>373</v>
      </c>
      <c r="C109" s="239">
        <v>2</v>
      </c>
      <c r="D109" s="239">
        <v>1</v>
      </c>
      <c r="E109" s="239">
        <f t="shared" si="14"/>
        <v>-1</v>
      </c>
      <c r="F109" s="238">
        <f t="shared" si="15"/>
        <v>-0.5</v>
      </c>
    </row>
    <row r="110" spans="1:6" ht="20.25" customHeight="1" x14ac:dyDescent="0.3">
      <c r="A110" s="235">
        <v>6</v>
      </c>
      <c r="B110" s="236" t="s">
        <v>372</v>
      </c>
      <c r="C110" s="239">
        <v>29</v>
      </c>
      <c r="D110" s="239">
        <v>3</v>
      </c>
      <c r="E110" s="239">
        <f t="shared" si="14"/>
        <v>-26</v>
      </c>
      <c r="F110" s="238">
        <f t="shared" si="15"/>
        <v>-0.89655172413793105</v>
      </c>
    </row>
    <row r="111" spans="1:6" ht="20.25" customHeight="1" x14ac:dyDescent="0.3">
      <c r="A111" s="235">
        <v>7</v>
      </c>
      <c r="B111" s="236" t="s">
        <v>438</v>
      </c>
      <c r="C111" s="239">
        <v>15</v>
      </c>
      <c r="D111" s="239">
        <v>13</v>
      </c>
      <c r="E111" s="239">
        <f t="shared" si="14"/>
        <v>-2</v>
      </c>
      <c r="F111" s="238">
        <f t="shared" si="15"/>
        <v>-0.13333333333333333</v>
      </c>
    </row>
    <row r="112" spans="1:6" ht="20.25" customHeight="1" x14ac:dyDescent="0.3">
      <c r="A112" s="235">
        <v>8</v>
      </c>
      <c r="B112" s="236" t="s">
        <v>439</v>
      </c>
      <c r="C112" s="239">
        <v>4</v>
      </c>
      <c r="D112" s="239">
        <v>3</v>
      </c>
      <c r="E112" s="239">
        <f t="shared" si="14"/>
        <v>-1</v>
      </c>
      <c r="F112" s="238">
        <f t="shared" si="15"/>
        <v>-0.25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1</v>
      </c>
      <c r="E113" s="239">
        <f t="shared" si="14"/>
        <v>1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143995</v>
      </c>
      <c r="D114" s="243">
        <f>+D105+D107</f>
        <v>44786</v>
      </c>
      <c r="E114" s="243">
        <f t="shared" si="14"/>
        <v>-99209</v>
      </c>
      <c r="F114" s="244">
        <f t="shared" si="15"/>
        <v>-0.68897531164276538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129684</v>
      </c>
      <c r="D115" s="243">
        <f>+D106+D108</f>
        <v>40848</v>
      </c>
      <c r="E115" s="243">
        <f t="shared" si="14"/>
        <v>-88836</v>
      </c>
      <c r="F115" s="244">
        <f t="shared" si="15"/>
        <v>-0.68501896918663829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154116</v>
      </c>
      <c r="D118" s="237">
        <v>18723</v>
      </c>
      <c r="E118" s="237">
        <f t="shared" ref="E118:E128" si="16">D118-C118</f>
        <v>-135393</v>
      </c>
      <c r="F118" s="238">
        <f t="shared" ref="F118:F128" si="17">IF(C118=0,0,E118/C118)</f>
        <v>-0.87851358716810712</v>
      </c>
    </row>
    <row r="119" spans="1:6" ht="20.25" customHeight="1" x14ac:dyDescent="0.3">
      <c r="A119" s="235">
        <v>2</v>
      </c>
      <c r="B119" s="236" t="s">
        <v>435</v>
      </c>
      <c r="C119" s="237">
        <v>64173</v>
      </c>
      <c r="D119" s="237">
        <v>6024</v>
      </c>
      <c r="E119" s="237">
        <f t="shared" si="16"/>
        <v>-58149</v>
      </c>
      <c r="F119" s="238">
        <f t="shared" si="17"/>
        <v>-0.90612874573418722</v>
      </c>
    </row>
    <row r="120" spans="1:6" ht="20.25" customHeight="1" x14ac:dyDescent="0.3">
      <c r="A120" s="235">
        <v>3</v>
      </c>
      <c r="B120" s="236" t="s">
        <v>436</v>
      </c>
      <c r="C120" s="237">
        <v>306859</v>
      </c>
      <c r="D120" s="237">
        <v>69088</v>
      </c>
      <c r="E120" s="237">
        <f t="shared" si="16"/>
        <v>-237771</v>
      </c>
      <c r="F120" s="238">
        <f t="shared" si="17"/>
        <v>-0.77485424901990818</v>
      </c>
    </row>
    <row r="121" spans="1:6" ht="20.25" customHeight="1" x14ac:dyDescent="0.3">
      <c r="A121" s="235">
        <v>4</v>
      </c>
      <c r="B121" s="236" t="s">
        <v>437</v>
      </c>
      <c r="C121" s="237">
        <v>71233</v>
      </c>
      <c r="D121" s="237">
        <v>17112</v>
      </c>
      <c r="E121" s="237">
        <f t="shared" si="16"/>
        <v>-54121</v>
      </c>
      <c r="F121" s="238">
        <f t="shared" si="17"/>
        <v>-0.75977426192916209</v>
      </c>
    </row>
    <row r="122" spans="1:6" ht="20.25" customHeight="1" x14ac:dyDescent="0.3">
      <c r="A122" s="235">
        <v>5</v>
      </c>
      <c r="B122" s="236" t="s">
        <v>373</v>
      </c>
      <c r="C122" s="239">
        <v>7</v>
      </c>
      <c r="D122" s="239">
        <v>1</v>
      </c>
      <c r="E122" s="239">
        <f t="shared" si="16"/>
        <v>-6</v>
      </c>
      <c r="F122" s="238">
        <f t="shared" si="17"/>
        <v>-0.8571428571428571</v>
      </c>
    </row>
    <row r="123" spans="1:6" ht="20.25" customHeight="1" x14ac:dyDescent="0.3">
      <c r="A123" s="235">
        <v>6</v>
      </c>
      <c r="B123" s="236" t="s">
        <v>372</v>
      </c>
      <c r="C123" s="239">
        <v>21</v>
      </c>
      <c r="D123" s="239">
        <v>3</v>
      </c>
      <c r="E123" s="239">
        <f t="shared" si="16"/>
        <v>-18</v>
      </c>
      <c r="F123" s="238">
        <f t="shared" si="17"/>
        <v>-0.8571428571428571</v>
      </c>
    </row>
    <row r="124" spans="1:6" ht="20.25" customHeight="1" x14ac:dyDescent="0.3">
      <c r="A124" s="235">
        <v>7</v>
      </c>
      <c r="B124" s="236" t="s">
        <v>438</v>
      </c>
      <c r="C124" s="239">
        <v>87</v>
      </c>
      <c r="D124" s="239">
        <v>189</v>
      </c>
      <c r="E124" s="239">
        <f t="shared" si="16"/>
        <v>102</v>
      </c>
      <c r="F124" s="238">
        <f t="shared" si="17"/>
        <v>1.1724137931034482</v>
      </c>
    </row>
    <row r="125" spans="1:6" ht="20.25" customHeight="1" x14ac:dyDescent="0.3">
      <c r="A125" s="235">
        <v>8</v>
      </c>
      <c r="B125" s="236" t="s">
        <v>439</v>
      </c>
      <c r="C125" s="239">
        <v>16</v>
      </c>
      <c r="D125" s="239">
        <v>23</v>
      </c>
      <c r="E125" s="239">
        <f t="shared" si="16"/>
        <v>7</v>
      </c>
      <c r="F125" s="238">
        <f t="shared" si="17"/>
        <v>0.4375</v>
      </c>
    </row>
    <row r="126" spans="1:6" ht="20.25" customHeight="1" x14ac:dyDescent="0.3">
      <c r="A126" s="235">
        <v>9</v>
      </c>
      <c r="B126" s="236" t="s">
        <v>440</v>
      </c>
      <c r="C126" s="239">
        <v>5</v>
      </c>
      <c r="D126" s="239">
        <v>14</v>
      </c>
      <c r="E126" s="239">
        <f t="shared" si="16"/>
        <v>9</v>
      </c>
      <c r="F126" s="238">
        <f t="shared" si="17"/>
        <v>1.8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460975</v>
      </c>
      <c r="D127" s="243">
        <f>+D118+D120</f>
        <v>87811</v>
      </c>
      <c r="E127" s="243">
        <f t="shared" si="16"/>
        <v>-373164</v>
      </c>
      <c r="F127" s="244">
        <f t="shared" si="17"/>
        <v>-0.80951027712999624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135406</v>
      </c>
      <c r="D128" s="243">
        <f>+D119+D121</f>
        <v>23136</v>
      </c>
      <c r="E128" s="243">
        <f t="shared" si="16"/>
        <v>-112270</v>
      </c>
      <c r="F128" s="244">
        <f t="shared" si="17"/>
        <v>-0.82913607964196567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160557</v>
      </c>
      <c r="D131" s="237">
        <v>132482</v>
      </c>
      <c r="E131" s="237">
        <f t="shared" ref="E131:E141" si="18">D131-C131</f>
        <v>-28075</v>
      </c>
      <c r="F131" s="238">
        <f t="shared" ref="F131:F141" si="19">IF(C131=0,0,E131/C131)</f>
        <v>-0.17486001856038666</v>
      </c>
    </row>
    <row r="132" spans="1:6" ht="20.25" customHeight="1" x14ac:dyDescent="0.3">
      <c r="A132" s="235">
        <v>2</v>
      </c>
      <c r="B132" s="236" t="s">
        <v>435</v>
      </c>
      <c r="C132" s="237">
        <v>40459</v>
      </c>
      <c r="D132" s="237">
        <v>51975</v>
      </c>
      <c r="E132" s="237">
        <f t="shared" si="18"/>
        <v>11516</v>
      </c>
      <c r="F132" s="238">
        <f t="shared" si="19"/>
        <v>0.28463382683704491</v>
      </c>
    </row>
    <row r="133" spans="1:6" ht="20.25" customHeight="1" x14ac:dyDescent="0.3">
      <c r="A133" s="235">
        <v>3</v>
      </c>
      <c r="B133" s="236" t="s">
        <v>436</v>
      </c>
      <c r="C133" s="237">
        <v>40425</v>
      </c>
      <c r="D133" s="237">
        <v>63960</v>
      </c>
      <c r="E133" s="237">
        <f t="shared" si="18"/>
        <v>23535</v>
      </c>
      <c r="F133" s="238">
        <f t="shared" si="19"/>
        <v>0.58218923933209643</v>
      </c>
    </row>
    <row r="134" spans="1:6" ht="20.25" customHeight="1" x14ac:dyDescent="0.3">
      <c r="A134" s="235">
        <v>4</v>
      </c>
      <c r="B134" s="236" t="s">
        <v>437</v>
      </c>
      <c r="C134" s="237">
        <v>10846</v>
      </c>
      <c r="D134" s="237">
        <v>12454</v>
      </c>
      <c r="E134" s="237">
        <f t="shared" si="18"/>
        <v>1608</v>
      </c>
      <c r="F134" s="238">
        <f t="shared" si="19"/>
        <v>0.14825742209109349</v>
      </c>
    </row>
    <row r="135" spans="1:6" ht="20.25" customHeight="1" x14ac:dyDescent="0.3">
      <c r="A135" s="235">
        <v>5</v>
      </c>
      <c r="B135" s="236" t="s">
        <v>373</v>
      </c>
      <c r="C135" s="239">
        <v>5</v>
      </c>
      <c r="D135" s="239">
        <v>7</v>
      </c>
      <c r="E135" s="239">
        <f t="shared" si="18"/>
        <v>2</v>
      </c>
      <c r="F135" s="238">
        <f t="shared" si="19"/>
        <v>0.4</v>
      </c>
    </row>
    <row r="136" spans="1:6" ht="20.25" customHeight="1" x14ac:dyDescent="0.3">
      <c r="A136" s="235">
        <v>6</v>
      </c>
      <c r="B136" s="236" t="s">
        <v>372</v>
      </c>
      <c r="C136" s="239">
        <v>30</v>
      </c>
      <c r="D136" s="239">
        <v>20</v>
      </c>
      <c r="E136" s="239">
        <f t="shared" si="18"/>
        <v>-10</v>
      </c>
      <c r="F136" s="238">
        <f t="shared" si="19"/>
        <v>-0.33333333333333331</v>
      </c>
    </row>
    <row r="137" spans="1:6" ht="20.25" customHeight="1" x14ac:dyDescent="0.3">
      <c r="A137" s="235">
        <v>7</v>
      </c>
      <c r="B137" s="236" t="s">
        <v>438</v>
      </c>
      <c r="C137" s="239">
        <v>8</v>
      </c>
      <c r="D137" s="239">
        <v>20</v>
      </c>
      <c r="E137" s="239">
        <f t="shared" si="18"/>
        <v>12</v>
      </c>
      <c r="F137" s="238">
        <f t="shared" si="19"/>
        <v>1.5</v>
      </c>
    </row>
    <row r="138" spans="1:6" ht="20.25" customHeight="1" x14ac:dyDescent="0.3">
      <c r="A138" s="235">
        <v>8</v>
      </c>
      <c r="B138" s="236" t="s">
        <v>439</v>
      </c>
      <c r="C138" s="239">
        <v>6</v>
      </c>
      <c r="D138" s="239">
        <v>12</v>
      </c>
      <c r="E138" s="239">
        <f t="shared" si="18"/>
        <v>6</v>
      </c>
      <c r="F138" s="238">
        <f t="shared" si="19"/>
        <v>1</v>
      </c>
    </row>
    <row r="139" spans="1:6" ht="20.25" customHeight="1" x14ac:dyDescent="0.3">
      <c r="A139" s="235">
        <v>9</v>
      </c>
      <c r="B139" s="236" t="s">
        <v>440</v>
      </c>
      <c r="C139" s="239">
        <v>6</v>
      </c>
      <c r="D139" s="239">
        <v>7</v>
      </c>
      <c r="E139" s="239">
        <f t="shared" si="18"/>
        <v>1</v>
      </c>
      <c r="F139" s="238">
        <f t="shared" si="19"/>
        <v>0.16666666666666666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200982</v>
      </c>
      <c r="D140" s="243">
        <f>+D131+D133</f>
        <v>196442</v>
      </c>
      <c r="E140" s="243">
        <f t="shared" si="18"/>
        <v>-4540</v>
      </c>
      <c r="F140" s="244">
        <f t="shared" si="19"/>
        <v>-2.2589087579982289E-2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51305</v>
      </c>
      <c r="D141" s="243">
        <f>+D132+D134</f>
        <v>64429</v>
      </c>
      <c r="E141" s="243">
        <f t="shared" si="18"/>
        <v>13124</v>
      </c>
      <c r="F141" s="244">
        <f t="shared" si="19"/>
        <v>0.25580352792125521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1332217</v>
      </c>
      <c r="D183" s="237">
        <v>1129816</v>
      </c>
      <c r="E183" s="237">
        <f t="shared" ref="E183:E193" si="26">D183-C183</f>
        <v>-202401</v>
      </c>
      <c r="F183" s="238">
        <f t="shared" ref="F183:F193" si="27">IF(C183=0,0,E183/C183)</f>
        <v>-0.15192795167754203</v>
      </c>
    </row>
    <row r="184" spans="1:6" ht="20.25" customHeight="1" x14ac:dyDescent="0.3">
      <c r="A184" s="235">
        <v>2</v>
      </c>
      <c r="B184" s="236" t="s">
        <v>435</v>
      </c>
      <c r="C184" s="237">
        <v>358452</v>
      </c>
      <c r="D184" s="237">
        <v>278117</v>
      </c>
      <c r="E184" s="237">
        <f t="shared" si="26"/>
        <v>-80335</v>
      </c>
      <c r="F184" s="238">
        <f t="shared" si="27"/>
        <v>-0.22411647863591219</v>
      </c>
    </row>
    <row r="185" spans="1:6" ht="20.25" customHeight="1" x14ac:dyDescent="0.3">
      <c r="A185" s="235">
        <v>3</v>
      </c>
      <c r="B185" s="236" t="s">
        <v>436</v>
      </c>
      <c r="C185" s="237">
        <v>487889</v>
      </c>
      <c r="D185" s="237">
        <v>206321</v>
      </c>
      <c r="E185" s="237">
        <f t="shared" si="26"/>
        <v>-281568</v>
      </c>
      <c r="F185" s="238">
        <f t="shared" si="27"/>
        <v>-0.57711487653954074</v>
      </c>
    </row>
    <row r="186" spans="1:6" ht="20.25" customHeight="1" x14ac:dyDescent="0.3">
      <c r="A186" s="235">
        <v>4</v>
      </c>
      <c r="B186" s="236" t="s">
        <v>437</v>
      </c>
      <c r="C186" s="237">
        <v>140352</v>
      </c>
      <c r="D186" s="237">
        <v>46942</v>
      </c>
      <c r="E186" s="237">
        <f t="shared" si="26"/>
        <v>-93410</v>
      </c>
      <c r="F186" s="238">
        <f t="shared" si="27"/>
        <v>-0.6655409256725946</v>
      </c>
    </row>
    <row r="187" spans="1:6" ht="20.25" customHeight="1" x14ac:dyDescent="0.3">
      <c r="A187" s="235">
        <v>5</v>
      </c>
      <c r="B187" s="236" t="s">
        <v>373</v>
      </c>
      <c r="C187" s="239">
        <v>36</v>
      </c>
      <c r="D187" s="239">
        <v>27</v>
      </c>
      <c r="E187" s="239">
        <f t="shared" si="26"/>
        <v>-9</v>
      </c>
      <c r="F187" s="238">
        <f t="shared" si="27"/>
        <v>-0.25</v>
      </c>
    </row>
    <row r="188" spans="1:6" ht="20.25" customHeight="1" x14ac:dyDescent="0.3">
      <c r="A188" s="235">
        <v>6</v>
      </c>
      <c r="B188" s="236" t="s">
        <v>372</v>
      </c>
      <c r="C188" s="239">
        <v>239</v>
      </c>
      <c r="D188" s="239">
        <v>176</v>
      </c>
      <c r="E188" s="239">
        <f t="shared" si="26"/>
        <v>-63</v>
      </c>
      <c r="F188" s="238">
        <f t="shared" si="27"/>
        <v>-0.26359832635983266</v>
      </c>
    </row>
    <row r="189" spans="1:6" ht="20.25" customHeight="1" x14ac:dyDescent="0.3">
      <c r="A189" s="235">
        <v>7</v>
      </c>
      <c r="B189" s="236" t="s">
        <v>438</v>
      </c>
      <c r="C189" s="239">
        <v>178</v>
      </c>
      <c r="D189" s="239">
        <v>89</v>
      </c>
      <c r="E189" s="239">
        <f t="shared" si="26"/>
        <v>-89</v>
      </c>
      <c r="F189" s="238">
        <f t="shared" si="27"/>
        <v>-0.5</v>
      </c>
    </row>
    <row r="190" spans="1:6" ht="20.25" customHeight="1" x14ac:dyDescent="0.3">
      <c r="A190" s="235">
        <v>8</v>
      </c>
      <c r="B190" s="236" t="s">
        <v>439</v>
      </c>
      <c r="C190" s="239">
        <v>27</v>
      </c>
      <c r="D190" s="239">
        <v>35</v>
      </c>
      <c r="E190" s="239">
        <f t="shared" si="26"/>
        <v>8</v>
      </c>
      <c r="F190" s="238">
        <f t="shared" si="27"/>
        <v>0.29629629629629628</v>
      </c>
    </row>
    <row r="191" spans="1:6" ht="20.25" customHeight="1" x14ac:dyDescent="0.3">
      <c r="A191" s="235">
        <v>9</v>
      </c>
      <c r="B191" s="236" t="s">
        <v>440</v>
      </c>
      <c r="C191" s="239">
        <v>34</v>
      </c>
      <c r="D191" s="239">
        <v>25</v>
      </c>
      <c r="E191" s="239">
        <f t="shared" si="26"/>
        <v>-9</v>
      </c>
      <c r="F191" s="238">
        <f t="shared" si="27"/>
        <v>-0.26470588235294118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1820106</v>
      </c>
      <c r="D192" s="243">
        <f>+D183+D185</f>
        <v>1336137</v>
      </c>
      <c r="E192" s="243">
        <f t="shared" si="26"/>
        <v>-483969</v>
      </c>
      <c r="F192" s="244">
        <f t="shared" si="27"/>
        <v>-0.26590154639345182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498804</v>
      </c>
      <c r="D193" s="243">
        <f>+D184+D186</f>
        <v>325059</v>
      </c>
      <c r="E193" s="243">
        <f t="shared" si="26"/>
        <v>-173745</v>
      </c>
      <c r="F193" s="244">
        <f t="shared" si="27"/>
        <v>-0.34832318906825127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19060417</v>
      </c>
      <c r="D198" s="243">
        <f t="shared" si="28"/>
        <v>23049022</v>
      </c>
      <c r="E198" s="243">
        <f t="shared" ref="E198:E208" si="29">D198-C198</f>
        <v>3988605</v>
      </c>
      <c r="F198" s="251">
        <f t="shared" ref="F198:F208" si="30">IF(C198=0,0,E198/C198)</f>
        <v>0.2092611614950502</v>
      </c>
    </row>
    <row r="199" spans="1:9" ht="20.25" customHeight="1" x14ac:dyDescent="0.3">
      <c r="A199" s="249"/>
      <c r="B199" s="250" t="s">
        <v>461</v>
      </c>
      <c r="C199" s="243">
        <f t="shared" si="28"/>
        <v>6065853</v>
      </c>
      <c r="D199" s="243">
        <f t="shared" si="28"/>
        <v>6306677</v>
      </c>
      <c r="E199" s="243">
        <f t="shared" si="29"/>
        <v>240824</v>
      </c>
      <c r="F199" s="251">
        <f t="shared" si="30"/>
        <v>3.9701588548222318E-2</v>
      </c>
    </row>
    <row r="200" spans="1:9" ht="20.25" customHeight="1" x14ac:dyDescent="0.3">
      <c r="A200" s="249"/>
      <c r="B200" s="250" t="s">
        <v>462</v>
      </c>
      <c r="C200" s="243">
        <f t="shared" si="28"/>
        <v>8303929</v>
      </c>
      <c r="D200" s="243">
        <f t="shared" si="28"/>
        <v>10105935</v>
      </c>
      <c r="E200" s="243">
        <f t="shared" si="29"/>
        <v>1802006</v>
      </c>
      <c r="F200" s="251">
        <f t="shared" si="30"/>
        <v>0.21700643153379562</v>
      </c>
    </row>
    <row r="201" spans="1:9" ht="20.25" customHeight="1" x14ac:dyDescent="0.3">
      <c r="A201" s="249"/>
      <c r="B201" s="250" t="s">
        <v>463</v>
      </c>
      <c r="C201" s="243">
        <f t="shared" si="28"/>
        <v>1800247</v>
      </c>
      <c r="D201" s="243">
        <f t="shared" si="28"/>
        <v>2289821</v>
      </c>
      <c r="E201" s="243">
        <f t="shared" si="29"/>
        <v>489574</v>
      </c>
      <c r="F201" s="251">
        <f t="shared" si="30"/>
        <v>0.2719482382139784</v>
      </c>
    </row>
    <row r="202" spans="1:9" ht="20.25" customHeight="1" x14ac:dyDescent="0.3">
      <c r="A202" s="249"/>
      <c r="B202" s="250" t="s">
        <v>464</v>
      </c>
      <c r="C202" s="252">
        <f t="shared" si="28"/>
        <v>476</v>
      </c>
      <c r="D202" s="252">
        <f t="shared" si="28"/>
        <v>524</v>
      </c>
      <c r="E202" s="252">
        <f t="shared" si="29"/>
        <v>48</v>
      </c>
      <c r="F202" s="251">
        <f t="shared" si="30"/>
        <v>0.10084033613445378</v>
      </c>
    </row>
    <row r="203" spans="1:9" ht="20.25" customHeight="1" x14ac:dyDescent="0.3">
      <c r="A203" s="249"/>
      <c r="B203" s="250" t="s">
        <v>465</v>
      </c>
      <c r="C203" s="252">
        <f t="shared" si="28"/>
        <v>3105</v>
      </c>
      <c r="D203" s="252">
        <f t="shared" si="28"/>
        <v>3563</v>
      </c>
      <c r="E203" s="252">
        <f t="shared" si="29"/>
        <v>458</v>
      </c>
      <c r="F203" s="251">
        <f t="shared" si="30"/>
        <v>0.14750402576489532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3812</v>
      </c>
      <c r="D204" s="252">
        <f t="shared" si="28"/>
        <v>4947</v>
      </c>
      <c r="E204" s="252">
        <f t="shared" si="29"/>
        <v>1135</v>
      </c>
      <c r="F204" s="251">
        <f t="shared" si="30"/>
        <v>0.29774396642182582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568</v>
      </c>
      <c r="D205" s="252">
        <f t="shared" si="28"/>
        <v>617</v>
      </c>
      <c r="E205" s="252">
        <f t="shared" si="29"/>
        <v>49</v>
      </c>
      <c r="F205" s="251">
        <f t="shared" si="30"/>
        <v>8.6267605633802813E-2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367</v>
      </c>
      <c r="D206" s="252">
        <f t="shared" si="28"/>
        <v>442</v>
      </c>
      <c r="E206" s="252">
        <f t="shared" si="29"/>
        <v>75</v>
      </c>
      <c r="F206" s="251">
        <f t="shared" si="30"/>
        <v>0.20435967302452315</v>
      </c>
    </row>
    <row r="207" spans="1:9" ht="20.25" customHeight="1" x14ac:dyDescent="0.3">
      <c r="A207" s="249"/>
      <c r="B207" s="242" t="s">
        <v>469</v>
      </c>
      <c r="C207" s="243">
        <f>+C198+C200</f>
        <v>27364346</v>
      </c>
      <c r="D207" s="243">
        <f>+D198+D200</f>
        <v>33154957</v>
      </c>
      <c r="E207" s="243">
        <f t="shared" si="29"/>
        <v>5790611</v>
      </c>
      <c r="F207" s="251">
        <f t="shared" si="30"/>
        <v>0.21161152544994133</v>
      </c>
    </row>
    <row r="208" spans="1:9" ht="20.25" customHeight="1" x14ac:dyDescent="0.3">
      <c r="A208" s="249"/>
      <c r="B208" s="242" t="s">
        <v>470</v>
      </c>
      <c r="C208" s="243">
        <f>+C199+C201</f>
        <v>7866100</v>
      </c>
      <c r="D208" s="243">
        <f>+D199+D201</f>
        <v>8596498</v>
      </c>
      <c r="E208" s="243">
        <f t="shared" si="29"/>
        <v>730398</v>
      </c>
      <c r="F208" s="251">
        <f t="shared" si="30"/>
        <v>9.2853892017645337E-2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FILING&amp;RNORWALK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10477914</v>
      </c>
      <c r="D26" s="237">
        <v>14323370</v>
      </c>
      <c r="E26" s="237">
        <f t="shared" ref="E26:E36" si="2">D26-C26</f>
        <v>3845456</v>
      </c>
      <c r="F26" s="238">
        <f t="shared" ref="F26:F36" si="3">IF(C26=0,0,E26/C26)</f>
        <v>0.36700587540611612</v>
      </c>
    </row>
    <row r="27" spans="1:6" ht="20.25" customHeight="1" x14ac:dyDescent="0.3">
      <c r="A27" s="235">
        <v>2</v>
      </c>
      <c r="B27" s="236" t="s">
        <v>435</v>
      </c>
      <c r="C27" s="237">
        <v>2834169</v>
      </c>
      <c r="D27" s="237">
        <v>4067109</v>
      </c>
      <c r="E27" s="237">
        <f t="shared" si="2"/>
        <v>1232940</v>
      </c>
      <c r="F27" s="238">
        <f t="shared" si="3"/>
        <v>0.43502698674637963</v>
      </c>
    </row>
    <row r="28" spans="1:6" ht="20.25" customHeight="1" x14ac:dyDescent="0.3">
      <c r="A28" s="235">
        <v>3</v>
      </c>
      <c r="B28" s="236" t="s">
        <v>436</v>
      </c>
      <c r="C28" s="237">
        <v>12621462</v>
      </c>
      <c r="D28" s="237">
        <v>15463412</v>
      </c>
      <c r="E28" s="237">
        <f t="shared" si="2"/>
        <v>2841950</v>
      </c>
      <c r="F28" s="238">
        <f t="shared" si="3"/>
        <v>0.22516805105462426</v>
      </c>
    </row>
    <row r="29" spans="1:6" ht="20.25" customHeight="1" x14ac:dyDescent="0.3">
      <c r="A29" s="235">
        <v>4</v>
      </c>
      <c r="B29" s="236" t="s">
        <v>437</v>
      </c>
      <c r="C29" s="237">
        <v>3038423</v>
      </c>
      <c r="D29" s="237">
        <v>3520088</v>
      </c>
      <c r="E29" s="237">
        <f t="shared" si="2"/>
        <v>481665</v>
      </c>
      <c r="F29" s="238">
        <f t="shared" si="3"/>
        <v>0.15852466888250913</v>
      </c>
    </row>
    <row r="30" spans="1:6" ht="20.25" customHeight="1" x14ac:dyDescent="0.3">
      <c r="A30" s="235">
        <v>5</v>
      </c>
      <c r="B30" s="236" t="s">
        <v>373</v>
      </c>
      <c r="C30" s="239">
        <v>721</v>
      </c>
      <c r="D30" s="239">
        <v>819</v>
      </c>
      <c r="E30" s="239">
        <f t="shared" si="2"/>
        <v>98</v>
      </c>
      <c r="F30" s="238">
        <f t="shared" si="3"/>
        <v>0.13592233009708737</v>
      </c>
    </row>
    <row r="31" spans="1:6" ht="20.25" customHeight="1" x14ac:dyDescent="0.3">
      <c r="A31" s="235">
        <v>6</v>
      </c>
      <c r="B31" s="236" t="s">
        <v>372</v>
      </c>
      <c r="C31" s="239">
        <v>2065</v>
      </c>
      <c r="D31" s="239">
        <v>2509</v>
      </c>
      <c r="E31" s="239">
        <f t="shared" si="2"/>
        <v>444</v>
      </c>
      <c r="F31" s="238">
        <f t="shared" si="3"/>
        <v>0.21501210653753028</v>
      </c>
    </row>
    <row r="32" spans="1:6" ht="20.25" customHeight="1" x14ac:dyDescent="0.3">
      <c r="A32" s="235">
        <v>7</v>
      </c>
      <c r="B32" s="236" t="s">
        <v>438</v>
      </c>
      <c r="C32" s="239">
        <v>7512</v>
      </c>
      <c r="D32" s="239">
        <v>8851</v>
      </c>
      <c r="E32" s="239">
        <f t="shared" si="2"/>
        <v>1339</v>
      </c>
      <c r="F32" s="238">
        <f t="shared" si="3"/>
        <v>0.17824813631522896</v>
      </c>
    </row>
    <row r="33" spans="1:6" ht="20.25" customHeight="1" x14ac:dyDescent="0.3">
      <c r="A33" s="235">
        <v>8</v>
      </c>
      <c r="B33" s="236" t="s">
        <v>439</v>
      </c>
      <c r="C33" s="239">
        <v>3830</v>
      </c>
      <c r="D33" s="239">
        <v>3949</v>
      </c>
      <c r="E33" s="239">
        <f t="shared" si="2"/>
        <v>119</v>
      </c>
      <c r="F33" s="238">
        <f t="shared" si="3"/>
        <v>3.1070496083550912E-2</v>
      </c>
    </row>
    <row r="34" spans="1:6" ht="20.25" customHeight="1" x14ac:dyDescent="0.3">
      <c r="A34" s="235">
        <v>9</v>
      </c>
      <c r="B34" s="236" t="s">
        <v>440</v>
      </c>
      <c r="C34" s="239">
        <v>233</v>
      </c>
      <c r="D34" s="239">
        <v>262</v>
      </c>
      <c r="E34" s="239">
        <f t="shared" si="2"/>
        <v>29</v>
      </c>
      <c r="F34" s="238">
        <f t="shared" si="3"/>
        <v>0.12446351931330472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23099376</v>
      </c>
      <c r="D35" s="243">
        <f>+D26+D28</f>
        <v>29786782</v>
      </c>
      <c r="E35" s="243">
        <f t="shared" si="2"/>
        <v>6687406</v>
      </c>
      <c r="F35" s="244">
        <f t="shared" si="3"/>
        <v>0.28950591565763506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5872592</v>
      </c>
      <c r="D36" s="243">
        <f>+D27+D29</f>
        <v>7587197</v>
      </c>
      <c r="E36" s="243">
        <f t="shared" si="2"/>
        <v>1714605</v>
      </c>
      <c r="F36" s="244">
        <f t="shared" si="3"/>
        <v>0.29196732890689492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5127407</v>
      </c>
      <c r="D50" s="237">
        <v>5731727</v>
      </c>
      <c r="E50" s="237">
        <f t="shared" ref="E50:E60" si="6">D50-C50</f>
        <v>604320</v>
      </c>
      <c r="F50" s="238">
        <f t="shared" ref="F50:F60" si="7">IF(C50=0,0,E50/C50)</f>
        <v>0.11786074325677677</v>
      </c>
    </row>
    <row r="51" spans="1:6" ht="20.25" customHeight="1" x14ac:dyDescent="0.3">
      <c r="A51" s="235">
        <v>2</v>
      </c>
      <c r="B51" s="236" t="s">
        <v>435</v>
      </c>
      <c r="C51" s="237">
        <v>1175366</v>
      </c>
      <c r="D51" s="237">
        <v>567130</v>
      </c>
      <c r="E51" s="237">
        <f t="shared" si="6"/>
        <v>-608236</v>
      </c>
      <c r="F51" s="238">
        <f t="shared" si="7"/>
        <v>-0.51748646804484733</v>
      </c>
    </row>
    <row r="52" spans="1:6" ht="20.25" customHeight="1" x14ac:dyDescent="0.3">
      <c r="A52" s="235">
        <v>3</v>
      </c>
      <c r="B52" s="236" t="s">
        <v>436</v>
      </c>
      <c r="C52" s="237">
        <v>4535746</v>
      </c>
      <c r="D52" s="237">
        <v>7222119</v>
      </c>
      <c r="E52" s="237">
        <f t="shared" si="6"/>
        <v>2686373</v>
      </c>
      <c r="F52" s="238">
        <f t="shared" si="7"/>
        <v>0.59226707139244572</v>
      </c>
    </row>
    <row r="53" spans="1:6" ht="20.25" customHeight="1" x14ac:dyDescent="0.3">
      <c r="A53" s="235">
        <v>4</v>
      </c>
      <c r="B53" s="236" t="s">
        <v>437</v>
      </c>
      <c r="C53" s="237">
        <v>1326699</v>
      </c>
      <c r="D53" s="237">
        <v>2095618</v>
      </c>
      <c r="E53" s="237">
        <f t="shared" si="6"/>
        <v>768919</v>
      </c>
      <c r="F53" s="238">
        <f t="shared" si="7"/>
        <v>0.57957306065656189</v>
      </c>
    </row>
    <row r="54" spans="1:6" ht="20.25" customHeight="1" x14ac:dyDescent="0.3">
      <c r="A54" s="235">
        <v>5</v>
      </c>
      <c r="B54" s="236" t="s">
        <v>373</v>
      </c>
      <c r="C54" s="239">
        <v>204</v>
      </c>
      <c r="D54" s="239">
        <v>286</v>
      </c>
      <c r="E54" s="239">
        <f t="shared" si="6"/>
        <v>82</v>
      </c>
      <c r="F54" s="238">
        <f t="shared" si="7"/>
        <v>0.40196078431372551</v>
      </c>
    </row>
    <row r="55" spans="1:6" ht="20.25" customHeight="1" x14ac:dyDescent="0.3">
      <c r="A55" s="235">
        <v>6</v>
      </c>
      <c r="B55" s="236" t="s">
        <v>372</v>
      </c>
      <c r="C55" s="239">
        <v>875</v>
      </c>
      <c r="D55" s="239">
        <v>1011</v>
      </c>
      <c r="E55" s="239">
        <f t="shared" si="6"/>
        <v>136</v>
      </c>
      <c r="F55" s="238">
        <f t="shared" si="7"/>
        <v>0.15542857142857142</v>
      </c>
    </row>
    <row r="56" spans="1:6" ht="20.25" customHeight="1" x14ac:dyDescent="0.3">
      <c r="A56" s="235">
        <v>7</v>
      </c>
      <c r="B56" s="236" t="s">
        <v>438</v>
      </c>
      <c r="C56" s="239">
        <v>4240</v>
      </c>
      <c r="D56" s="239">
        <v>4968</v>
      </c>
      <c r="E56" s="239">
        <f t="shared" si="6"/>
        <v>728</v>
      </c>
      <c r="F56" s="238">
        <f t="shared" si="7"/>
        <v>0.17169811320754716</v>
      </c>
    </row>
    <row r="57" spans="1:6" ht="20.25" customHeight="1" x14ac:dyDescent="0.3">
      <c r="A57" s="235">
        <v>8</v>
      </c>
      <c r="B57" s="236" t="s">
        <v>439</v>
      </c>
      <c r="C57" s="239">
        <v>1166</v>
      </c>
      <c r="D57" s="239">
        <v>1364</v>
      </c>
      <c r="E57" s="239">
        <f t="shared" si="6"/>
        <v>198</v>
      </c>
      <c r="F57" s="238">
        <f t="shared" si="7"/>
        <v>0.16981132075471697</v>
      </c>
    </row>
    <row r="58" spans="1:6" ht="20.25" customHeight="1" x14ac:dyDescent="0.3">
      <c r="A58" s="235">
        <v>9</v>
      </c>
      <c r="B58" s="236" t="s">
        <v>440</v>
      </c>
      <c r="C58" s="239">
        <v>94</v>
      </c>
      <c r="D58" s="239">
        <v>110</v>
      </c>
      <c r="E58" s="239">
        <f t="shared" si="6"/>
        <v>16</v>
      </c>
      <c r="F58" s="238">
        <f t="shared" si="7"/>
        <v>0.1702127659574468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9663153</v>
      </c>
      <c r="D59" s="243">
        <f>+D50+D52</f>
        <v>12953846</v>
      </c>
      <c r="E59" s="243">
        <f t="shared" si="6"/>
        <v>3290693</v>
      </c>
      <c r="F59" s="244">
        <f t="shared" si="7"/>
        <v>0.34054029776823364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2502065</v>
      </c>
      <c r="D60" s="243">
        <f>+D51+D53</f>
        <v>2662748</v>
      </c>
      <c r="E60" s="243">
        <f t="shared" si="6"/>
        <v>160683</v>
      </c>
      <c r="F60" s="244">
        <f t="shared" si="7"/>
        <v>6.4220154152669892E-2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0</v>
      </c>
      <c r="D86" s="237">
        <v>0</v>
      </c>
      <c r="E86" s="237">
        <f t="shared" ref="E86:E96" si="12">D86-C86</f>
        <v>0</v>
      </c>
      <c r="F86" s="238">
        <f t="shared" ref="F86:F96" si="13">IF(C86=0,0,E86/C86)</f>
        <v>0</v>
      </c>
    </row>
    <row r="87" spans="1:6" ht="20.25" customHeight="1" x14ac:dyDescent="0.3">
      <c r="A87" s="235">
        <v>2</v>
      </c>
      <c r="B87" s="236" t="s">
        <v>435</v>
      </c>
      <c r="C87" s="237">
        <v>0</v>
      </c>
      <c r="D87" s="237">
        <v>0</v>
      </c>
      <c r="E87" s="237">
        <f t="shared" si="12"/>
        <v>0</v>
      </c>
      <c r="F87" s="238">
        <f t="shared" si="13"/>
        <v>0</v>
      </c>
    </row>
    <row r="88" spans="1:6" ht="20.25" customHeight="1" x14ac:dyDescent="0.3">
      <c r="A88" s="235">
        <v>3</v>
      </c>
      <c r="B88" s="236" t="s">
        <v>436</v>
      </c>
      <c r="C88" s="237">
        <v>0</v>
      </c>
      <c r="D88" s="237">
        <v>0</v>
      </c>
      <c r="E88" s="237">
        <f t="shared" si="12"/>
        <v>0</v>
      </c>
      <c r="F88" s="238">
        <f t="shared" si="13"/>
        <v>0</v>
      </c>
    </row>
    <row r="89" spans="1:6" ht="20.25" customHeight="1" x14ac:dyDescent="0.3">
      <c r="A89" s="235">
        <v>4</v>
      </c>
      <c r="B89" s="236" t="s">
        <v>437</v>
      </c>
      <c r="C89" s="237">
        <v>0</v>
      </c>
      <c r="D89" s="237">
        <v>0</v>
      </c>
      <c r="E89" s="237">
        <f t="shared" si="12"/>
        <v>0</v>
      </c>
      <c r="F89" s="238">
        <f t="shared" si="13"/>
        <v>0</v>
      </c>
    </row>
    <row r="90" spans="1:6" ht="20.25" customHeight="1" x14ac:dyDescent="0.3">
      <c r="A90" s="235">
        <v>5</v>
      </c>
      <c r="B90" s="236" t="s">
        <v>373</v>
      </c>
      <c r="C90" s="239">
        <v>0</v>
      </c>
      <c r="D90" s="239">
        <v>0</v>
      </c>
      <c r="E90" s="239">
        <f t="shared" si="12"/>
        <v>0</v>
      </c>
      <c r="F90" s="238">
        <f t="shared" si="13"/>
        <v>0</v>
      </c>
    </row>
    <row r="91" spans="1:6" ht="20.25" customHeight="1" x14ac:dyDescent="0.3">
      <c r="A91" s="235">
        <v>6</v>
      </c>
      <c r="B91" s="236" t="s">
        <v>372</v>
      </c>
      <c r="C91" s="239">
        <v>0</v>
      </c>
      <c r="D91" s="239">
        <v>0</v>
      </c>
      <c r="E91" s="239">
        <f t="shared" si="12"/>
        <v>0</v>
      </c>
      <c r="F91" s="238">
        <f t="shared" si="13"/>
        <v>0</v>
      </c>
    </row>
    <row r="92" spans="1:6" ht="20.25" customHeight="1" x14ac:dyDescent="0.3">
      <c r="A92" s="235">
        <v>7</v>
      </c>
      <c r="B92" s="236" t="s">
        <v>438</v>
      </c>
      <c r="C92" s="239">
        <v>0</v>
      </c>
      <c r="D92" s="239">
        <v>0</v>
      </c>
      <c r="E92" s="239">
        <f t="shared" si="12"/>
        <v>0</v>
      </c>
      <c r="F92" s="238">
        <f t="shared" si="13"/>
        <v>0</v>
      </c>
    </row>
    <row r="93" spans="1:6" ht="20.25" customHeight="1" x14ac:dyDescent="0.3">
      <c r="A93" s="235">
        <v>8</v>
      </c>
      <c r="B93" s="236" t="s">
        <v>439</v>
      </c>
      <c r="C93" s="239">
        <v>0</v>
      </c>
      <c r="D93" s="239">
        <v>0</v>
      </c>
      <c r="E93" s="239">
        <f t="shared" si="12"/>
        <v>0</v>
      </c>
      <c r="F93" s="238">
        <f t="shared" si="13"/>
        <v>0</v>
      </c>
    </row>
    <row r="94" spans="1:6" ht="20.25" customHeight="1" x14ac:dyDescent="0.3">
      <c r="A94" s="235">
        <v>9</v>
      </c>
      <c r="B94" s="236" t="s">
        <v>440</v>
      </c>
      <c r="C94" s="239">
        <v>0</v>
      </c>
      <c r="D94" s="239">
        <v>0</v>
      </c>
      <c r="E94" s="239">
        <f t="shared" si="12"/>
        <v>0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0</v>
      </c>
      <c r="D95" s="243">
        <f>+D86+D88</f>
        <v>0</v>
      </c>
      <c r="E95" s="243">
        <f t="shared" si="12"/>
        <v>0</v>
      </c>
      <c r="F95" s="244">
        <f t="shared" si="13"/>
        <v>0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0</v>
      </c>
      <c r="D96" s="243">
        <f>+D87+D89</f>
        <v>0</v>
      </c>
      <c r="E96" s="243">
        <f t="shared" si="12"/>
        <v>0</v>
      </c>
      <c r="F96" s="244">
        <f t="shared" si="13"/>
        <v>0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3221781</v>
      </c>
      <c r="D98" s="237">
        <v>3052045</v>
      </c>
      <c r="E98" s="237">
        <f t="shared" ref="E98:E108" si="14">D98-C98</f>
        <v>-169736</v>
      </c>
      <c r="F98" s="238">
        <f t="shared" ref="F98:F108" si="15">IF(C98=0,0,E98/C98)</f>
        <v>-5.2683903716608922E-2</v>
      </c>
    </row>
    <row r="99" spans="1:7" ht="20.25" customHeight="1" x14ac:dyDescent="0.3">
      <c r="A99" s="235">
        <v>2</v>
      </c>
      <c r="B99" s="236" t="s">
        <v>435</v>
      </c>
      <c r="C99" s="237">
        <v>892939</v>
      </c>
      <c r="D99" s="237">
        <v>881818</v>
      </c>
      <c r="E99" s="237">
        <f t="shared" si="14"/>
        <v>-11121</v>
      </c>
      <c r="F99" s="238">
        <f t="shared" si="15"/>
        <v>-1.2454378182608219E-2</v>
      </c>
    </row>
    <row r="100" spans="1:7" ht="20.25" customHeight="1" x14ac:dyDescent="0.3">
      <c r="A100" s="235">
        <v>3</v>
      </c>
      <c r="B100" s="236" t="s">
        <v>436</v>
      </c>
      <c r="C100" s="237">
        <v>3068328</v>
      </c>
      <c r="D100" s="237">
        <v>3601922</v>
      </c>
      <c r="E100" s="237">
        <f t="shared" si="14"/>
        <v>533594</v>
      </c>
      <c r="F100" s="238">
        <f t="shared" si="15"/>
        <v>0.17390383296701004</v>
      </c>
    </row>
    <row r="101" spans="1:7" ht="20.25" customHeight="1" x14ac:dyDescent="0.3">
      <c r="A101" s="235">
        <v>4</v>
      </c>
      <c r="B101" s="236" t="s">
        <v>437</v>
      </c>
      <c r="C101" s="237">
        <v>747047</v>
      </c>
      <c r="D101" s="237">
        <v>846538</v>
      </c>
      <c r="E101" s="237">
        <f t="shared" si="14"/>
        <v>99491</v>
      </c>
      <c r="F101" s="238">
        <f t="shared" si="15"/>
        <v>0.13317903692806476</v>
      </c>
    </row>
    <row r="102" spans="1:7" ht="20.25" customHeight="1" x14ac:dyDescent="0.3">
      <c r="A102" s="235">
        <v>5</v>
      </c>
      <c r="B102" s="236" t="s">
        <v>373</v>
      </c>
      <c r="C102" s="239">
        <v>229</v>
      </c>
      <c r="D102" s="239">
        <v>206</v>
      </c>
      <c r="E102" s="239">
        <f t="shared" si="14"/>
        <v>-23</v>
      </c>
      <c r="F102" s="238">
        <f t="shared" si="15"/>
        <v>-0.10043668122270742</v>
      </c>
    </row>
    <row r="103" spans="1:7" ht="20.25" customHeight="1" x14ac:dyDescent="0.3">
      <c r="A103" s="235">
        <v>6</v>
      </c>
      <c r="B103" s="236" t="s">
        <v>372</v>
      </c>
      <c r="C103" s="239">
        <v>660</v>
      </c>
      <c r="D103" s="239">
        <v>558</v>
      </c>
      <c r="E103" s="239">
        <f t="shared" si="14"/>
        <v>-102</v>
      </c>
      <c r="F103" s="238">
        <f t="shared" si="15"/>
        <v>-0.15454545454545454</v>
      </c>
    </row>
    <row r="104" spans="1:7" ht="20.25" customHeight="1" x14ac:dyDescent="0.3">
      <c r="A104" s="235">
        <v>7</v>
      </c>
      <c r="B104" s="236" t="s">
        <v>438</v>
      </c>
      <c r="C104" s="239">
        <v>1525</v>
      </c>
      <c r="D104" s="239">
        <v>1829</v>
      </c>
      <c r="E104" s="239">
        <f t="shared" si="14"/>
        <v>304</v>
      </c>
      <c r="F104" s="238">
        <f t="shared" si="15"/>
        <v>0.19934426229508198</v>
      </c>
    </row>
    <row r="105" spans="1:7" ht="20.25" customHeight="1" x14ac:dyDescent="0.3">
      <c r="A105" s="235">
        <v>8</v>
      </c>
      <c r="B105" s="236" t="s">
        <v>439</v>
      </c>
      <c r="C105" s="239">
        <v>943</v>
      </c>
      <c r="D105" s="239">
        <v>899</v>
      </c>
      <c r="E105" s="239">
        <f t="shared" si="14"/>
        <v>-44</v>
      </c>
      <c r="F105" s="238">
        <f t="shared" si="15"/>
        <v>-4.6659597030752918E-2</v>
      </c>
    </row>
    <row r="106" spans="1:7" ht="20.25" customHeight="1" x14ac:dyDescent="0.3">
      <c r="A106" s="235">
        <v>9</v>
      </c>
      <c r="B106" s="236" t="s">
        <v>440</v>
      </c>
      <c r="C106" s="239">
        <v>60</v>
      </c>
      <c r="D106" s="239">
        <v>57</v>
      </c>
      <c r="E106" s="239">
        <f t="shared" si="14"/>
        <v>-3</v>
      </c>
      <c r="F106" s="238">
        <f t="shared" si="15"/>
        <v>-0.05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6290109</v>
      </c>
      <c r="D107" s="243">
        <f>+D98+D100</f>
        <v>6653967</v>
      </c>
      <c r="E107" s="243">
        <f t="shared" si="14"/>
        <v>363858</v>
      </c>
      <c r="F107" s="244">
        <f t="shared" si="15"/>
        <v>5.7846056403792048E-2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1639986</v>
      </c>
      <c r="D108" s="243">
        <f>+D99+D101</f>
        <v>1728356</v>
      </c>
      <c r="E108" s="243">
        <f t="shared" si="14"/>
        <v>88370</v>
      </c>
      <c r="F108" s="244">
        <f t="shared" si="15"/>
        <v>5.3884606332005272E-2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18827102</v>
      </c>
      <c r="D112" s="243">
        <f t="shared" si="16"/>
        <v>23107142</v>
      </c>
      <c r="E112" s="243">
        <f t="shared" ref="E112:E122" si="17">D112-C112</f>
        <v>4280040</v>
      </c>
      <c r="F112" s="244">
        <f t="shared" ref="F112:F122" si="18">IF(C112=0,0,E112/C112)</f>
        <v>0.22733397843173103</v>
      </c>
    </row>
    <row r="113" spans="1:6" ht="20.25" customHeight="1" x14ac:dyDescent="0.3">
      <c r="A113" s="249"/>
      <c r="B113" s="250" t="s">
        <v>461</v>
      </c>
      <c r="C113" s="243">
        <f t="shared" si="16"/>
        <v>4902474</v>
      </c>
      <c r="D113" s="243">
        <f t="shared" si="16"/>
        <v>5516057</v>
      </c>
      <c r="E113" s="243">
        <f t="shared" si="17"/>
        <v>613583</v>
      </c>
      <c r="F113" s="244">
        <f t="shared" si="18"/>
        <v>0.12515782847598989</v>
      </c>
    </row>
    <row r="114" spans="1:6" ht="20.25" customHeight="1" x14ac:dyDescent="0.3">
      <c r="A114" s="249"/>
      <c r="B114" s="250" t="s">
        <v>462</v>
      </c>
      <c r="C114" s="243">
        <f t="shared" si="16"/>
        <v>20225536</v>
      </c>
      <c r="D114" s="243">
        <f t="shared" si="16"/>
        <v>26287453</v>
      </c>
      <c r="E114" s="243">
        <f t="shared" si="17"/>
        <v>6061917</v>
      </c>
      <c r="F114" s="244">
        <f t="shared" si="18"/>
        <v>0.29971601247057184</v>
      </c>
    </row>
    <row r="115" spans="1:6" ht="20.25" customHeight="1" x14ac:dyDescent="0.3">
      <c r="A115" s="249"/>
      <c r="B115" s="250" t="s">
        <v>463</v>
      </c>
      <c r="C115" s="243">
        <f t="shared" si="16"/>
        <v>5112169</v>
      </c>
      <c r="D115" s="243">
        <f t="shared" si="16"/>
        <v>6462244</v>
      </c>
      <c r="E115" s="243">
        <f t="shared" si="17"/>
        <v>1350075</v>
      </c>
      <c r="F115" s="244">
        <f t="shared" si="18"/>
        <v>0.26409044771407203</v>
      </c>
    </row>
    <row r="116" spans="1:6" ht="20.25" customHeight="1" x14ac:dyDescent="0.3">
      <c r="A116" s="249"/>
      <c r="B116" s="250" t="s">
        <v>464</v>
      </c>
      <c r="C116" s="252">
        <f t="shared" si="16"/>
        <v>1154</v>
      </c>
      <c r="D116" s="252">
        <f t="shared" si="16"/>
        <v>1311</v>
      </c>
      <c r="E116" s="252">
        <f t="shared" si="17"/>
        <v>157</v>
      </c>
      <c r="F116" s="244">
        <f t="shared" si="18"/>
        <v>0.13604852686308491</v>
      </c>
    </row>
    <row r="117" spans="1:6" ht="20.25" customHeight="1" x14ac:dyDescent="0.3">
      <c r="A117" s="249"/>
      <c r="B117" s="250" t="s">
        <v>465</v>
      </c>
      <c r="C117" s="252">
        <f t="shared" si="16"/>
        <v>3600</v>
      </c>
      <c r="D117" s="252">
        <f t="shared" si="16"/>
        <v>4078</v>
      </c>
      <c r="E117" s="252">
        <f t="shared" si="17"/>
        <v>478</v>
      </c>
      <c r="F117" s="244">
        <f t="shared" si="18"/>
        <v>0.13277777777777777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13277</v>
      </c>
      <c r="D118" s="252">
        <f t="shared" si="16"/>
        <v>15648</v>
      </c>
      <c r="E118" s="252">
        <f t="shared" si="17"/>
        <v>2371</v>
      </c>
      <c r="F118" s="244">
        <f t="shared" si="18"/>
        <v>0.17857949838065829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5939</v>
      </c>
      <c r="D119" s="252">
        <f t="shared" si="16"/>
        <v>6212</v>
      </c>
      <c r="E119" s="252">
        <f t="shared" si="17"/>
        <v>273</v>
      </c>
      <c r="F119" s="244">
        <f t="shared" si="18"/>
        <v>4.5967334568109107E-2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387</v>
      </c>
      <c r="D120" s="252">
        <f t="shared" si="16"/>
        <v>429</v>
      </c>
      <c r="E120" s="252">
        <f t="shared" si="17"/>
        <v>42</v>
      </c>
      <c r="F120" s="244">
        <f t="shared" si="18"/>
        <v>0.10852713178294573</v>
      </c>
    </row>
    <row r="121" spans="1:6" ht="39.950000000000003" customHeight="1" x14ac:dyDescent="0.3">
      <c r="A121" s="249"/>
      <c r="B121" s="242" t="s">
        <v>441</v>
      </c>
      <c r="C121" s="243">
        <f>+C112+C114</f>
        <v>39052638</v>
      </c>
      <c r="D121" s="243">
        <f>+D112+D114</f>
        <v>49394595</v>
      </c>
      <c r="E121" s="243">
        <f t="shared" si="17"/>
        <v>10341957</v>
      </c>
      <c r="F121" s="244">
        <f t="shared" si="18"/>
        <v>0.26482095780571852</v>
      </c>
    </row>
    <row r="122" spans="1:6" ht="39.950000000000003" customHeight="1" x14ac:dyDescent="0.3">
      <c r="A122" s="249"/>
      <c r="B122" s="242" t="s">
        <v>470</v>
      </c>
      <c r="C122" s="243">
        <f>+C113+C115</f>
        <v>10014643</v>
      </c>
      <c r="D122" s="243">
        <f>+D113+D115</f>
        <v>11978301</v>
      </c>
      <c r="E122" s="243">
        <f t="shared" si="17"/>
        <v>1963658</v>
      </c>
      <c r="F122" s="244">
        <f t="shared" si="18"/>
        <v>0.19607868198596795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FILING&amp;RNORWALK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28741901</v>
      </c>
      <c r="D13" s="23">
        <v>77594791</v>
      </c>
      <c r="E13" s="23">
        <f t="shared" ref="E13:E22" si="0">D13-C13</f>
        <v>48852890</v>
      </c>
      <c r="F13" s="24">
        <f t="shared" ref="F13:F22" si="1">IF(C13=0,0,E13/C13)</f>
        <v>1.6997097721545975</v>
      </c>
    </row>
    <row r="14" spans="1:8" ht="24" customHeight="1" x14ac:dyDescent="0.2">
      <c r="A14" s="21">
        <v>2</v>
      </c>
      <c r="B14" s="22" t="s">
        <v>17</v>
      </c>
      <c r="C14" s="23">
        <v>31620264</v>
      </c>
      <c r="D14" s="23">
        <v>38584167</v>
      </c>
      <c r="E14" s="23">
        <f t="shared" si="0"/>
        <v>6963903</v>
      </c>
      <c r="F14" s="24">
        <f t="shared" si="1"/>
        <v>0.22023544774958237</v>
      </c>
    </row>
    <row r="15" spans="1:8" ht="35.1" customHeight="1" x14ac:dyDescent="0.2">
      <c r="A15" s="21">
        <v>3</v>
      </c>
      <c r="B15" s="22" t="s">
        <v>18</v>
      </c>
      <c r="C15" s="23">
        <v>42567297</v>
      </c>
      <c r="D15" s="23">
        <v>38601542</v>
      </c>
      <c r="E15" s="23">
        <f t="shared" si="0"/>
        <v>-3965755</v>
      </c>
      <c r="F15" s="24">
        <f t="shared" si="1"/>
        <v>-9.3164360424388706E-2</v>
      </c>
    </row>
    <row r="16" spans="1:8" ht="35.1" customHeight="1" x14ac:dyDescent="0.2">
      <c r="A16" s="21">
        <v>4</v>
      </c>
      <c r="B16" s="22" t="s">
        <v>19</v>
      </c>
      <c r="C16" s="23">
        <v>713491</v>
      </c>
      <c r="D16" s="23">
        <v>686510</v>
      </c>
      <c r="E16" s="23">
        <f t="shared" si="0"/>
        <v>-26981</v>
      </c>
      <c r="F16" s="24">
        <f t="shared" si="1"/>
        <v>-3.7815473495811443E-2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573584</v>
      </c>
      <c r="D18" s="23">
        <v>81421</v>
      </c>
      <c r="E18" s="23">
        <f t="shared" si="0"/>
        <v>-492163</v>
      </c>
      <c r="F18" s="24">
        <f t="shared" si="1"/>
        <v>-0.85804869034003739</v>
      </c>
    </row>
    <row r="19" spans="1:11" ht="24" customHeight="1" x14ac:dyDescent="0.2">
      <c r="A19" s="21">
        <v>7</v>
      </c>
      <c r="B19" s="22" t="s">
        <v>22</v>
      </c>
      <c r="C19" s="23">
        <v>2823407</v>
      </c>
      <c r="D19" s="23">
        <v>2296832</v>
      </c>
      <c r="E19" s="23">
        <f t="shared" si="0"/>
        <v>-526575</v>
      </c>
      <c r="F19" s="24">
        <f t="shared" si="1"/>
        <v>-0.18650339819940945</v>
      </c>
    </row>
    <row r="20" spans="1:11" ht="24" customHeight="1" x14ac:dyDescent="0.2">
      <c r="A20" s="21">
        <v>8</v>
      </c>
      <c r="B20" s="22" t="s">
        <v>23</v>
      </c>
      <c r="C20" s="23">
        <v>1831130</v>
      </c>
      <c r="D20" s="23">
        <v>2698590</v>
      </c>
      <c r="E20" s="23">
        <f t="shared" si="0"/>
        <v>867460</v>
      </c>
      <c r="F20" s="24">
        <f t="shared" si="1"/>
        <v>0.47372933652990229</v>
      </c>
    </row>
    <row r="21" spans="1:11" ht="24" customHeight="1" x14ac:dyDescent="0.2">
      <c r="A21" s="21">
        <v>9</v>
      </c>
      <c r="B21" s="22" t="s">
        <v>24</v>
      </c>
      <c r="C21" s="23">
        <v>1781351</v>
      </c>
      <c r="D21" s="23">
        <v>2452789</v>
      </c>
      <c r="E21" s="23">
        <f t="shared" si="0"/>
        <v>671438</v>
      </c>
      <c r="F21" s="24">
        <f t="shared" si="1"/>
        <v>0.37692627674164159</v>
      </c>
    </row>
    <row r="22" spans="1:11" ht="24" customHeight="1" x14ac:dyDescent="0.25">
      <c r="A22" s="25"/>
      <c r="B22" s="26" t="s">
        <v>25</v>
      </c>
      <c r="C22" s="27">
        <f>SUM(C13:C21)</f>
        <v>110652425</v>
      </c>
      <c r="D22" s="27">
        <f>SUM(D13:D21)</f>
        <v>162996642</v>
      </c>
      <c r="E22" s="27">
        <f t="shared" si="0"/>
        <v>52344217</v>
      </c>
      <c r="F22" s="28">
        <f t="shared" si="1"/>
        <v>0.47305078944270768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8618167</v>
      </c>
      <c r="D25" s="23">
        <v>21229840</v>
      </c>
      <c r="E25" s="23">
        <f>D25-C25</f>
        <v>12611673</v>
      </c>
      <c r="F25" s="24">
        <f>IF(C25=0,0,E25/C25)</f>
        <v>1.4633822946341142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35.1" customHeight="1" x14ac:dyDescent="0.25">
      <c r="A29" s="25"/>
      <c r="B29" s="26" t="s">
        <v>32</v>
      </c>
      <c r="C29" s="27">
        <f>SUM(C25:C28)</f>
        <v>8618167</v>
      </c>
      <c r="D29" s="27">
        <f>SUM(D25:D28)</f>
        <v>21229840</v>
      </c>
      <c r="E29" s="27">
        <f>D29-C29</f>
        <v>12611673</v>
      </c>
      <c r="F29" s="28">
        <f>IF(C29=0,0,E29/C29)</f>
        <v>1.4633822946341142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81001828</v>
      </c>
      <c r="D32" s="23">
        <v>75128737</v>
      </c>
      <c r="E32" s="23">
        <f>D32-C32</f>
        <v>-5873091</v>
      </c>
      <c r="F32" s="24">
        <f>IF(C32=0,0,E32/C32)</f>
        <v>-7.250565999572256E-2</v>
      </c>
    </row>
    <row r="33" spans="1:8" ht="24" customHeight="1" x14ac:dyDescent="0.2">
      <c r="A33" s="21">
        <v>7</v>
      </c>
      <c r="B33" s="22" t="s">
        <v>35</v>
      </c>
      <c r="C33" s="23">
        <v>20266704</v>
      </c>
      <c r="D33" s="23">
        <v>42632111</v>
      </c>
      <c r="E33" s="23">
        <f>D33-C33</f>
        <v>22365407</v>
      </c>
      <c r="F33" s="24">
        <f>IF(C33=0,0,E33/C33)</f>
        <v>1.1035542335843065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382139876</v>
      </c>
      <c r="D36" s="23">
        <v>385416737</v>
      </c>
      <c r="E36" s="23">
        <f>D36-C36</f>
        <v>3276861</v>
      </c>
      <c r="F36" s="24">
        <f>IF(C36=0,0,E36/C36)</f>
        <v>8.5750302593388603E-3</v>
      </c>
    </row>
    <row r="37" spans="1:8" ht="24" customHeight="1" x14ac:dyDescent="0.2">
      <c r="A37" s="21">
        <v>2</v>
      </c>
      <c r="B37" s="22" t="s">
        <v>39</v>
      </c>
      <c r="C37" s="23">
        <v>268542864</v>
      </c>
      <c r="D37" s="23">
        <v>278652974</v>
      </c>
      <c r="E37" s="23">
        <f>D37-C37</f>
        <v>10110110</v>
      </c>
      <c r="F37" s="23">
        <f>IF(C37=0,0,E37/C37)</f>
        <v>3.7648030744172001E-2</v>
      </c>
    </row>
    <row r="38" spans="1:8" ht="24" customHeight="1" x14ac:dyDescent="0.25">
      <c r="A38" s="25"/>
      <c r="B38" s="26" t="s">
        <v>40</v>
      </c>
      <c r="C38" s="27">
        <f>C36-C37</f>
        <v>113597012</v>
      </c>
      <c r="D38" s="27">
        <f>D36-D37</f>
        <v>106763763</v>
      </c>
      <c r="E38" s="27">
        <f>D38-C38</f>
        <v>-6833249</v>
      </c>
      <c r="F38" s="28">
        <f>IF(C38=0,0,E38/C38)</f>
        <v>-6.0153421993177074E-2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5544843</v>
      </c>
      <c r="D40" s="23">
        <v>22713647</v>
      </c>
      <c r="E40" s="23">
        <f>D40-C40</f>
        <v>17168804</v>
      </c>
      <c r="F40" s="24">
        <f>IF(C40=0,0,E40/C40)</f>
        <v>3.0963552980670506</v>
      </c>
    </row>
    <row r="41" spans="1:8" ht="24" customHeight="1" x14ac:dyDescent="0.25">
      <c r="A41" s="25"/>
      <c r="B41" s="26" t="s">
        <v>42</v>
      </c>
      <c r="C41" s="27">
        <f>+C38+C40</f>
        <v>119141855</v>
      </c>
      <c r="D41" s="27">
        <f>+D38+D40</f>
        <v>129477410</v>
      </c>
      <c r="E41" s="27">
        <f>D41-C41</f>
        <v>10335555</v>
      </c>
      <c r="F41" s="28">
        <f>IF(C41=0,0,E41/C41)</f>
        <v>8.6749992267620812E-2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339680979</v>
      </c>
      <c r="D43" s="27">
        <f>D22+D29+D31+D32+D33+D41</f>
        <v>431464740</v>
      </c>
      <c r="E43" s="27">
        <f>D43-C43</f>
        <v>91783761</v>
      </c>
      <c r="F43" s="28">
        <f>IF(C43=0,0,E43/C43)</f>
        <v>0.27020577151598468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20867614</v>
      </c>
      <c r="D49" s="23">
        <v>28263882</v>
      </c>
      <c r="E49" s="23">
        <f t="shared" ref="E49:E56" si="2">D49-C49</f>
        <v>7396268</v>
      </c>
      <c r="F49" s="24">
        <f t="shared" ref="F49:F56" si="3">IF(C49=0,0,E49/C49)</f>
        <v>0.35443764677648343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19944515</v>
      </c>
      <c r="D50" s="23">
        <v>20097511</v>
      </c>
      <c r="E50" s="23">
        <f t="shared" si="2"/>
        <v>152996</v>
      </c>
      <c r="F50" s="24">
        <f t="shared" si="3"/>
        <v>7.6710814978453975E-3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1116300</v>
      </c>
      <c r="D51" s="23">
        <v>4640299</v>
      </c>
      <c r="E51" s="23">
        <f t="shared" si="2"/>
        <v>3523999</v>
      </c>
      <c r="F51" s="24">
        <f t="shared" si="3"/>
        <v>3.1568565797724628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1155000</v>
      </c>
      <c r="D53" s="23">
        <v>11522966</v>
      </c>
      <c r="E53" s="23">
        <f t="shared" si="2"/>
        <v>10367966</v>
      </c>
      <c r="F53" s="24">
        <f t="shared" si="3"/>
        <v>8.9765939393939398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1042606</v>
      </c>
      <c r="D54" s="23">
        <v>1169597</v>
      </c>
      <c r="E54" s="23">
        <f t="shared" si="2"/>
        <v>126991</v>
      </c>
      <c r="F54" s="24">
        <f t="shared" si="3"/>
        <v>0.12180152425748557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1304478</v>
      </c>
      <c r="D55" s="23">
        <v>1887837</v>
      </c>
      <c r="E55" s="23">
        <f t="shared" si="2"/>
        <v>583359</v>
      </c>
      <c r="F55" s="24">
        <f t="shared" si="3"/>
        <v>0.44719726971248269</v>
      </c>
    </row>
    <row r="56" spans="1:6" ht="24" customHeight="1" x14ac:dyDescent="0.25">
      <c r="A56" s="25"/>
      <c r="B56" s="26" t="s">
        <v>54</v>
      </c>
      <c r="C56" s="27">
        <f>SUM(C49:C55)</f>
        <v>45430513</v>
      </c>
      <c r="D56" s="27">
        <f>SUM(D49:D55)</f>
        <v>67582092</v>
      </c>
      <c r="E56" s="27">
        <f t="shared" si="2"/>
        <v>22151579</v>
      </c>
      <c r="F56" s="28">
        <f t="shared" si="3"/>
        <v>0.48759253499954974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9220000</v>
      </c>
      <c r="D59" s="23">
        <v>52395000</v>
      </c>
      <c r="E59" s="23">
        <f>D59-C59</f>
        <v>43175000</v>
      </c>
      <c r="F59" s="24">
        <f>IF(C59=0,0,E59/C59)</f>
        <v>4.6827548806941435</v>
      </c>
    </row>
    <row r="60" spans="1:6" ht="24" customHeight="1" x14ac:dyDescent="0.2">
      <c r="A60" s="21">
        <v>2</v>
      </c>
      <c r="B60" s="22" t="s">
        <v>57</v>
      </c>
      <c r="C60" s="23">
        <v>14327952</v>
      </c>
      <c r="D60" s="23">
        <v>9322853</v>
      </c>
      <c r="E60" s="23">
        <f>D60-C60</f>
        <v>-5005099</v>
      </c>
      <c r="F60" s="24">
        <f>IF(C60=0,0,E60/C60)</f>
        <v>-0.34932410438002581</v>
      </c>
    </row>
    <row r="61" spans="1:6" ht="24" customHeight="1" x14ac:dyDescent="0.25">
      <c r="A61" s="25"/>
      <c r="B61" s="26" t="s">
        <v>58</v>
      </c>
      <c r="C61" s="27">
        <f>SUM(C59:C60)</f>
        <v>23547952</v>
      </c>
      <c r="D61" s="27">
        <f>SUM(D59:D60)</f>
        <v>61717853</v>
      </c>
      <c r="E61" s="27">
        <f>D61-C61</f>
        <v>38169901</v>
      </c>
      <c r="F61" s="28">
        <f>IF(C61=0,0,E61/C61)</f>
        <v>1.620943553817334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37851799</v>
      </c>
      <c r="D63" s="23">
        <v>60019814</v>
      </c>
      <c r="E63" s="23">
        <f>D63-C63</f>
        <v>22168015</v>
      </c>
      <c r="F63" s="24">
        <f>IF(C63=0,0,E63/C63)</f>
        <v>0.5856528774233426</v>
      </c>
    </row>
    <row r="64" spans="1:6" ht="24" customHeight="1" x14ac:dyDescent="0.2">
      <c r="A64" s="21">
        <v>4</v>
      </c>
      <c r="B64" s="22" t="s">
        <v>60</v>
      </c>
      <c r="C64" s="23">
        <v>58155585</v>
      </c>
      <c r="D64" s="23">
        <v>72225284</v>
      </c>
      <c r="E64" s="23">
        <f>D64-C64</f>
        <v>14069699</v>
      </c>
      <c r="F64" s="24">
        <f>IF(C64=0,0,E64/C64)</f>
        <v>0.24193203455867565</v>
      </c>
    </row>
    <row r="65" spans="1:6" ht="24" customHeight="1" x14ac:dyDescent="0.25">
      <c r="A65" s="25"/>
      <c r="B65" s="26" t="s">
        <v>61</v>
      </c>
      <c r="C65" s="27">
        <f>SUM(C61:C64)</f>
        <v>119555336</v>
      </c>
      <c r="D65" s="27">
        <f>SUM(D61:D64)</f>
        <v>193962951</v>
      </c>
      <c r="E65" s="27">
        <f>D65-C65</f>
        <v>74407615</v>
      </c>
      <c r="F65" s="28">
        <f>IF(C65=0,0,E65/C65)</f>
        <v>0.62236966989076925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138968662</v>
      </c>
      <c r="D70" s="23">
        <v>126940368</v>
      </c>
      <c r="E70" s="23">
        <f>D70-C70</f>
        <v>-12028294</v>
      </c>
      <c r="F70" s="24">
        <f>IF(C70=0,0,E70/C70)</f>
        <v>-8.6554003088840273E-2</v>
      </c>
    </row>
    <row r="71" spans="1:6" ht="24" customHeight="1" x14ac:dyDescent="0.2">
      <c r="A71" s="21">
        <v>2</v>
      </c>
      <c r="B71" s="22" t="s">
        <v>65</v>
      </c>
      <c r="C71" s="23">
        <v>26297760</v>
      </c>
      <c r="D71" s="23">
        <v>33540087</v>
      </c>
      <c r="E71" s="23">
        <f>D71-C71</f>
        <v>7242327</v>
      </c>
      <c r="F71" s="24">
        <f>IF(C71=0,0,E71/C71)</f>
        <v>0.27539710606530748</v>
      </c>
    </row>
    <row r="72" spans="1:6" ht="24" customHeight="1" x14ac:dyDescent="0.2">
      <c r="A72" s="21">
        <v>3</v>
      </c>
      <c r="B72" s="22" t="s">
        <v>66</v>
      </c>
      <c r="C72" s="23">
        <v>9428708</v>
      </c>
      <c r="D72" s="23">
        <v>9439242</v>
      </c>
      <c r="E72" s="23">
        <f>D72-C72</f>
        <v>10534</v>
      </c>
      <c r="F72" s="24">
        <f>IF(C72=0,0,E72/C72)</f>
        <v>1.1172262413895943E-3</v>
      </c>
    </row>
    <row r="73" spans="1:6" ht="24" customHeight="1" x14ac:dyDescent="0.25">
      <c r="A73" s="21"/>
      <c r="B73" s="26" t="s">
        <v>67</v>
      </c>
      <c r="C73" s="27">
        <f>SUM(C70:C72)</f>
        <v>174695130</v>
      </c>
      <c r="D73" s="27">
        <f>SUM(D70:D72)</f>
        <v>169919697</v>
      </c>
      <c r="E73" s="27">
        <f>D73-C73</f>
        <v>-4775433</v>
      </c>
      <c r="F73" s="28">
        <f>IF(C73=0,0,E73/C73)</f>
        <v>-2.7335810677721811E-2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339680979</v>
      </c>
      <c r="D75" s="27">
        <f>D56+D65+D67+D73</f>
        <v>431464740</v>
      </c>
      <c r="E75" s="27">
        <f>D75-C75</f>
        <v>91783761</v>
      </c>
      <c r="F75" s="28">
        <f>IF(C75=0,0,E75/C75)</f>
        <v>0.27020577151598468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FILING&amp;RNORWALK HEALTH SERVICES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770351995</v>
      </c>
      <c r="D12" s="51">
        <v>882784404</v>
      </c>
      <c r="E12" s="51">
        <f t="shared" ref="E12:E19" si="0">D12-C12</f>
        <v>112432409</v>
      </c>
      <c r="F12" s="70">
        <f t="shared" ref="F12:F19" si="1">IF(C12=0,0,E12/C12)</f>
        <v>0.14594939680788391</v>
      </c>
    </row>
    <row r="13" spans="1:8" ht="23.1" customHeight="1" x14ac:dyDescent="0.2">
      <c r="A13" s="25">
        <v>2</v>
      </c>
      <c r="B13" s="48" t="s">
        <v>72</v>
      </c>
      <c r="C13" s="51">
        <v>401630622</v>
      </c>
      <c r="D13" s="51">
        <v>490474522</v>
      </c>
      <c r="E13" s="51">
        <f t="shared" si="0"/>
        <v>88843900</v>
      </c>
      <c r="F13" s="70">
        <f t="shared" si="1"/>
        <v>0.22120798348886853</v>
      </c>
    </row>
    <row r="14" spans="1:8" ht="23.1" customHeight="1" x14ac:dyDescent="0.2">
      <c r="A14" s="25">
        <v>3</v>
      </c>
      <c r="B14" s="48" t="s">
        <v>73</v>
      </c>
      <c r="C14" s="51">
        <v>18026000</v>
      </c>
      <c r="D14" s="51">
        <v>17327000</v>
      </c>
      <c r="E14" s="51">
        <f t="shared" si="0"/>
        <v>-699000</v>
      </c>
      <c r="F14" s="70">
        <f t="shared" si="1"/>
        <v>-3.8777321646510599E-2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350695373</v>
      </c>
      <c r="D16" s="27">
        <f>D12-D13-D14-D15</f>
        <v>374982882</v>
      </c>
      <c r="E16" s="27">
        <f t="shared" si="0"/>
        <v>24287509</v>
      </c>
      <c r="F16" s="28">
        <f t="shared" si="1"/>
        <v>6.9255287836375301E-2</v>
      </c>
    </row>
    <row r="17" spans="1:7" ht="23.1" customHeight="1" x14ac:dyDescent="0.2">
      <c r="A17" s="25">
        <v>5</v>
      </c>
      <c r="B17" s="48" t="s">
        <v>76</v>
      </c>
      <c r="C17" s="51">
        <v>19687788</v>
      </c>
      <c r="D17" s="51">
        <v>20756420</v>
      </c>
      <c r="E17" s="51">
        <f t="shared" si="0"/>
        <v>1068632</v>
      </c>
      <c r="F17" s="70">
        <f t="shared" si="1"/>
        <v>5.4278926611765629E-2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4999683</v>
      </c>
      <c r="D18" s="51">
        <v>2634499</v>
      </c>
      <c r="E18" s="51">
        <f t="shared" si="0"/>
        <v>-2365184</v>
      </c>
      <c r="F18" s="70">
        <f t="shared" si="1"/>
        <v>-0.47306679243464034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375382844</v>
      </c>
      <c r="D19" s="27">
        <f>SUM(D16:D18)</f>
        <v>398373801</v>
      </c>
      <c r="E19" s="27">
        <f t="shared" si="0"/>
        <v>22990957</v>
      </c>
      <c r="F19" s="28">
        <f t="shared" si="1"/>
        <v>6.1246690858360056E-2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152067280</v>
      </c>
      <c r="D22" s="51">
        <v>155446543</v>
      </c>
      <c r="E22" s="51">
        <f t="shared" ref="E22:E31" si="2">D22-C22</f>
        <v>3379263</v>
      </c>
      <c r="F22" s="70">
        <f t="shared" ref="F22:F31" si="3">IF(C22=0,0,E22/C22)</f>
        <v>2.2222157192526886E-2</v>
      </c>
    </row>
    <row r="23" spans="1:7" ht="23.1" customHeight="1" x14ac:dyDescent="0.2">
      <c r="A23" s="25">
        <v>2</v>
      </c>
      <c r="B23" s="48" t="s">
        <v>81</v>
      </c>
      <c r="C23" s="51">
        <v>52172621</v>
      </c>
      <c r="D23" s="51">
        <v>48287799</v>
      </c>
      <c r="E23" s="51">
        <f t="shared" si="2"/>
        <v>-3884822</v>
      </c>
      <c r="F23" s="70">
        <f t="shared" si="3"/>
        <v>-7.4460932296270876E-2</v>
      </c>
    </row>
    <row r="24" spans="1:7" ht="23.1" customHeight="1" x14ac:dyDescent="0.2">
      <c r="A24" s="25">
        <v>3</v>
      </c>
      <c r="B24" s="48" t="s">
        <v>82</v>
      </c>
      <c r="C24" s="51">
        <v>5787394</v>
      </c>
      <c r="D24" s="51">
        <v>6365516</v>
      </c>
      <c r="E24" s="51">
        <f t="shared" si="2"/>
        <v>578122</v>
      </c>
      <c r="F24" s="70">
        <f t="shared" si="3"/>
        <v>9.9893319860372393E-2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37821229</v>
      </c>
      <c r="D25" s="51">
        <v>37858591</v>
      </c>
      <c r="E25" s="51">
        <f t="shared" si="2"/>
        <v>37362</v>
      </c>
      <c r="F25" s="70">
        <f t="shared" si="3"/>
        <v>9.878579038243311E-4</v>
      </c>
    </row>
    <row r="26" spans="1:7" ht="23.1" customHeight="1" x14ac:dyDescent="0.2">
      <c r="A26" s="25">
        <v>5</v>
      </c>
      <c r="B26" s="48" t="s">
        <v>84</v>
      </c>
      <c r="C26" s="51">
        <v>20478576</v>
      </c>
      <c r="D26" s="51">
        <v>19689489</v>
      </c>
      <c r="E26" s="51">
        <f t="shared" si="2"/>
        <v>-789087</v>
      </c>
      <c r="F26" s="70">
        <f t="shared" si="3"/>
        <v>-3.8532317872102047E-2</v>
      </c>
    </row>
    <row r="27" spans="1:7" ht="23.1" customHeight="1" x14ac:dyDescent="0.2">
      <c r="A27" s="25">
        <v>6</v>
      </c>
      <c r="B27" s="48" t="s">
        <v>85</v>
      </c>
      <c r="C27" s="51">
        <v>23735717</v>
      </c>
      <c r="D27" s="51">
        <v>21118227</v>
      </c>
      <c r="E27" s="51">
        <f t="shared" si="2"/>
        <v>-2617490</v>
      </c>
      <c r="F27" s="70">
        <f t="shared" si="3"/>
        <v>-0.11027642434395388</v>
      </c>
    </row>
    <row r="28" spans="1:7" ht="23.1" customHeight="1" x14ac:dyDescent="0.2">
      <c r="A28" s="25">
        <v>7</v>
      </c>
      <c r="B28" s="48" t="s">
        <v>86</v>
      </c>
      <c r="C28" s="51">
        <v>1083619</v>
      </c>
      <c r="D28" s="51">
        <v>1915549</v>
      </c>
      <c r="E28" s="51">
        <f t="shared" si="2"/>
        <v>831930</v>
      </c>
      <c r="F28" s="70">
        <f t="shared" si="3"/>
        <v>0.76773293934491738</v>
      </c>
    </row>
    <row r="29" spans="1:7" ht="23.1" customHeight="1" x14ac:dyDescent="0.2">
      <c r="A29" s="25">
        <v>8</v>
      </c>
      <c r="B29" s="48" t="s">
        <v>87</v>
      </c>
      <c r="C29" s="51">
        <v>5923238</v>
      </c>
      <c r="D29" s="51">
        <v>9183846</v>
      </c>
      <c r="E29" s="51">
        <f t="shared" si="2"/>
        <v>3260608</v>
      </c>
      <c r="F29" s="70">
        <f t="shared" si="3"/>
        <v>0.55047728961760445</v>
      </c>
    </row>
    <row r="30" spans="1:7" ht="23.1" customHeight="1" x14ac:dyDescent="0.2">
      <c r="A30" s="25">
        <v>9</v>
      </c>
      <c r="B30" s="48" t="s">
        <v>88</v>
      </c>
      <c r="C30" s="51">
        <v>78130679</v>
      </c>
      <c r="D30" s="51">
        <v>82883223</v>
      </c>
      <c r="E30" s="51">
        <f t="shared" si="2"/>
        <v>4752544</v>
      </c>
      <c r="F30" s="70">
        <f t="shared" si="3"/>
        <v>6.0828141529398458E-2</v>
      </c>
    </row>
    <row r="31" spans="1:7" ht="23.1" customHeight="1" x14ac:dyDescent="0.25">
      <c r="A31" s="29"/>
      <c r="B31" s="71" t="s">
        <v>89</v>
      </c>
      <c r="C31" s="27">
        <f>SUM(C22:C30)</f>
        <v>377200353</v>
      </c>
      <c r="D31" s="27">
        <f>SUM(D22:D30)</f>
        <v>382748783</v>
      </c>
      <c r="E31" s="27">
        <f t="shared" si="2"/>
        <v>5548430</v>
      </c>
      <c r="F31" s="28">
        <f t="shared" si="3"/>
        <v>1.470950373156199E-2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-1817509</v>
      </c>
      <c r="D33" s="27">
        <f>+D19-D31</f>
        <v>15625018</v>
      </c>
      <c r="E33" s="27">
        <f>D33-C33</f>
        <v>17442527</v>
      </c>
      <c r="F33" s="28">
        <f>IF(C33=0,0,E33/C33)</f>
        <v>-9.5969411980903541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868234</v>
      </c>
      <c r="D36" s="51">
        <v>798565</v>
      </c>
      <c r="E36" s="51">
        <f>D36-C36</f>
        <v>-69669</v>
      </c>
      <c r="F36" s="70">
        <f>IF(C36=0,0,E36/C36)</f>
        <v>-8.0242192772916054E-2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868234</v>
      </c>
      <c r="D39" s="27">
        <f>SUM(D36:D38)</f>
        <v>798565</v>
      </c>
      <c r="E39" s="27">
        <f>D39-C39</f>
        <v>-69669</v>
      </c>
      <c r="F39" s="28">
        <f>IF(C39=0,0,E39/C39)</f>
        <v>-8.0242192772916054E-2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-949275</v>
      </c>
      <c r="D41" s="27">
        <f>D33+D39</f>
        <v>16423583</v>
      </c>
      <c r="E41" s="27">
        <f>D41-C41</f>
        <v>17372858</v>
      </c>
      <c r="F41" s="28">
        <f>IF(C41=0,0,E41/C41)</f>
        <v>-18.301185641673911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2726888</v>
      </c>
      <c r="D44" s="51">
        <v>-2552586</v>
      </c>
      <c r="E44" s="51">
        <f>D44-C44</f>
        <v>-5279474</v>
      </c>
      <c r="F44" s="70">
        <f>IF(C44=0,0,E44/C44)</f>
        <v>-1.9360802497205605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-2272790</v>
      </c>
      <c r="E45" s="51">
        <f>D45-C45</f>
        <v>-2272790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2726888</v>
      </c>
      <c r="D46" s="27">
        <f>SUM(D44:D45)</f>
        <v>-4825376</v>
      </c>
      <c r="E46" s="27">
        <f>D46-C46</f>
        <v>-7552264</v>
      </c>
      <c r="F46" s="28">
        <f>IF(C46=0,0,E46/C46)</f>
        <v>-2.7695541584399508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1777613</v>
      </c>
      <c r="D48" s="27">
        <f>D41+D46</f>
        <v>11598207</v>
      </c>
      <c r="E48" s="27">
        <f>D48-C48</f>
        <v>9820594</v>
      </c>
      <c r="F48" s="28">
        <f>IF(C48=0,0,E48/C48)</f>
        <v>5.5245961860089903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FILING&amp;R&amp;8NORWALK HEALTH SERVICES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2012-06-28T12:51:13Z</cp:lastPrinted>
  <dcterms:created xsi:type="dcterms:W3CDTF">2006-08-03T13:49:12Z</dcterms:created>
  <dcterms:modified xsi:type="dcterms:W3CDTF">2012-06-28T12:51:40Z</dcterms:modified>
</cp:coreProperties>
</file>