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Reimbursement &amp; CON\FQHCs\FQHC Cost Report\Fiscal Year 2024\"/>
    </mc:Choice>
  </mc:AlternateContent>
  <xr:revisionPtr revIDLastSave="0" documentId="8_{2F32F83E-8381-4D9F-B80F-ACC5310BA96A}" xr6:coauthVersionLast="47" xr6:coauthVersionMax="47" xr10:uidLastSave="{00000000-0000-0000-0000-000000000000}"/>
  <bookViews>
    <workbookView xWindow="-110" yWindow="-110" windowWidth="19420" windowHeight="10420" tabRatio="808" xr2:uid="{B82B7BF9-8717-4C6A-A760-AF1BEBF91BC1}"/>
  </bookViews>
  <sheets>
    <sheet name="P1 Info &amp; Certification" sheetId="1" r:id="rId1"/>
    <sheet name="P2 Service Sites &amp; Rel. Parties" sheetId="5" r:id="rId2"/>
    <sheet name="ATTACHED LIST OF SITES" sheetId="30" r:id="rId3"/>
    <sheet name="RECONCILIATION TO AFS" sheetId="32" r:id="rId4"/>
    <sheet name="SPECIAL INPUTS" sheetId="37" r:id="rId5"/>
    <sheet name="Attachment A" sheetId="24" r:id="rId6"/>
    <sheet name="P14 Form D-Allow Cost-Visit" sheetId="12" r:id="rId7"/>
    <sheet name="P6 Form A-4 - Non-Allow Other" sheetId="22" r:id="rId8"/>
    <sheet name="P7 Form A-5 - OH " sheetId="10" r:id="rId9"/>
    <sheet name="P3 Form A-1 Health Care" sheetId="6" r:id="rId10"/>
    <sheet name="P4 Form A-2 - Dental" sheetId="7" r:id="rId11"/>
    <sheet name="P5 Form A-3 - Mental Health" sheetId="8" r:id="rId12"/>
    <sheet name="P8 Form B-1 Visits-FTE Hlth " sheetId="16" r:id="rId13"/>
    <sheet name="P9 Form B-1 Visits-FTE Hlth2 " sheetId="20" r:id="rId14"/>
    <sheet name="Form B-1 Detail" sheetId="26" r:id="rId15"/>
    <sheet name="MEDICAL DETAIL LIST" sheetId="41" r:id="rId16"/>
    <sheet name="P10 Form B-2 Visits-FTE Dental" sheetId="17" r:id="rId17"/>
    <sheet name="Form B-2 Detail" sheetId="27" r:id="rId18"/>
    <sheet name="DENTAL DETAIL LIST" sheetId="39" r:id="rId19"/>
    <sheet name="P11 Form B-3 Visits-FTE Mental " sheetId="18" r:id="rId20"/>
    <sheet name="Form B-3 Detail" sheetId="28" r:id="rId21"/>
    <sheet name="MH DETAIL LIST" sheetId="40" r:id="rId22"/>
    <sheet name="P12 Form B-4 Summary Personnel" sheetId="21" r:id="rId23"/>
    <sheet name="P13 Form C - Adj &amp; Alloc" sheetId="11" r:id="rId24"/>
    <sheet name="P15 Form E-Revenues" sheetId="13" r:id="rId25"/>
    <sheet name="P16 Form F-Grants-Contributions" sheetId="14" r:id="rId26"/>
    <sheet name="P17 Form G-Cost Disall &amp; Offset" sheetId="15" r:id="rId27"/>
    <sheet name="Sheet1" sheetId="42" r:id="rId28"/>
  </sheets>
  <definedNames>
    <definedName name="_xlnm._FilterDatabase" localSheetId="5" hidden="1">'Attachment A'!$AB$6:$AB$56</definedName>
    <definedName name="_xlnm._FilterDatabase" localSheetId="18" hidden="1">'DENTAL DETAIL LIST'!#REF!</definedName>
    <definedName name="_xlnm._FilterDatabase" localSheetId="15" hidden="1">'MEDICAL DETAIL LIST'!$D$318:$H$318</definedName>
    <definedName name="_xlnm._FilterDatabase" localSheetId="21" hidden="1">'MH DETAIL LIST'!#REF!</definedName>
    <definedName name="_xlnm._FilterDatabase" localSheetId="27" hidden="1">Sheet1!$F$693:$F$709</definedName>
    <definedName name="_xlnm.Print_Area" localSheetId="2">'ATTACHED LIST OF SITES'!$B$2:$G$29</definedName>
    <definedName name="_xlnm.Print_Area" localSheetId="5">'Attachment A'!$AY$1:$BA$28</definedName>
    <definedName name="_xlnm.Print_Area" localSheetId="18">'DENTAL DETAIL LIST'!$B$3:$I$104</definedName>
    <definedName name="_xlnm.Print_Area" localSheetId="21">'MH DETAIL LIST'!$C$312:$H$319</definedName>
    <definedName name="_xlnm.Print_Area" localSheetId="0">'P1 Info &amp; Certification'!$A$1:$N$50</definedName>
    <definedName name="_xlnm.Print_Area" localSheetId="16">'P10 Form B-2 Visits-FTE Dental'!$A$9:$H$41</definedName>
    <definedName name="_xlnm.Print_Area" localSheetId="19">'P11 Form B-3 Visits-FTE Mental '!$A$17:$H$41</definedName>
    <definedName name="_xlnm.Print_Area" localSheetId="22">'P12 Form B-4 Summary Personnel'!$A$17:$M$41</definedName>
    <definedName name="_xlnm.Print_Area" localSheetId="23">'P13 Form C - Adj &amp; Alloc'!$A$10:$N$38</definedName>
    <definedName name="_xlnm.Print_Area" localSheetId="6">'P14 Form D-Allow Cost-Visit'!$A$1:$N$34</definedName>
    <definedName name="_xlnm.Print_Area" localSheetId="24">'P15 Form E-Revenues'!$A$10:$H$44</definedName>
    <definedName name="_xlnm.Print_Area" localSheetId="25">'P16 Form F-Grants-Contributions'!$A$1:$O$35</definedName>
    <definedName name="_xlnm.Print_Area" localSheetId="26">'P17 Form G-Cost Disall &amp; Offset'!$A$10:$O$42</definedName>
    <definedName name="_xlnm.Print_Area" localSheetId="1">'P2 Service Sites &amp; Rel. Parties'!$A$1:$O$34</definedName>
    <definedName name="_xlnm.Print_Area" localSheetId="9">'P3 Form A-1 Health Care'!$A$1:$J$54</definedName>
    <definedName name="_xlnm.Print_Area" localSheetId="10">'P4 Form A-2 - Dental'!$A$1:$J$50</definedName>
    <definedName name="_xlnm.Print_Area" localSheetId="11">'P5 Form A-3 - Mental Health'!$A$9:$J$46</definedName>
    <definedName name="_xlnm.Print_Area" localSheetId="7">'P6 Form A-4 - Non-Allow Other'!$A$1:$J$39</definedName>
    <definedName name="_xlnm.Print_Area" localSheetId="8">'P7 Form A-5 - OH '!$A$1:$J$54</definedName>
    <definedName name="_xlnm.Print_Area" localSheetId="12">'P8 Form B-1 Visits-FTE Hlth '!$A$10:$I$37</definedName>
    <definedName name="_xlnm.Print_Area" localSheetId="13">'P9 Form B-1 Visits-FTE Hlth2 '!$A$10:$I$39</definedName>
    <definedName name="_xlnm.Print_Area" localSheetId="3">'RECONCILIATION TO AFS'!$A$2:$C$32</definedName>
    <definedName name="_xlnm.Print_Area" localSheetId="4">'SPECIAL INPUTS'!$C$2:$E$8</definedName>
    <definedName name="_xlnm.Print_Titles" localSheetId="18">'DENTAL DETAIL LIST'!$6:$6</definedName>
    <definedName name="_xlnm.Print_Titles" localSheetId="15">'MEDICAL DETAIL LIST'!$7:$7</definedName>
    <definedName name="_xlnm.Print_Titles" localSheetId="21">'MH DETAIL LIST'!$8:$8</definedName>
    <definedName name="_xlnm.Print_Titles" localSheetId="16">'P10 Form B-2 Visits-FTE Dental'!$1:$15</definedName>
    <definedName name="_xlnm.Print_Titles" localSheetId="19">'P11 Form B-3 Visits-FTE Mental '!$1:$15</definedName>
    <definedName name="_xlnm.Print_Titles" localSheetId="22">'P12 Form B-4 Summary Personnel'!$1:$15</definedName>
    <definedName name="_xlnm.Print_Titles" localSheetId="23">'P13 Form C - Adj &amp; Alloc'!$1:$9</definedName>
    <definedName name="_xlnm.Print_Titles" localSheetId="6">'P14 Form D-Allow Cost-Visit'!$1:$9</definedName>
    <definedName name="_xlnm.Print_Titles" localSheetId="24">'P15 Form E-Revenues'!$1:$10</definedName>
    <definedName name="_xlnm.Print_Titles" localSheetId="25">'P16 Form F-Grants-Contributions'!$1:$9</definedName>
    <definedName name="_xlnm.Print_Titles" localSheetId="26">'P17 Form G-Cost Disall &amp; Offset'!$1:$9</definedName>
    <definedName name="_xlnm.Print_Titles" localSheetId="1">'P2 Service Sites &amp; Rel. Parties'!$1:$8</definedName>
    <definedName name="_xlnm.Print_Titles" localSheetId="9">'P3 Form A-1 Health Care'!$1:$8</definedName>
    <definedName name="_xlnm.Print_Titles" localSheetId="10">'P4 Form A-2 - Dental'!$1:$8</definedName>
    <definedName name="_xlnm.Print_Titles" localSheetId="11">'P5 Form A-3 - Mental Health'!$1:$8</definedName>
    <definedName name="_xlnm.Print_Titles" localSheetId="7">'P6 Form A-4 - Non-Allow Other'!$1:$8</definedName>
    <definedName name="_xlnm.Print_Titles" localSheetId="8">'P7 Form A-5 - OH '!$1:$8</definedName>
    <definedName name="_xlnm.Print_Titles" localSheetId="12">'P8 Form B-1 Visits-FTE Hlth '!$1:$15</definedName>
    <definedName name="_xlnm.Print_Titles" localSheetId="13">'P9 Form B-1 Visits-FTE Hlth2 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1" l="1"/>
  <c r="O410" i="40"/>
  <c r="P410" i="40" s="1"/>
  <c r="N410" i="40"/>
  <c r="M410" i="40"/>
  <c r="E316" i="40"/>
  <c r="E269" i="28" s="1"/>
  <c r="F37" i="21"/>
  <c r="H366" i="40"/>
  <c r="H100" i="39"/>
  <c r="H99" i="39"/>
  <c r="H98" i="39"/>
  <c r="D34" i="10"/>
  <c r="H307" i="40"/>
  <c r="H306" i="40"/>
  <c r="H305" i="40"/>
  <c r="H304" i="40"/>
  <c r="H303" i="40"/>
  <c r="H302" i="40"/>
  <c r="H301" i="40"/>
  <c r="H300" i="40"/>
  <c r="H299" i="40"/>
  <c r="H298" i="40"/>
  <c r="H297" i="40"/>
  <c r="H296" i="40"/>
  <c r="H295" i="40"/>
  <c r="H294" i="40"/>
  <c r="H293" i="40"/>
  <c r="H292" i="40"/>
  <c r="H291" i="40"/>
  <c r="H290" i="40"/>
  <c r="H289" i="40"/>
  <c r="H288" i="40"/>
  <c r="H287" i="40"/>
  <c r="H286" i="40"/>
  <c r="H285" i="40"/>
  <c r="H284" i="40"/>
  <c r="H283" i="40"/>
  <c r="H282" i="40"/>
  <c r="H281" i="40"/>
  <c r="H280" i="40"/>
  <c r="H279" i="40"/>
  <c r="H278" i="40"/>
  <c r="H277" i="40"/>
  <c r="H276" i="40"/>
  <c r="H275" i="40"/>
  <c r="H274" i="40"/>
  <c r="H273" i="40"/>
  <c r="H272" i="40"/>
  <c r="H271" i="40"/>
  <c r="H270" i="40"/>
  <c r="H269" i="40"/>
  <c r="H268" i="40"/>
  <c r="H267" i="40"/>
  <c r="H266" i="40"/>
  <c r="H265" i="40"/>
  <c r="H264" i="40"/>
  <c r="H263" i="40"/>
  <c r="H262" i="40"/>
  <c r="H261" i="40"/>
  <c r="H260" i="40"/>
  <c r="H259" i="40"/>
  <c r="H258" i="40"/>
  <c r="H257" i="40"/>
  <c r="H256" i="40"/>
  <c r="AN12" i="24"/>
  <c r="AM12" i="24"/>
  <c r="AL12" i="24"/>
  <c r="AD58" i="24"/>
  <c r="AE58" i="24"/>
  <c r="AC58" i="24"/>
  <c r="BF38" i="24"/>
  <c r="BE38" i="24"/>
  <c r="BG50" i="24"/>
  <c r="F316" i="40"/>
  <c r="F269" i="28"/>
  <c r="H255" i="40"/>
  <c r="H254" i="40"/>
  <c r="H253" i="40"/>
  <c r="H252" i="40"/>
  <c r="H251" i="40"/>
  <c r="H250" i="40"/>
  <c r="H249" i="40"/>
  <c r="H248" i="40"/>
  <c r="H247" i="40"/>
  <c r="H246" i="40"/>
  <c r="H245" i="40"/>
  <c r="H244" i="40"/>
  <c r="H243" i="40"/>
  <c r="H242" i="40"/>
  <c r="H241" i="40"/>
  <c r="H240" i="40"/>
  <c r="H239" i="40"/>
  <c r="H238" i="40"/>
  <c r="H237" i="40"/>
  <c r="H236" i="40"/>
  <c r="H235" i="40"/>
  <c r="H234" i="40"/>
  <c r="H233" i="40"/>
  <c r="H232" i="40"/>
  <c r="H231" i="40"/>
  <c r="H230" i="40"/>
  <c r="H229" i="40"/>
  <c r="H228" i="40"/>
  <c r="H227" i="40"/>
  <c r="H226" i="40"/>
  <c r="H225" i="40"/>
  <c r="H224" i="40"/>
  <c r="H223" i="40"/>
  <c r="H222" i="40"/>
  <c r="H221" i="40"/>
  <c r="H220" i="40"/>
  <c r="H219" i="40"/>
  <c r="H218" i="40"/>
  <c r="H217" i="40"/>
  <c r="H216" i="40"/>
  <c r="H215" i="40"/>
  <c r="H214" i="40"/>
  <c r="H213" i="40"/>
  <c r="H212" i="40"/>
  <c r="H211" i="40"/>
  <c r="H210" i="40"/>
  <c r="H209" i="40"/>
  <c r="H208" i="40"/>
  <c r="H207" i="40"/>
  <c r="H206" i="40"/>
  <c r="H205" i="40"/>
  <c r="H204" i="40"/>
  <c r="H203" i="40"/>
  <c r="H202" i="40"/>
  <c r="H201" i="40"/>
  <c r="H200" i="40"/>
  <c r="H199" i="40"/>
  <c r="H198" i="40"/>
  <c r="H197" i="40"/>
  <c r="H196" i="40"/>
  <c r="H195" i="40"/>
  <c r="H194" i="40"/>
  <c r="H193" i="40"/>
  <c r="H192" i="40"/>
  <c r="H191" i="40"/>
  <c r="H190" i="40"/>
  <c r="H189" i="40"/>
  <c r="H188" i="40"/>
  <c r="H187" i="40"/>
  <c r="H186" i="40"/>
  <c r="H185" i="40"/>
  <c r="H184" i="40"/>
  <c r="H183" i="40"/>
  <c r="H182" i="40"/>
  <c r="H181" i="40"/>
  <c r="H180" i="40"/>
  <c r="H179" i="40"/>
  <c r="H178" i="40"/>
  <c r="H177" i="40"/>
  <c r="H176" i="40"/>
  <c r="H175" i="40"/>
  <c r="H174" i="40"/>
  <c r="H173" i="40"/>
  <c r="H172" i="40"/>
  <c r="H171" i="40"/>
  <c r="H170" i="40"/>
  <c r="H169" i="40"/>
  <c r="H168" i="40"/>
  <c r="H167" i="40"/>
  <c r="H166" i="40"/>
  <c r="H165" i="40"/>
  <c r="H164" i="40"/>
  <c r="H163" i="40"/>
  <c r="H162" i="40"/>
  <c r="H161" i="40"/>
  <c r="H160" i="40"/>
  <c r="H159" i="40"/>
  <c r="H158" i="40"/>
  <c r="H157" i="40"/>
  <c r="H156" i="40"/>
  <c r="H155" i="40"/>
  <c r="H154" i="40"/>
  <c r="H153" i="40"/>
  <c r="H152" i="40"/>
  <c r="H151" i="40"/>
  <c r="H150" i="40"/>
  <c r="H149" i="40"/>
  <c r="H148" i="40"/>
  <c r="H147" i="40"/>
  <c r="H146" i="40"/>
  <c r="H145" i="40"/>
  <c r="H144" i="40"/>
  <c r="H143" i="40"/>
  <c r="H142" i="40"/>
  <c r="H141" i="40"/>
  <c r="H140" i="40"/>
  <c r="H139" i="40"/>
  <c r="H138" i="40"/>
  <c r="H137" i="40"/>
  <c r="H136" i="40"/>
  <c r="H135" i="40"/>
  <c r="H134" i="40"/>
  <c r="H133" i="40"/>
  <c r="H132" i="40"/>
  <c r="H131" i="40"/>
  <c r="H130" i="40"/>
  <c r="H129" i="40"/>
  <c r="H128" i="40"/>
  <c r="H127" i="40"/>
  <c r="H126" i="40"/>
  <c r="H125" i="40"/>
  <c r="H124" i="40"/>
  <c r="H123" i="40"/>
  <c r="H122" i="40"/>
  <c r="H121" i="40"/>
  <c r="H120" i="40"/>
  <c r="H119" i="40"/>
  <c r="H118" i="40"/>
  <c r="H117" i="40"/>
  <c r="H116" i="40"/>
  <c r="H115" i="40"/>
  <c r="H114" i="40"/>
  <c r="H113" i="40"/>
  <c r="H112" i="40"/>
  <c r="H111" i="40"/>
  <c r="H110" i="40"/>
  <c r="H109" i="40"/>
  <c r="H108" i="40"/>
  <c r="H107" i="40"/>
  <c r="H106" i="40"/>
  <c r="H105" i="40"/>
  <c r="H104" i="40"/>
  <c r="H103" i="40"/>
  <c r="H102" i="40"/>
  <c r="H101" i="40"/>
  <c r="H100" i="40"/>
  <c r="H99" i="40"/>
  <c r="H98" i="40"/>
  <c r="H97" i="40"/>
  <c r="H96" i="40"/>
  <c r="H95" i="40"/>
  <c r="H94" i="40"/>
  <c r="H93" i="40"/>
  <c r="H92" i="40"/>
  <c r="H91" i="40"/>
  <c r="H90" i="40"/>
  <c r="H89" i="40"/>
  <c r="H88" i="40"/>
  <c r="H87" i="40"/>
  <c r="H86" i="40"/>
  <c r="H85" i="40"/>
  <c r="H84" i="40"/>
  <c r="H83" i="40"/>
  <c r="H82" i="40"/>
  <c r="H81" i="40"/>
  <c r="H80" i="40"/>
  <c r="H79" i="40"/>
  <c r="H78" i="40"/>
  <c r="H77" i="40"/>
  <c r="H76" i="40"/>
  <c r="H75" i="40"/>
  <c r="H74" i="40"/>
  <c r="H73" i="40"/>
  <c r="H72" i="40"/>
  <c r="H71" i="40"/>
  <c r="H70" i="40"/>
  <c r="H69" i="40"/>
  <c r="H68" i="40"/>
  <c r="H67" i="40"/>
  <c r="H66" i="40"/>
  <c r="F53" i="40"/>
  <c r="G53" i="40"/>
  <c r="H49" i="40"/>
  <c r="H48" i="40"/>
  <c r="H47" i="40"/>
  <c r="H46" i="40"/>
  <c r="H45" i="40"/>
  <c r="H44" i="40"/>
  <c r="H43" i="40"/>
  <c r="H42" i="40"/>
  <c r="H41" i="40"/>
  <c r="H40" i="40"/>
  <c r="H39" i="40"/>
  <c r="H38" i="40"/>
  <c r="H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H22" i="40"/>
  <c r="H21" i="40"/>
  <c r="H20" i="40"/>
  <c r="H19" i="40"/>
  <c r="H18" i="40"/>
  <c r="H17" i="40"/>
  <c r="G16" i="40"/>
  <c r="H16" i="40"/>
  <c r="E16" i="40"/>
  <c r="H15" i="40"/>
  <c r="H14" i="40"/>
  <c r="H13" i="40"/>
  <c r="H12" i="40"/>
  <c r="H11" i="40"/>
  <c r="H10" i="40"/>
  <c r="H9" i="40"/>
  <c r="F55" i="39"/>
  <c r="G103" i="39"/>
  <c r="F371" i="40"/>
  <c r="G371" i="40"/>
  <c r="G322" i="28" s="1"/>
  <c r="H308" i="40"/>
  <c r="H365" i="40"/>
  <c r="H364" i="40"/>
  <c r="H363" i="40"/>
  <c r="H362" i="40"/>
  <c r="H361" i="40"/>
  <c r="H360" i="40"/>
  <c r="H359" i="40"/>
  <c r="H358" i="40"/>
  <c r="H357" i="40"/>
  <c r="H356" i="40"/>
  <c r="H355" i="40"/>
  <c r="H354" i="40"/>
  <c r="H353" i="40"/>
  <c r="H352" i="40"/>
  <c r="H351" i="40"/>
  <c r="H350" i="40"/>
  <c r="H349" i="40"/>
  <c r="H348" i="40"/>
  <c r="H347" i="40"/>
  <c r="H346" i="40"/>
  <c r="H345" i="40"/>
  <c r="H344" i="40"/>
  <c r="H343" i="40"/>
  <c r="H342" i="40"/>
  <c r="H341" i="40"/>
  <c r="H340" i="40"/>
  <c r="H339" i="40"/>
  <c r="H338" i="40"/>
  <c r="H337" i="40"/>
  <c r="H336" i="40"/>
  <c r="H335" i="40"/>
  <c r="H334" i="40"/>
  <c r="H333" i="40"/>
  <c r="H332" i="40"/>
  <c r="H331" i="40"/>
  <c r="H330" i="40"/>
  <c r="H329" i="40"/>
  <c r="H328" i="40"/>
  <c r="E328" i="40"/>
  <c r="H327" i="40"/>
  <c r="H326" i="40"/>
  <c r="H325" i="40"/>
  <c r="H324" i="40"/>
  <c r="H381" i="40"/>
  <c r="H382" i="40"/>
  <c r="H406" i="40"/>
  <c r="H405" i="40"/>
  <c r="H404" i="40"/>
  <c r="H403" i="40"/>
  <c r="H402" i="40"/>
  <c r="H401" i="40"/>
  <c r="H400" i="40"/>
  <c r="H399" i="40"/>
  <c r="H398" i="40"/>
  <c r="H397" i="40"/>
  <c r="H396" i="40"/>
  <c r="H395" i="40"/>
  <c r="H394" i="40"/>
  <c r="H393" i="40"/>
  <c r="H392" i="40"/>
  <c r="H391" i="40"/>
  <c r="H390" i="40"/>
  <c r="H389" i="40"/>
  <c r="H388" i="40"/>
  <c r="H387" i="40"/>
  <c r="H386" i="40"/>
  <c r="H385" i="40"/>
  <c r="H384" i="40"/>
  <c r="H383" i="40"/>
  <c r="F424" i="40"/>
  <c r="G424" i="40" s="1"/>
  <c r="H421" i="40"/>
  <c r="H420" i="40"/>
  <c r="H419" i="40"/>
  <c r="H418" i="40"/>
  <c r="H417" i="40"/>
  <c r="E410" i="40"/>
  <c r="E352" i="28"/>
  <c r="F38" i="21" s="1"/>
  <c r="F410" i="40"/>
  <c r="G410" i="40"/>
  <c r="G352" i="28"/>
  <c r="E426" i="40"/>
  <c r="E363" i="28"/>
  <c r="F103" i="39"/>
  <c r="F80" i="27" s="1"/>
  <c r="E103" i="39"/>
  <c r="E80" i="27" s="1"/>
  <c r="B69" i="39"/>
  <c r="B70" i="39" s="1"/>
  <c r="B71" i="39" s="1"/>
  <c r="B72" i="39" s="1"/>
  <c r="B73" i="39" s="1"/>
  <c r="B74" i="39" s="1"/>
  <c r="B75" i="39" s="1"/>
  <c r="B76" i="39" s="1"/>
  <c r="B77" i="39" s="1"/>
  <c r="B78" i="39" s="1"/>
  <c r="B79" i="39"/>
  <c r="B80" i="39" s="1"/>
  <c r="B81" i="39" s="1"/>
  <c r="B82" i="39" s="1"/>
  <c r="B83" i="39" s="1"/>
  <c r="B84" i="39" s="1"/>
  <c r="B85" i="39" s="1"/>
  <c r="B86" i="39" s="1"/>
  <c r="B87" i="39" s="1"/>
  <c r="B88" i="39" s="1"/>
  <c r="B89" i="39" s="1"/>
  <c r="B90" i="39" s="1"/>
  <c r="B91" i="39" s="1"/>
  <c r="B92" i="39" s="1"/>
  <c r="B93" i="39" s="1"/>
  <c r="B94" i="39" s="1"/>
  <c r="B95" i="39" s="1"/>
  <c r="B96" i="39" s="1"/>
  <c r="B97" i="39" s="1"/>
  <c r="B98" i="39" s="1"/>
  <c r="B99" i="39" s="1"/>
  <c r="B100" i="39" s="1"/>
  <c r="H97" i="39"/>
  <c r="H96" i="39"/>
  <c r="H95" i="39"/>
  <c r="H94" i="39"/>
  <c r="H93" i="39"/>
  <c r="H92" i="39"/>
  <c r="H91" i="39"/>
  <c r="H90" i="39"/>
  <c r="H89" i="39"/>
  <c r="H88" i="39"/>
  <c r="H87" i="39"/>
  <c r="H86" i="39"/>
  <c r="H85" i="39"/>
  <c r="H84" i="39"/>
  <c r="H83" i="39"/>
  <c r="H82" i="39"/>
  <c r="H81" i="39"/>
  <c r="H80" i="39"/>
  <c r="H79" i="39"/>
  <c r="H78" i="39"/>
  <c r="H77" i="39"/>
  <c r="H76" i="39"/>
  <c r="H75" i="39"/>
  <c r="H74" i="39"/>
  <c r="H73" i="39"/>
  <c r="H72" i="39"/>
  <c r="H71" i="39"/>
  <c r="H70" i="39"/>
  <c r="H69" i="39"/>
  <c r="H68" i="39"/>
  <c r="H50" i="39"/>
  <c r="H49" i="39"/>
  <c r="H48" i="39"/>
  <c r="H47" i="39"/>
  <c r="H46" i="39"/>
  <c r="H45" i="39"/>
  <c r="H44" i="39"/>
  <c r="H43" i="39"/>
  <c r="H42" i="39"/>
  <c r="H41" i="39"/>
  <c r="H40" i="39"/>
  <c r="H39" i="39"/>
  <c r="H38" i="39"/>
  <c r="H37" i="39"/>
  <c r="H36" i="39"/>
  <c r="H35" i="39"/>
  <c r="G53" i="39"/>
  <c r="E53" i="39"/>
  <c r="F47" i="39"/>
  <c r="F44" i="39"/>
  <c r="F53" i="39" s="1"/>
  <c r="F58" i="39" s="1"/>
  <c r="F42" i="39"/>
  <c r="F39" i="39"/>
  <c r="F38" i="39"/>
  <c r="F37" i="39"/>
  <c r="F35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22" i="39"/>
  <c r="H23" i="39"/>
  <c r="H7" i="39"/>
  <c r="G24" i="39"/>
  <c r="E24" i="39"/>
  <c r="E28" i="39" s="1"/>
  <c r="E39" i="27" s="1"/>
  <c r="F29" i="21" s="1"/>
  <c r="F23" i="39"/>
  <c r="F24" i="39" s="1"/>
  <c r="F28" i="39" s="1"/>
  <c r="F39" i="27" s="1"/>
  <c r="F7" i="39"/>
  <c r="E678" i="41"/>
  <c r="F740" i="26"/>
  <c r="G691" i="41"/>
  <c r="H691" i="41" s="1"/>
  <c r="G692" i="41"/>
  <c r="G693" i="41"/>
  <c r="G694" i="41"/>
  <c r="G697" i="41"/>
  <c r="H697" i="41"/>
  <c r="G698" i="41"/>
  <c r="H698" i="41"/>
  <c r="G699" i="41"/>
  <c r="H699" i="41" s="1"/>
  <c r="G700" i="41"/>
  <c r="G701" i="41"/>
  <c r="H701" i="41"/>
  <c r="G702" i="41"/>
  <c r="H702" i="41"/>
  <c r="G703" i="41"/>
  <c r="G704" i="41"/>
  <c r="H704" i="41"/>
  <c r="G705" i="41"/>
  <c r="H705" i="41" s="1"/>
  <c r="G706" i="41"/>
  <c r="G707" i="41"/>
  <c r="H707" i="41" s="1"/>
  <c r="G710" i="41"/>
  <c r="G711" i="41"/>
  <c r="H711" i="41"/>
  <c r="G712" i="41"/>
  <c r="H712" i="41" s="1"/>
  <c r="G713" i="41"/>
  <c r="H713" i="41" s="1"/>
  <c r="G714" i="41"/>
  <c r="H714" i="41" s="1"/>
  <c r="G715" i="41"/>
  <c r="G716" i="41"/>
  <c r="H716" i="41"/>
  <c r="G717" i="41"/>
  <c r="H717" i="41" s="1"/>
  <c r="G718" i="41"/>
  <c r="H718" i="41" s="1"/>
  <c r="G719" i="41"/>
  <c r="H719" i="41" s="1"/>
  <c r="G720" i="41"/>
  <c r="H720" i="41"/>
  <c r="G721" i="41"/>
  <c r="H721" i="41"/>
  <c r="G722" i="41"/>
  <c r="H722" i="41" s="1"/>
  <c r="G724" i="41"/>
  <c r="H724" i="41"/>
  <c r="G725" i="41"/>
  <c r="H725" i="41"/>
  <c r="G690" i="41"/>
  <c r="H690" i="41"/>
  <c r="B691" i="41"/>
  <c r="B692" i="41" s="1"/>
  <c r="B693" i="41" s="1"/>
  <c r="B694" i="41" s="1"/>
  <c r="B695" i="41" s="1"/>
  <c r="B696" i="41" s="1"/>
  <c r="B697" i="41" s="1"/>
  <c r="B698" i="41" s="1"/>
  <c r="B699" i="41" s="1"/>
  <c r="B700" i="41" s="1"/>
  <c r="B701" i="41" s="1"/>
  <c r="B702" i="41" s="1"/>
  <c r="B703" i="41" s="1"/>
  <c r="B704" i="41" s="1"/>
  <c r="B705" i="41" s="1"/>
  <c r="B706" i="41" s="1"/>
  <c r="B707" i="41" s="1"/>
  <c r="B708" i="41" s="1"/>
  <c r="B709" i="41" s="1"/>
  <c r="B710" i="41" s="1"/>
  <c r="B711" i="41" s="1"/>
  <c r="B712" i="41" s="1"/>
  <c r="B713" i="41" s="1"/>
  <c r="B714" i="41" s="1"/>
  <c r="B715" i="41" s="1"/>
  <c r="B716" i="41" s="1"/>
  <c r="B717" i="41" s="1"/>
  <c r="B718" i="41" s="1"/>
  <c r="B719" i="41" s="1"/>
  <c r="B720" i="41" s="1"/>
  <c r="B721" i="41" s="1"/>
  <c r="B722" i="41" s="1"/>
  <c r="B723" i="41" s="1"/>
  <c r="B724" i="41" s="1"/>
  <c r="B725" i="41" s="1"/>
  <c r="B726" i="41" s="1"/>
  <c r="F726" i="41"/>
  <c r="G726" i="41" s="1"/>
  <c r="H726" i="41" s="1"/>
  <c r="F723" i="41"/>
  <c r="G723" i="41"/>
  <c r="H723" i="41" s="1"/>
  <c r="H715" i="41"/>
  <c r="H710" i="41"/>
  <c r="F709" i="41"/>
  <c r="G709" i="41"/>
  <c r="H709" i="41" s="1"/>
  <c r="F708" i="41"/>
  <c r="G708" i="41"/>
  <c r="H708" i="41" s="1"/>
  <c r="H706" i="41"/>
  <c r="H703" i="41"/>
  <c r="H700" i="41"/>
  <c r="F696" i="41"/>
  <c r="G696" i="41"/>
  <c r="H696" i="41" s="1"/>
  <c r="F695" i="41"/>
  <c r="G695" i="41"/>
  <c r="H694" i="41"/>
  <c r="H693" i="41"/>
  <c r="H692" i="41"/>
  <c r="F678" i="41"/>
  <c r="G740" i="26" s="1"/>
  <c r="G678" i="41"/>
  <c r="H678" i="41"/>
  <c r="H307" i="41"/>
  <c r="H306" i="41"/>
  <c r="H305" i="41"/>
  <c r="H304" i="41"/>
  <c r="H303" i="41"/>
  <c r="H302" i="41"/>
  <c r="H301" i="41"/>
  <c r="H300" i="41"/>
  <c r="H299" i="41"/>
  <c r="H298" i="41"/>
  <c r="H297" i="41"/>
  <c r="H296" i="41"/>
  <c r="H295" i="41"/>
  <c r="H294" i="41"/>
  <c r="H293" i="41"/>
  <c r="H292" i="41"/>
  <c r="H291" i="41"/>
  <c r="H290" i="41"/>
  <c r="H289" i="41"/>
  <c r="H288" i="41"/>
  <c r="H287" i="41"/>
  <c r="H286" i="41"/>
  <c r="H285" i="41"/>
  <c r="H284" i="41"/>
  <c r="H283" i="41"/>
  <c r="H282" i="41"/>
  <c r="H281" i="41"/>
  <c r="H280" i="41"/>
  <c r="H279" i="41"/>
  <c r="H278" i="41"/>
  <c r="H277" i="41"/>
  <c r="H276" i="41"/>
  <c r="H275" i="41"/>
  <c r="H274" i="41"/>
  <c r="H273" i="41"/>
  <c r="H272" i="41"/>
  <c r="H271" i="41"/>
  <c r="H270" i="41"/>
  <c r="H269" i="41"/>
  <c r="H268" i="41"/>
  <c r="H267" i="41"/>
  <c r="H266" i="41"/>
  <c r="H265" i="41"/>
  <c r="H264" i="41"/>
  <c r="H263" i="41"/>
  <c r="H262" i="41"/>
  <c r="H261" i="41"/>
  <c r="H260" i="41"/>
  <c r="H259" i="41"/>
  <c r="H258" i="41"/>
  <c r="H257" i="41"/>
  <c r="H256" i="41"/>
  <c r="H255" i="41"/>
  <c r="H254" i="41"/>
  <c r="H253" i="41"/>
  <c r="H252" i="41"/>
  <c r="H251" i="41"/>
  <c r="H250" i="41"/>
  <c r="H249" i="41"/>
  <c r="H248" i="41"/>
  <c r="H247" i="41"/>
  <c r="H246" i="41"/>
  <c r="H245" i="41"/>
  <c r="H244" i="41"/>
  <c r="H243" i="41"/>
  <c r="H242" i="41"/>
  <c r="H241" i="41"/>
  <c r="H240" i="41"/>
  <c r="H239" i="41"/>
  <c r="H238" i="41"/>
  <c r="H237" i="41"/>
  <c r="H236" i="41"/>
  <c r="H235" i="41"/>
  <c r="H234" i="41"/>
  <c r="H233" i="41"/>
  <c r="H232" i="41"/>
  <c r="H231" i="41"/>
  <c r="H230" i="41"/>
  <c r="F230" i="41"/>
  <c r="H229" i="41"/>
  <c r="H228" i="41"/>
  <c r="F228" i="41"/>
  <c r="F312" i="41" s="1"/>
  <c r="G407" i="26" s="1"/>
  <c r="H227" i="41"/>
  <c r="H226" i="41"/>
  <c r="H225" i="41"/>
  <c r="F225" i="41"/>
  <c r="H224" i="41"/>
  <c r="H223" i="41"/>
  <c r="H222" i="41"/>
  <c r="H221" i="41"/>
  <c r="H220" i="41"/>
  <c r="H219" i="41"/>
  <c r="H218" i="41"/>
  <c r="H217" i="41"/>
  <c r="H216" i="41"/>
  <c r="H215" i="41"/>
  <c r="H214" i="41"/>
  <c r="H213" i="41"/>
  <c r="H212" i="41"/>
  <c r="H211" i="41"/>
  <c r="H210" i="41"/>
  <c r="H209" i="41"/>
  <c r="H208" i="41"/>
  <c r="H207" i="41"/>
  <c r="H206" i="41"/>
  <c r="H205" i="41"/>
  <c r="H204" i="41"/>
  <c r="H203" i="41"/>
  <c r="H202" i="41"/>
  <c r="H201" i="41"/>
  <c r="H200" i="41"/>
  <c r="H199" i="41"/>
  <c r="H198" i="41"/>
  <c r="H197" i="41"/>
  <c r="H196" i="41"/>
  <c r="H195" i="41"/>
  <c r="H194" i="41"/>
  <c r="H193" i="41"/>
  <c r="H192" i="41"/>
  <c r="H191" i="41"/>
  <c r="H190" i="41"/>
  <c r="H189" i="41"/>
  <c r="H188" i="41"/>
  <c r="H187" i="41"/>
  <c r="H186" i="41"/>
  <c r="H185" i="41"/>
  <c r="H184" i="41"/>
  <c r="H183" i="41"/>
  <c r="H182" i="41"/>
  <c r="H181" i="41"/>
  <c r="H180" i="41"/>
  <c r="H179" i="41"/>
  <c r="H178" i="41"/>
  <c r="H177" i="41"/>
  <c r="H176" i="41"/>
  <c r="H175" i="41"/>
  <c r="H174" i="41"/>
  <c r="H173" i="41"/>
  <c r="H172" i="41"/>
  <c r="H171" i="41"/>
  <c r="H170" i="41"/>
  <c r="H169" i="41"/>
  <c r="H168" i="41"/>
  <c r="H167" i="41"/>
  <c r="H166" i="41"/>
  <c r="H165" i="41"/>
  <c r="H164" i="41"/>
  <c r="H163" i="41"/>
  <c r="H162" i="41"/>
  <c r="H161" i="41"/>
  <c r="H160" i="41"/>
  <c r="H159" i="41"/>
  <c r="H158" i="41"/>
  <c r="H157" i="41"/>
  <c r="H156" i="41"/>
  <c r="H155" i="41"/>
  <c r="H154" i="41"/>
  <c r="H153" i="41"/>
  <c r="H152" i="41"/>
  <c r="H151" i="41"/>
  <c r="H150" i="41"/>
  <c r="H149" i="41"/>
  <c r="H148" i="41"/>
  <c r="H147" i="41"/>
  <c r="H146" i="41"/>
  <c r="H145" i="41"/>
  <c r="H144" i="41"/>
  <c r="H143" i="41"/>
  <c r="H142" i="41"/>
  <c r="H141" i="41"/>
  <c r="H140" i="41"/>
  <c r="H139" i="41"/>
  <c r="H138" i="41"/>
  <c r="H137" i="41"/>
  <c r="H136" i="41"/>
  <c r="H135" i="41"/>
  <c r="H134" i="41"/>
  <c r="H133" i="41"/>
  <c r="H132" i="41"/>
  <c r="H131" i="41"/>
  <c r="H130" i="41"/>
  <c r="H129" i="41"/>
  <c r="H128" i="41"/>
  <c r="H127" i="41"/>
  <c r="H126" i="41"/>
  <c r="H125" i="41"/>
  <c r="H124" i="41"/>
  <c r="H123" i="41"/>
  <c r="H122" i="41"/>
  <c r="H121" i="41"/>
  <c r="H120" i="41"/>
  <c r="H119" i="41"/>
  <c r="H118" i="41"/>
  <c r="H117" i="41"/>
  <c r="H116" i="41"/>
  <c r="H115" i="41"/>
  <c r="H114" i="41"/>
  <c r="H113" i="41"/>
  <c r="H112" i="41"/>
  <c r="H111" i="41"/>
  <c r="H110" i="41"/>
  <c r="H109" i="41"/>
  <c r="H108" i="41"/>
  <c r="H107" i="41"/>
  <c r="H106" i="41"/>
  <c r="H105" i="41"/>
  <c r="H104" i="41"/>
  <c r="H103" i="41"/>
  <c r="H102" i="41"/>
  <c r="H101" i="41"/>
  <c r="H100" i="41"/>
  <c r="H99" i="41"/>
  <c r="H98" i="41"/>
  <c r="H97" i="41"/>
  <c r="H96" i="41"/>
  <c r="H95" i="41"/>
  <c r="H94" i="41"/>
  <c r="H93" i="41"/>
  <c r="F86" i="41"/>
  <c r="G106" i="26" s="1"/>
  <c r="G86" i="41"/>
  <c r="H86" i="41"/>
  <c r="E86" i="41"/>
  <c r="H83" i="41"/>
  <c r="H82" i="41"/>
  <c r="H81" i="41"/>
  <c r="H80" i="41"/>
  <c r="H79" i="41"/>
  <c r="H78" i="41"/>
  <c r="H77" i="41"/>
  <c r="H76" i="41"/>
  <c r="H75" i="41"/>
  <c r="H74" i="41"/>
  <c r="H73" i="41"/>
  <c r="H72" i="41"/>
  <c r="H71" i="41"/>
  <c r="H70" i="41"/>
  <c r="H69" i="41"/>
  <c r="E60" i="41"/>
  <c r="H54" i="41"/>
  <c r="H53" i="41"/>
  <c r="H52" i="41"/>
  <c r="H51" i="41"/>
  <c r="H50" i="41"/>
  <c r="H49" i="41"/>
  <c r="H48" i="41"/>
  <c r="H47" i="41"/>
  <c r="H46" i="41"/>
  <c r="H45" i="41"/>
  <c r="H44" i="41"/>
  <c r="H43" i="41"/>
  <c r="H42" i="41"/>
  <c r="H41" i="41"/>
  <c r="H40" i="41"/>
  <c r="H39" i="41"/>
  <c r="H38" i="41"/>
  <c r="H37" i="41"/>
  <c r="H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H23" i="41"/>
  <c r="H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H9" i="41"/>
  <c r="H8" i="41"/>
  <c r="BM7" i="24"/>
  <c r="BM8" i="24"/>
  <c r="BM9" i="24"/>
  <c r="BM10" i="24"/>
  <c r="BM6" i="24"/>
  <c r="BM28" i="24"/>
  <c r="BM16" i="24"/>
  <c r="BM5" i="24"/>
  <c r="H20" i="32"/>
  <c r="H24" i="32" s="1"/>
  <c r="J19" i="32"/>
  <c r="J18" i="32"/>
  <c r="J16" i="32"/>
  <c r="J14" i="32"/>
  <c r="J13" i="32"/>
  <c r="J11" i="32"/>
  <c r="J7" i="32"/>
  <c r="C6" i="32"/>
  <c r="J6" i="32" s="1"/>
  <c r="AI183" i="24"/>
  <c r="V70" i="24"/>
  <c r="B121" i="24"/>
  <c r="AC68" i="24"/>
  <c r="AC67" i="24"/>
  <c r="AI189" i="24"/>
  <c r="C17" i="32"/>
  <c r="J17" i="32" s="1"/>
  <c r="C13" i="32"/>
  <c r="C15" i="32"/>
  <c r="J15" i="32" s="1"/>
  <c r="C14" i="32"/>
  <c r="C12" i="32"/>
  <c r="J12" i="32" s="1"/>
  <c r="C11" i="32"/>
  <c r="J24" i="37"/>
  <c r="J22" i="37"/>
  <c r="J21" i="37" s="1"/>
  <c r="J30" i="37" s="1"/>
  <c r="E28" i="22"/>
  <c r="D28" i="22"/>
  <c r="D44" i="24"/>
  <c r="BL17" i="24"/>
  <c r="BM17" i="24"/>
  <c r="E6" i="15"/>
  <c r="L6" i="15"/>
  <c r="D8" i="15"/>
  <c r="N29" i="15"/>
  <c r="N40" i="15" s="1"/>
  <c r="N38" i="15"/>
  <c r="E6" i="14"/>
  <c r="L6" i="14"/>
  <c r="D8" i="14"/>
  <c r="L22" i="14"/>
  <c r="L33" i="14"/>
  <c r="E6" i="13"/>
  <c r="G6" i="13"/>
  <c r="H6" i="13"/>
  <c r="C8" i="13"/>
  <c r="H14" i="13"/>
  <c r="H15" i="13"/>
  <c r="H16" i="13"/>
  <c r="H17" i="13"/>
  <c r="H18" i="13"/>
  <c r="D19" i="13"/>
  <c r="E19" i="13"/>
  <c r="F19" i="13"/>
  <c r="G19" i="13"/>
  <c r="H22" i="13"/>
  <c r="H23" i="13"/>
  <c r="H24" i="13"/>
  <c r="H25" i="13"/>
  <c r="H26" i="13"/>
  <c r="H27" i="13"/>
  <c r="H28" i="13"/>
  <c r="H29" i="13"/>
  <c r="H30" i="13"/>
  <c r="H31" i="13"/>
  <c r="D32" i="13"/>
  <c r="E32" i="13"/>
  <c r="F32" i="13"/>
  <c r="G32" i="13"/>
  <c r="H35" i="13"/>
  <c r="H36" i="13"/>
  <c r="H37" i="13"/>
  <c r="H38" i="13"/>
  <c r="H39" i="13"/>
  <c r="H41" i="13" s="1"/>
  <c r="H40" i="13"/>
  <c r="D41" i="13"/>
  <c r="E41" i="13"/>
  <c r="F41" i="13"/>
  <c r="F42" i="13" s="1"/>
  <c r="G41" i="13"/>
  <c r="E6" i="11"/>
  <c r="L6" i="11"/>
  <c r="D8" i="11"/>
  <c r="E6" i="21"/>
  <c r="L6" i="21"/>
  <c r="M6" i="21"/>
  <c r="C8" i="21"/>
  <c r="M17" i="21"/>
  <c r="F19" i="21"/>
  <c r="L19" i="21"/>
  <c r="M19" i="21" s="1"/>
  <c r="F20" i="21"/>
  <c r="L20" i="21"/>
  <c r="M20" i="21" s="1"/>
  <c r="F21" i="21"/>
  <c r="L21" i="21"/>
  <c r="M21" i="21"/>
  <c r="L22" i="21"/>
  <c r="M22" i="21" s="1"/>
  <c r="M23" i="21"/>
  <c r="M24" i="21"/>
  <c r="E26" i="21"/>
  <c r="I26" i="21"/>
  <c r="J26" i="21"/>
  <c r="E32" i="21"/>
  <c r="I32" i="21"/>
  <c r="J32" i="21"/>
  <c r="I37" i="21"/>
  <c r="K38" i="21"/>
  <c r="K39" i="21"/>
  <c r="E40" i="21"/>
  <c r="I40" i="21"/>
  <c r="J40" i="21"/>
  <c r="B10" i="40"/>
  <c r="B11" i="40" s="1"/>
  <c r="B12" i="40"/>
  <c r="B13" i="40" s="1"/>
  <c r="B14" i="40" s="1"/>
  <c r="B15" i="40" s="1"/>
  <c r="B16" i="40"/>
  <c r="B17" i="40" s="1"/>
  <c r="B18" i="40" s="1"/>
  <c r="B19" i="40" s="1"/>
  <c r="B20" i="40" s="1"/>
  <c r="B21" i="40" s="1"/>
  <c r="B22" i="40" s="1"/>
  <c r="B23" i="40" s="1"/>
  <c r="B24" i="40" s="1"/>
  <c r="B25" i="40" s="1"/>
  <c r="B26" i="40"/>
  <c r="B27" i="40" s="1"/>
  <c r="B28" i="40" s="1"/>
  <c r="B29" i="40" s="1"/>
  <c r="B30" i="40" s="1"/>
  <c r="B31" i="40" s="1"/>
  <c r="B32" i="40" s="1"/>
  <c r="B33" i="40" s="1"/>
  <c r="B34" i="40" s="1"/>
  <c r="B35" i="40" s="1"/>
  <c r="B36" i="40" s="1"/>
  <c r="B37" i="40" s="1"/>
  <c r="B38" i="40" s="1"/>
  <c r="B39" i="40" s="1"/>
  <c r="B40" i="40" s="1"/>
  <c r="B41" i="40" s="1"/>
  <c r="B42" i="40" s="1"/>
  <c r="B43" i="40" s="1"/>
  <c r="B44" i="40" s="1"/>
  <c r="B45" i="40" s="1"/>
  <c r="B46" i="40" s="1"/>
  <c r="B47" i="40" s="1"/>
  <c r="B48" i="40" s="1"/>
  <c r="B49" i="40" s="1"/>
  <c r="B59" i="40" s="1"/>
  <c r="E59" i="40"/>
  <c r="E76" i="28"/>
  <c r="F36" i="21"/>
  <c r="B67" i="40"/>
  <c r="B68" i="40"/>
  <c r="B69" i="40"/>
  <c r="B70" i="40" s="1"/>
  <c r="B71" i="40" s="1"/>
  <c r="B72" i="40" s="1"/>
  <c r="B73" i="40" s="1"/>
  <c r="B74" i="40" s="1"/>
  <c r="B75" i="40" s="1"/>
  <c r="B76" i="40" s="1"/>
  <c r="B77" i="40" s="1"/>
  <c r="B78" i="40" s="1"/>
  <c r="B79" i="40" s="1"/>
  <c r="B80" i="40" s="1"/>
  <c r="B81" i="40" s="1"/>
  <c r="B82" i="40"/>
  <c r="B83" i="40" s="1"/>
  <c r="B84" i="40" s="1"/>
  <c r="B85" i="40" s="1"/>
  <c r="B86" i="40" s="1"/>
  <c r="B87" i="40" s="1"/>
  <c r="B88" i="40" s="1"/>
  <c r="B89" i="40" s="1"/>
  <c r="B90" i="40" s="1"/>
  <c r="B91" i="40" s="1"/>
  <c r="B92" i="40" s="1"/>
  <c r="B93" i="40"/>
  <c r="B94" i="40" s="1"/>
  <c r="B95" i="40" s="1"/>
  <c r="B96" i="40" s="1"/>
  <c r="B97" i="40" s="1"/>
  <c r="B98" i="40" s="1"/>
  <c r="B99" i="40" s="1"/>
  <c r="B100" i="40" s="1"/>
  <c r="B101" i="40" s="1"/>
  <c r="B102" i="40" s="1"/>
  <c r="B103" i="40" s="1"/>
  <c r="B104" i="40" s="1"/>
  <c r="B105" i="40" s="1"/>
  <c r="B106" i="40" s="1"/>
  <c r="B107" i="40" s="1"/>
  <c r="B108" i="40" s="1"/>
  <c r="B109" i="40" s="1"/>
  <c r="B110" i="40" s="1"/>
  <c r="B111" i="40" s="1"/>
  <c r="B112" i="40" s="1"/>
  <c r="B113" i="40" s="1"/>
  <c r="B114" i="40" s="1"/>
  <c r="B115" i="40" s="1"/>
  <c r="B116" i="40" s="1"/>
  <c r="B117" i="40" s="1"/>
  <c r="B118" i="40" s="1"/>
  <c r="B119" i="40" s="1"/>
  <c r="B120" i="40" s="1"/>
  <c r="B121" i="40" s="1"/>
  <c r="B122" i="40" s="1"/>
  <c r="B123" i="40" s="1"/>
  <c r="B124" i="40" s="1"/>
  <c r="B125" i="40" s="1"/>
  <c r="B126" i="40" s="1"/>
  <c r="B127" i="40" s="1"/>
  <c r="B128" i="40" s="1"/>
  <c r="B129" i="40" s="1"/>
  <c r="B130" i="40" s="1"/>
  <c r="B131" i="40" s="1"/>
  <c r="B132" i="40" s="1"/>
  <c r="B133" i="40" s="1"/>
  <c r="B134" i="40" s="1"/>
  <c r="B135" i="40" s="1"/>
  <c r="B136" i="40" s="1"/>
  <c r="B137" i="40" s="1"/>
  <c r="B138" i="40" s="1"/>
  <c r="B139" i="40" s="1"/>
  <c r="B140" i="40" s="1"/>
  <c r="B141" i="40" s="1"/>
  <c r="B142" i="40" s="1"/>
  <c r="B143" i="40" s="1"/>
  <c r="B144" i="40" s="1"/>
  <c r="B145" i="40" s="1"/>
  <c r="B146" i="40" s="1"/>
  <c r="B147" i="40" s="1"/>
  <c r="B148" i="40" s="1"/>
  <c r="B149" i="40" s="1"/>
  <c r="B150" i="40" s="1"/>
  <c r="B151" i="40" s="1"/>
  <c r="B152" i="40" s="1"/>
  <c r="B153" i="40" s="1"/>
  <c r="B154" i="40" s="1"/>
  <c r="B155" i="40" s="1"/>
  <c r="B156" i="40" s="1"/>
  <c r="B157" i="40" s="1"/>
  <c r="B158" i="40" s="1"/>
  <c r="B159" i="40" s="1"/>
  <c r="B160" i="40" s="1"/>
  <c r="B161" i="40" s="1"/>
  <c r="B162" i="40" s="1"/>
  <c r="B163" i="40" s="1"/>
  <c r="B164" i="40" s="1"/>
  <c r="B165" i="40" s="1"/>
  <c r="B166" i="40" s="1"/>
  <c r="B167" i="40" s="1"/>
  <c r="B168" i="40" s="1"/>
  <c r="B169" i="40" s="1"/>
  <c r="B170" i="40" s="1"/>
  <c r="B171" i="40" s="1"/>
  <c r="B172" i="40" s="1"/>
  <c r="B173" i="40" s="1"/>
  <c r="B174" i="40" s="1"/>
  <c r="B175" i="40" s="1"/>
  <c r="B176" i="40" s="1"/>
  <c r="B177" i="40" s="1"/>
  <c r="B178" i="40" s="1"/>
  <c r="B179" i="40" s="1"/>
  <c r="B180" i="40" s="1"/>
  <c r="B181" i="40" s="1"/>
  <c r="B182" i="40" s="1"/>
  <c r="B183" i="40" s="1"/>
  <c r="B184" i="40" s="1"/>
  <c r="B185" i="40" s="1"/>
  <c r="B186" i="40" s="1"/>
  <c r="B187" i="40" s="1"/>
  <c r="B188" i="40" s="1"/>
  <c r="B189" i="40" s="1"/>
  <c r="B190" i="40" s="1"/>
  <c r="B191" i="40" s="1"/>
  <c r="B192" i="40" s="1"/>
  <c r="B193" i="40" s="1"/>
  <c r="B194" i="40" s="1"/>
  <c r="B195" i="40" s="1"/>
  <c r="B196" i="40" s="1"/>
  <c r="B197" i="40" s="1"/>
  <c r="B198" i="40" s="1"/>
  <c r="B199" i="40" s="1"/>
  <c r="B200" i="40" s="1"/>
  <c r="B201" i="40" s="1"/>
  <c r="B202" i="40" s="1"/>
  <c r="B203" i="40" s="1"/>
  <c r="B204" i="40" s="1"/>
  <c r="B205" i="40" s="1"/>
  <c r="B206" i="40" s="1"/>
  <c r="B207" i="40" s="1"/>
  <c r="B208" i="40" s="1"/>
  <c r="B209" i="40" s="1"/>
  <c r="B210" i="40" s="1"/>
  <c r="B211" i="40" s="1"/>
  <c r="B212" i="40" s="1"/>
  <c r="B213" i="40" s="1"/>
  <c r="B214" i="40" s="1"/>
  <c r="B215" i="40" s="1"/>
  <c r="B216" i="40" s="1"/>
  <c r="B217" i="40" s="1"/>
  <c r="B218" i="40" s="1"/>
  <c r="B219" i="40" s="1"/>
  <c r="B220" i="40" s="1"/>
  <c r="B221" i="40" s="1"/>
  <c r="B222" i="40" s="1"/>
  <c r="B223" i="40" s="1"/>
  <c r="B224" i="40" s="1"/>
  <c r="B225" i="40" s="1"/>
  <c r="B226" i="40" s="1"/>
  <c r="B227" i="40" s="1"/>
  <c r="B228" i="40" s="1"/>
  <c r="B229" i="40" s="1"/>
  <c r="B230" i="40" s="1"/>
  <c r="B231" i="40" s="1"/>
  <c r="B232" i="40" s="1"/>
  <c r="B233" i="40" s="1"/>
  <c r="B234" i="40" s="1"/>
  <c r="B235" i="40" s="1"/>
  <c r="B236" i="40" s="1"/>
  <c r="B237" i="40" s="1"/>
  <c r="B238" i="40" s="1"/>
  <c r="B239" i="40" s="1"/>
  <c r="B240" i="40" s="1"/>
  <c r="B241" i="40" s="1"/>
  <c r="B242" i="40" s="1"/>
  <c r="B243" i="40" s="1"/>
  <c r="B244" i="40" s="1"/>
  <c r="B245" i="40" s="1"/>
  <c r="B246" i="40" s="1"/>
  <c r="B247" i="40" s="1"/>
  <c r="B248" i="40" s="1"/>
  <c r="B249" i="40" s="1"/>
  <c r="B250" i="40" s="1"/>
  <c r="B251" i="40" s="1"/>
  <c r="B252" i="40" s="1"/>
  <c r="B253" i="40" s="1"/>
  <c r="B254" i="40" s="1"/>
  <c r="B255" i="40" s="1"/>
  <c r="B256" i="40" s="1"/>
  <c r="B257" i="40" s="1"/>
  <c r="B258" i="40" s="1"/>
  <c r="B259" i="40" s="1"/>
  <c r="B260" i="40" s="1"/>
  <c r="B261" i="40" s="1"/>
  <c r="B262" i="40" s="1"/>
  <c r="B263" i="40" s="1"/>
  <c r="B264" i="40" s="1"/>
  <c r="B265" i="40" s="1"/>
  <c r="B266" i="40" s="1"/>
  <c r="B267" i="40" s="1"/>
  <c r="B268" i="40" s="1"/>
  <c r="B269" i="40" s="1"/>
  <c r="B270" i="40" s="1"/>
  <c r="B271" i="40" s="1"/>
  <c r="B272" i="40" s="1"/>
  <c r="B273" i="40" s="1"/>
  <c r="B274" i="40" s="1"/>
  <c r="B275" i="40" s="1"/>
  <c r="B276" i="40" s="1"/>
  <c r="B277" i="40" s="1"/>
  <c r="B278" i="40" s="1"/>
  <c r="B279" i="40" s="1"/>
  <c r="B280" i="40" s="1"/>
  <c r="B281" i="40" s="1"/>
  <c r="B282" i="40" s="1"/>
  <c r="B283" i="40" s="1"/>
  <c r="B284" i="40" s="1"/>
  <c r="B285" i="40" s="1"/>
  <c r="B286" i="40" s="1"/>
  <c r="B287" i="40" s="1"/>
  <c r="B288" i="40" s="1"/>
  <c r="B289" i="40" s="1"/>
  <c r="B290" i="40" s="1"/>
  <c r="B291" i="40" s="1"/>
  <c r="B292" i="40" s="1"/>
  <c r="B293" i="40" s="1"/>
  <c r="B294" i="40" s="1"/>
  <c r="B295" i="40" s="1"/>
  <c r="B296" i="40" s="1"/>
  <c r="B297" i="40" s="1"/>
  <c r="B298" i="40" s="1"/>
  <c r="B299" i="40" s="1"/>
  <c r="B300" i="40" s="1"/>
  <c r="B301" i="40" s="1"/>
  <c r="B302" i="40" s="1"/>
  <c r="B303" i="40" s="1"/>
  <c r="B304" i="40" s="1"/>
  <c r="B305" i="40" s="1"/>
  <c r="B306" i="40" s="1"/>
  <c r="B307" i="40" s="1"/>
  <c r="B308" i="40" s="1"/>
  <c r="C316" i="40" s="1"/>
  <c r="G316" i="40"/>
  <c r="H316" i="40"/>
  <c r="B325" i="40"/>
  <c r="B326" i="40" s="1"/>
  <c r="B327" i="40"/>
  <c r="B328" i="40" s="1"/>
  <c r="B329" i="40" s="1"/>
  <c r="B330" i="40" s="1"/>
  <c r="B331" i="40" s="1"/>
  <c r="B332" i="40" s="1"/>
  <c r="B333" i="40" s="1"/>
  <c r="B334" i="40"/>
  <c r="B335" i="40" s="1"/>
  <c r="B336" i="40" s="1"/>
  <c r="B337" i="40" s="1"/>
  <c r="B338" i="40" s="1"/>
  <c r="B339" i="40" s="1"/>
  <c r="B340" i="40" s="1"/>
  <c r="B341" i="40" s="1"/>
  <c r="B342" i="40" s="1"/>
  <c r="B343" i="40" s="1"/>
  <c r="B344" i="40" s="1"/>
  <c r="B345" i="40" s="1"/>
  <c r="B346" i="40" s="1"/>
  <c r="B347" i="40" s="1"/>
  <c r="B348" i="40" s="1"/>
  <c r="B349" i="40" s="1"/>
  <c r="B350" i="40" s="1"/>
  <c r="B351" i="40" s="1"/>
  <c r="B352" i="40" s="1"/>
  <c r="B353" i="40" s="1"/>
  <c r="B354" i="40" s="1"/>
  <c r="B355" i="40" s="1"/>
  <c r="B356" i="40" s="1"/>
  <c r="B357" i="40" s="1"/>
  <c r="B358" i="40" s="1"/>
  <c r="B359" i="40" s="1"/>
  <c r="B360" i="40" s="1"/>
  <c r="B361" i="40" s="1"/>
  <c r="B362" i="40" s="1"/>
  <c r="B363" i="40" s="1"/>
  <c r="B364" i="40" s="1"/>
  <c r="B382" i="40"/>
  <c r="B383" i="40"/>
  <c r="B384" i="40"/>
  <c r="B385" i="40" s="1"/>
  <c r="B386" i="40" s="1"/>
  <c r="B387" i="40" s="1"/>
  <c r="B388" i="40"/>
  <c r="B389" i="40" s="1"/>
  <c r="B390" i="40" s="1"/>
  <c r="B391" i="40" s="1"/>
  <c r="B392" i="40" s="1"/>
  <c r="B393" i="40" s="1"/>
  <c r="B394" i="40" s="1"/>
  <c r="B395" i="40" s="1"/>
  <c r="B396" i="40" s="1"/>
  <c r="B397" i="40"/>
  <c r="B398" i="40" s="1"/>
  <c r="B399" i="40" s="1"/>
  <c r="B400" i="40" s="1"/>
  <c r="B401" i="40" s="1"/>
  <c r="B402" i="40" s="1"/>
  <c r="B403" i="40" s="1"/>
  <c r="B404" i="40" s="1"/>
  <c r="B405" i="40" s="1"/>
  <c r="B406" i="40" s="1"/>
  <c r="C410" i="40" s="1"/>
  <c r="B418" i="40"/>
  <c r="B419" i="40" s="1"/>
  <c r="B420" i="40" s="1"/>
  <c r="B421" i="40" s="1"/>
  <c r="C426" i="40" s="1"/>
  <c r="E6" i="28"/>
  <c r="G6" i="28"/>
  <c r="H6" i="28"/>
  <c r="C8" i="28"/>
  <c r="H17" i="28"/>
  <c r="A35" i="28"/>
  <c r="A36" i="28"/>
  <c r="A37" i="28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94" i="28"/>
  <c r="A95" i="28"/>
  <c r="A96" i="28" s="1"/>
  <c r="A97" i="28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3" i="28" s="1"/>
  <c r="A264" i="28" s="1"/>
  <c r="A265" i="28" s="1"/>
  <c r="A266" i="28" s="1"/>
  <c r="A267" i="28" s="1"/>
  <c r="A268" i="28" s="1"/>
  <c r="A285" i="28"/>
  <c r="A286" i="28"/>
  <c r="A287" i="28" s="1"/>
  <c r="A288" i="28" s="1"/>
  <c r="A289" i="28" s="1"/>
  <c r="A290" i="28" s="1"/>
  <c r="A291" i="28" s="1"/>
  <c r="A292" i="28"/>
  <c r="A293" i="28" s="1"/>
  <c r="A294" i="28" s="1"/>
  <c r="A295" i="28" s="1"/>
  <c r="A296" i="28" s="1"/>
  <c r="A297" i="28" s="1"/>
  <c r="A298" i="28" s="1"/>
  <c r="A299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/>
  <c r="A337" i="28" s="1"/>
  <c r="A338" i="28" s="1"/>
  <c r="A339" i="28" s="1"/>
  <c r="A340" i="28" s="1"/>
  <c r="A341" i="28" s="1"/>
  <c r="A342" i="28" s="1"/>
  <c r="A343" i="28" s="1"/>
  <c r="A344" i="28" s="1"/>
  <c r="A356" i="28" s="1"/>
  <c r="A357" i="28" s="1"/>
  <c r="A358" i="28" s="1"/>
  <c r="A359" i="28" s="1"/>
  <c r="A360" i="28" s="1"/>
  <c r="A361" i="28" s="1"/>
  <c r="H356" i="28"/>
  <c r="E6" i="18"/>
  <c r="G6" i="18"/>
  <c r="H6" i="18"/>
  <c r="C8" i="18"/>
  <c r="H17" i="18"/>
  <c r="H20" i="18"/>
  <c r="H21" i="18"/>
  <c r="H22" i="18"/>
  <c r="H23" i="18"/>
  <c r="H28" i="18"/>
  <c r="H29" i="18"/>
  <c r="H30" i="18"/>
  <c r="H31" i="18"/>
  <c r="H36" i="18"/>
  <c r="H37" i="18"/>
  <c r="H38" i="18"/>
  <c r="H39" i="18"/>
  <c r="B8" i="39"/>
  <c r="B9" i="39"/>
  <c r="B10" i="39" s="1"/>
  <c r="B11" i="39" s="1"/>
  <c r="B12" i="39" s="1"/>
  <c r="B13" i="39" s="1"/>
  <c r="B14" i="39" s="1"/>
  <c r="B15" i="39" s="1"/>
  <c r="B16" i="39" s="1"/>
  <c r="B17" i="39" s="1"/>
  <c r="B18" i="39" s="1"/>
  <c r="B19" i="39" s="1"/>
  <c r="B20" i="39" s="1"/>
  <c r="B21" i="39" s="1"/>
  <c r="B22" i="39" s="1"/>
  <c r="B23" i="39" s="1"/>
  <c r="D28" i="39" s="1"/>
  <c r="H24" i="39"/>
  <c r="G28" i="39"/>
  <c r="B36" i="39"/>
  <c r="B37" i="39"/>
  <c r="B38" i="39" s="1"/>
  <c r="B39" i="39" s="1"/>
  <c r="B40" i="39" s="1"/>
  <c r="B41" i="39" s="1"/>
  <c r="B42" i="39" s="1"/>
  <c r="B43" i="39" s="1"/>
  <c r="B44" i="39" s="1"/>
  <c r="B45" i="39" s="1"/>
  <c r="B46" i="39" s="1"/>
  <c r="B47" i="39" s="1"/>
  <c r="B48" i="39" s="1"/>
  <c r="B49" i="39" s="1"/>
  <c r="B50" i="39" s="1"/>
  <c r="D58" i="39" s="1"/>
  <c r="H53" i="39"/>
  <c r="E58" i="39"/>
  <c r="E68" i="27" s="1"/>
  <c r="F30" i="21"/>
  <c r="G58" i="39"/>
  <c r="E6" i="27"/>
  <c r="G6" i="27"/>
  <c r="H6" i="27"/>
  <c r="C8" i="27"/>
  <c r="H17" i="27"/>
  <c r="A37" i="27"/>
  <c r="A38" i="27"/>
  <c r="H67" i="27"/>
  <c r="H71" i="27"/>
  <c r="A72" i="27"/>
  <c r="A73" i="27" s="1"/>
  <c r="A74" i="27" s="1"/>
  <c r="A75" i="27" s="1"/>
  <c r="A76" i="27" s="1"/>
  <c r="A77" i="27" s="1"/>
  <c r="A78" i="27" s="1"/>
  <c r="A79" i="27" s="1"/>
  <c r="H72" i="27"/>
  <c r="H73" i="27"/>
  <c r="H74" i="27"/>
  <c r="H75" i="27"/>
  <c r="H76" i="27"/>
  <c r="H77" i="27"/>
  <c r="H78" i="27"/>
  <c r="H79" i="27"/>
  <c r="E6" i="17"/>
  <c r="G6" i="17"/>
  <c r="H6" i="17"/>
  <c r="C8" i="17"/>
  <c r="H17" i="17"/>
  <c r="H20" i="17"/>
  <c r="H21" i="17"/>
  <c r="H22" i="17"/>
  <c r="H23" i="17"/>
  <c r="H28" i="17"/>
  <c r="H29" i="17"/>
  <c r="H30" i="17"/>
  <c r="H31" i="17"/>
  <c r="H36" i="17"/>
  <c r="H37" i="17"/>
  <c r="H38" i="17"/>
  <c r="H39" i="17"/>
  <c r="B9" i="41"/>
  <c r="B10" i="41"/>
  <c r="B11" i="41" s="1"/>
  <c r="B12" i="41" s="1"/>
  <c r="B13" i="41" s="1"/>
  <c r="B14" i="41" s="1"/>
  <c r="B15" i="41" s="1"/>
  <c r="B16" i="41"/>
  <c r="B17" i="41" s="1"/>
  <c r="B18" i="41" s="1"/>
  <c r="B19" i="41" s="1"/>
  <c r="B20" i="41" s="1"/>
  <c r="B21" i="41" s="1"/>
  <c r="B22" i="41" s="1"/>
  <c r="B23" i="41" s="1"/>
  <c r="B24" i="41" s="1"/>
  <c r="B25" i="41" s="1"/>
  <c r="B26" i="41" s="1"/>
  <c r="B27" i="41" s="1"/>
  <c r="B28" i="41" s="1"/>
  <c r="B29" i="41" s="1"/>
  <c r="B30" i="41" s="1"/>
  <c r="B31" i="41" s="1"/>
  <c r="B32" i="41" s="1"/>
  <c r="B33" i="41" s="1"/>
  <c r="B34" i="41" s="1"/>
  <c r="B35" i="41" s="1"/>
  <c r="B36" i="41" s="1"/>
  <c r="B37" i="41" s="1"/>
  <c r="B38" i="41" s="1"/>
  <c r="B39" i="41" s="1"/>
  <c r="B40" i="41" s="1"/>
  <c r="B41" i="41" s="1"/>
  <c r="B42" i="41" s="1"/>
  <c r="B43" i="41" s="1"/>
  <c r="B44" i="41" s="1"/>
  <c r="B45" i="41" s="1"/>
  <c r="B46" i="41" s="1"/>
  <c r="B47" i="41" s="1"/>
  <c r="B48" i="41" s="1"/>
  <c r="B49" i="41" s="1"/>
  <c r="B50" i="41" s="1"/>
  <c r="B51" i="41" s="1"/>
  <c r="B52" i="41" s="1"/>
  <c r="B53" i="41" s="1"/>
  <c r="B54" i="41" s="1"/>
  <c r="B70" i="41"/>
  <c r="B71" i="41" s="1"/>
  <c r="B72" i="41" s="1"/>
  <c r="B73" i="41" s="1"/>
  <c r="B74" i="41" s="1"/>
  <c r="B75" i="41" s="1"/>
  <c r="B76" i="41" s="1"/>
  <c r="B77" i="41" s="1"/>
  <c r="B78" i="41" s="1"/>
  <c r="B79" i="41" s="1"/>
  <c r="B80" i="41" s="1"/>
  <c r="B81" i="41"/>
  <c r="B82" i="41" s="1"/>
  <c r="B83" i="41" s="1"/>
  <c r="B94" i="41"/>
  <c r="B95" i="41" s="1"/>
  <c r="B96" i="41" s="1"/>
  <c r="B97" i="41"/>
  <c r="B98" i="41" s="1"/>
  <c r="B99" i="41" s="1"/>
  <c r="B100" i="41" s="1"/>
  <c r="B101" i="41" s="1"/>
  <c r="B102" i="41" s="1"/>
  <c r="B103" i="41" s="1"/>
  <c r="B104" i="41" s="1"/>
  <c r="B105" i="41" s="1"/>
  <c r="B106" i="41" s="1"/>
  <c r="B107" i="41" s="1"/>
  <c r="B108" i="41" s="1"/>
  <c r="B109" i="41" s="1"/>
  <c r="B110" i="41" s="1"/>
  <c r="B111" i="41" s="1"/>
  <c r="B112" i="41" s="1"/>
  <c r="B113" i="41" s="1"/>
  <c r="B114" i="41" s="1"/>
  <c r="B115" i="41" s="1"/>
  <c r="B116" i="41" s="1"/>
  <c r="B117" i="41" s="1"/>
  <c r="B118" i="41" s="1"/>
  <c r="B119" i="41" s="1"/>
  <c r="B120" i="41" s="1"/>
  <c r="B121" i="41"/>
  <c r="B122" i="41" s="1"/>
  <c r="B123" i="41" s="1"/>
  <c r="B124" i="41" s="1"/>
  <c r="B125" i="41" s="1"/>
  <c r="B126" i="41" s="1"/>
  <c r="B127" i="41" s="1"/>
  <c r="B128" i="41" s="1"/>
  <c r="B129" i="41"/>
  <c r="B130" i="41" s="1"/>
  <c r="B131" i="41" s="1"/>
  <c r="B132" i="41" s="1"/>
  <c r="B133" i="41" s="1"/>
  <c r="B134" i="41" s="1"/>
  <c r="B135" i="41" s="1"/>
  <c r="B136" i="41" s="1"/>
  <c r="B137" i="41" s="1"/>
  <c r="B138" i="41" s="1"/>
  <c r="B139" i="41" s="1"/>
  <c r="B140" i="41" s="1"/>
  <c r="B141" i="41" s="1"/>
  <c r="B142" i="41" s="1"/>
  <c r="B143" i="41" s="1"/>
  <c r="B144" i="41" s="1"/>
  <c r="B145" i="41" s="1"/>
  <c r="B146" i="41" s="1"/>
  <c r="B147" i="41" s="1"/>
  <c r="B148" i="41" s="1"/>
  <c r="B149" i="41" s="1"/>
  <c r="B150" i="41" s="1"/>
  <c r="B151" i="41" s="1"/>
  <c r="B152" i="41" s="1"/>
  <c r="B153" i="41" s="1"/>
  <c r="B154" i="41" s="1"/>
  <c r="B155" i="41" s="1"/>
  <c r="B156" i="41" s="1"/>
  <c r="B157" i="41" s="1"/>
  <c r="B158" i="41" s="1"/>
  <c r="B159" i="41" s="1"/>
  <c r="B160" i="41" s="1"/>
  <c r="B161" i="41" s="1"/>
  <c r="B162" i="41" s="1"/>
  <c r="B163" i="41" s="1"/>
  <c r="B164" i="41" s="1"/>
  <c r="B165" i="41" s="1"/>
  <c r="B166" i="41" s="1"/>
  <c r="B167" i="41" s="1"/>
  <c r="B168" i="41" s="1"/>
  <c r="B169" i="41" s="1"/>
  <c r="B170" i="41" s="1"/>
  <c r="B171" i="41" s="1"/>
  <c r="B172" i="41" s="1"/>
  <c r="B173" i="41" s="1"/>
  <c r="B174" i="41" s="1"/>
  <c r="B175" i="41" s="1"/>
  <c r="B176" i="41" s="1"/>
  <c r="B177" i="41" s="1"/>
  <c r="B178" i="41" s="1"/>
  <c r="B179" i="41" s="1"/>
  <c r="B180" i="41" s="1"/>
  <c r="B181" i="41" s="1"/>
  <c r="B182" i="41" s="1"/>
  <c r="B183" i="41" s="1"/>
  <c r="B184" i="41" s="1"/>
  <c r="B185" i="41" s="1"/>
  <c r="B186" i="41" s="1"/>
  <c r="B187" i="41" s="1"/>
  <c r="B188" i="41" s="1"/>
  <c r="B189" i="41" s="1"/>
  <c r="B190" i="41" s="1"/>
  <c r="B191" i="41" s="1"/>
  <c r="B192" i="41" s="1"/>
  <c r="B193" i="41"/>
  <c r="B194" i="41" s="1"/>
  <c r="B195" i="41" s="1"/>
  <c r="B196" i="41" s="1"/>
  <c r="B197" i="41" s="1"/>
  <c r="B198" i="41" s="1"/>
  <c r="B199" i="41" s="1"/>
  <c r="B200" i="41" s="1"/>
  <c r="B201" i="41" s="1"/>
  <c r="B202" i="41" s="1"/>
  <c r="B203" i="41" s="1"/>
  <c r="B204" i="41" s="1"/>
  <c r="B205" i="41" s="1"/>
  <c r="B206" i="41" s="1"/>
  <c r="B207" i="41" s="1"/>
  <c r="B208" i="41" s="1"/>
  <c r="B209" i="41" s="1"/>
  <c r="B210" i="41" s="1"/>
  <c r="B211" i="41" s="1"/>
  <c r="B212" i="41" s="1"/>
  <c r="B213" i="41" s="1"/>
  <c r="B214" i="41" s="1"/>
  <c r="B215" i="41" s="1"/>
  <c r="B216" i="41" s="1"/>
  <c r="B217" i="41"/>
  <c r="B218" i="41" s="1"/>
  <c r="B219" i="41" s="1"/>
  <c r="B220" i="41" s="1"/>
  <c r="B221" i="41" s="1"/>
  <c r="B222" i="41" s="1"/>
  <c r="B223" i="41" s="1"/>
  <c r="B224" i="41" s="1"/>
  <c r="B225" i="41" s="1"/>
  <c r="B226" i="41" s="1"/>
  <c r="B227" i="41" s="1"/>
  <c r="B228" i="41" s="1"/>
  <c r="B229" i="41" s="1"/>
  <c r="B230" i="41" s="1"/>
  <c r="B231" i="41" s="1"/>
  <c r="B232" i="41" s="1"/>
  <c r="B233" i="41" s="1"/>
  <c r="B234" i="41" s="1"/>
  <c r="B235" i="41" s="1"/>
  <c r="B236" i="41" s="1"/>
  <c r="B237" i="41" s="1"/>
  <c r="B238" i="41" s="1"/>
  <c r="B239" i="41" s="1"/>
  <c r="B240" i="41" s="1"/>
  <c r="B241" i="41" s="1"/>
  <c r="B242" i="41" s="1"/>
  <c r="B243" i="41" s="1"/>
  <c r="B244" i="41" s="1"/>
  <c r="B245" i="41" s="1"/>
  <c r="B246" i="41" s="1"/>
  <c r="B247" i="41" s="1"/>
  <c r="B248" i="41" s="1"/>
  <c r="B249" i="41" s="1"/>
  <c r="B250" i="41" s="1"/>
  <c r="B251" i="41" s="1"/>
  <c r="B252" i="41" s="1"/>
  <c r="B253" i="41" s="1"/>
  <c r="B254" i="41" s="1"/>
  <c r="B255" i="41" s="1"/>
  <c r="B256" i="41" s="1"/>
  <c r="B257" i="41" s="1"/>
  <c r="B258" i="41" s="1"/>
  <c r="B259" i="41" s="1"/>
  <c r="B260" i="41" s="1"/>
  <c r="B261" i="41" s="1"/>
  <c r="B262" i="41" s="1"/>
  <c r="B263" i="41" s="1"/>
  <c r="B264" i="41" s="1"/>
  <c r="B265" i="41" s="1"/>
  <c r="B266" i="41" s="1"/>
  <c r="B267" i="41" s="1"/>
  <c r="B268" i="41" s="1"/>
  <c r="B269" i="41" s="1"/>
  <c r="B270" i="41" s="1"/>
  <c r="B271" i="41" s="1"/>
  <c r="B272" i="41" s="1"/>
  <c r="B273" i="41" s="1"/>
  <c r="B274" i="41" s="1"/>
  <c r="B275" i="41" s="1"/>
  <c r="B276" i="41" s="1"/>
  <c r="B277" i="41" s="1"/>
  <c r="B278" i="41" s="1"/>
  <c r="B279" i="41" s="1"/>
  <c r="B280" i="41" s="1"/>
  <c r="B281" i="41" s="1"/>
  <c r="B282" i="41" s="1"/>
  <c r="B283" i="41" s="1"/>
  <c r="B284" i="41" s="1"/>
  <c r="B285" i="41" s="1"/>
  <c r="B286" i="41" s="1"/>
  <c r="B287" i="41" s="1"/>
  <c r="B288" i="41" s="1"/>
  <c r="B289" i="41" s="1"/>
  <c r="B290" i="41" s="1"/>
  <c r="B291" i="41" s="1"/>
  <c r="B292" i="41" s="1"/>
  <c r="B293" i="41" s="1"/>
  <c r="B294" i="41" s="1"/>
  <c r="B295" i="41" s="1"/>
  <c r="B296" i="41" s="1"/>
  <c r="B297" i="41" s="1"/>
  <c r="B298" i="41" s="1"/>
  <c r="B299" i="41" s="1"/>
  <c r="B300" i="41" s="1"/>
  <c r="B301" i="41" s="1"/>
  <c r="B302" i="41" s="1"/>
  <c r="B303" i="41" s="1"/>
  <c r="B304" i="41" s="1"/>
  <c r="B305" i="41" s="1"/>
  <c r="B306" i="41" s="1"/>
  <c r="B307" i="41" s="1"/>
  <c r="E312" i="41"/>
  <c r="E681" i="41" s="1"/>
  <c r="G312" i="41"/>
  <c r="H312" i="41" s="1"/>
  <c r="B320" i="41"/>
  <c r="B321" i="41"/>
  <c r="B322" i="41" s="1"/>
  <c r="B323" i="41" s="1"/>
  <c r="B324" i="41" s="1"/>
  <c r="B325" i="41" s="1"/>
  <c r="B326" i="41" s="1"/>
  <c r="B327" i="41" s="1"/>
  <c r="B328" i="41" s="1"/>
  <c r="B329" i="41" s="1"/>
  <c r="B330" i="41" s="1"/>
  <c r="B331" i="41" s="1"/>
  <c r="B332" i="41" s="1"/>
  <c r="B333" i="41" s="1"/>
  <c r="B334" i="41" s="1"/>
  <c r="B335" i="41" s="1"/>
  <c r="B336" i="41" s="1"/>
  <c r="B337" i="41" s="1"/>
  <c r="B338" i="41" s="1"/>
  <c r="B339" i="41" s="1"/>
  <c r="B340" i="41" s="1"/>
  <c r="B341" i="41" s="1"/>
  <c r="B342" i="41" s="1"/>
  <c r="B343" i="41" s="1"/>
  <c r="B344" i="41" s="1"/>
  <c r="B345" i="41" s="1"/>
  <c r="B346" i="41" s="1"/>
  <c r="B347" i="41" s="1"/>
  <c r="B348" i="41" s="1"/>
  <c r="B349" i="41" s="1"/>
  <c r="B350" i="41" s="1"/>
  <c r="B351" i="41" s="1"/>
  <c r="B352" i="41" s="1"/>
  <c r="B353" i="41" s="1"/>
  <c r="B354" i="41" s="1"/>
  <c r="B355" i="41" s="1"/>
  <c r="B356" i="41" s="1"/>
  <c r="B357" i="41" s="1"/>
  <c r="B358" i="41" s="1"/>
  <c r="B359" i="41" s="1"/>
  <c r="B360" i="41" s="1"/>
  <c r="B361" i="41" s="1"/>
  <c r="B362" i="41" s="1"/>
  <c r="B363" i="41"/>
  <c r="B364" i="41" s="1"/>
  <c r="B365" i="41" s="1"/>
  <c r="B366" i="41" s="1"/>
  <c r="B367" i="41" s="1"/>
  <c r="B368" i="41" s="1"/>
  <c r="B369" i="41" s="1"/>
  <c r="B370" i="41" s="1"/>
  <c r="B371" i="41" s="1"/>
  <c r="B372" i="41" s="1"/>
  <c r="B373" i="41" s="1"/>
  <c r="B374" i="41" s="1"/>
  <c r="B375" i="41" s="1"/>
  <c r="B376" i="41" s="1"/>
  <c r="B377" i="41" s="1"/>
  <c r="B378" i="41" s="1"/>
  <c r="B379" i="41"/>
  <c r="B380" i="41" s="1"/>
  <c r="B381" i="41" s="1"/>
  <c r="B382" i="41" s="1"/>
  <c r="B383" i="41" s="1"/>
  <c r="B384" i="41" s="1"/>
  <c r="B385" i="41" s="1"/>
  <c r="B386" i="41" s="1"/>
  <c r="B387" i="41" s="1"/>
  <c r="B388" i="41" s="1"/>
  <c r="B389" i="41" s="1"/>
  <c r="B390" i="41" s="1"/>
  <c r="B391" i="41" s="1"/>
  <c r="B392" i="41" s="1"/>
  <c r="B393" i="41" s="1"/>
  <c r="B394" i="41" s="1"/>
  <c r="B395" i="41" s="1"/>
  <c r="B396" i="41" s="1"/>
  <c r="B397" i="41" s="1"/>
  <c r="B398" i="41" s="1"/>
  <c r="B399" i="41" s="1"/>
  <c r="B400" i="41" s="1"/>
  <c r="B401" i="41" s="1"/>
  <c r="B402" i="41" s="1"/>
  <c r="B403" i="41" s="1"/>
  <c r="B404" i="41" s="1"/>
  <c r="B405" i="41" s="1"/>
  <c r="B406" i="41" s="1"/>
  <c r="B407" i="41" s="1"/>
  <c r="B408" i="41" s="1"/>
  <c r="B409" i="41" s="1"/>
  <c r="B410" i="41" s="1"/>
  <c r="B411" i="41" s="1"/>
  <c r="B412" i="41" s="1"/>
  <c r="B413" i="41" s="1"/>
  <c r="B414" i="41" s="1"/>
  <c r="B415" i="41" s="1"/>
  <c r="B416" i="41" s="1"/>
  <c r="B417" i="41" s="1"/>
  <c r="B418" i="41" s="1"/>
  <c r="B419" i="41" s="1"/>
  <c r="B420" i="41" s="1"/>
  <c r="B421" i="41" s="1"/>
  <c r="B422" i="41" s="1"/>
  <c r="B423" i="41" s="1"/>
  <c r="B424" i="41" s="1"/>
  <c r="B425" i="41" s="1"/>
  <c r="B426" i="41" s="1"/>
  <c r="B427" i="41" s="1"/>
  <c r="B428" i="41" s="1"/>
  <c r="B429" i="41" s="1"/>
  <c r="B430" i="41" s="1"/>
  <c r="B431" i="41" s="1"/>
  <c r="B432" i="41" s="1"/>
  <c r="B433" i="41" s="1"/>
  <c r="B434" i="41" s="1"/>
  <c r="B435" i="41" s="1"/>
  <c r="B436" i="41" s="1"/>
  <c r="B437" i="41" s="1"/>
  <c r="B438" i="41" s="1"/>
  <c r="B439" i="41" s="1"/>
  <c r="B440" i="41" s="1"/>
  <c r="B441" i="41" s="1"/>
  <c r="B442" i="41" s="1"/>
  <c r="B443" i="41" s="1"/>
  <c r="B444" i="41" s="1"/>
  <c r="B445" i="41" s="1"/>
  <c r="B446" i="41" s="1"/>
  <c r="B447" i="41" s="1"/>
  <c r="B448" i="41" s="1"/>
  <c r="B449" i="41"/>
  <c r="B450" i="41" s="1"/>
  <c r="B451" i="41" s="1"/>
  <c r="B452" i="41" s="1"/>
  <c r="B453" i="41" s="1"/>
  <c r="B454" i="41" s="1"/>
  <c r="B455" i="41" s="1"/>
  <c r="B456" i="41" s="1"/>
  <c r="B457" i="41" s="1"/>
  <c r="B458" i="41" s="1"/>
  <c r="B459" i="41" s="1"/>
  <c r="B460" i="41" s="1"/>
  <c r="B461" i="41" s="1"/>
  <c r="B462" i="41" s="1"/>
  <c r="B463" i="41" s="1"/>
  <c r="B464" i="41" s="1"/>
  <c r="B465" i="41" s="1"/>
  <c r="B466" i="41" s="1"/>
  <c r="B467" i="41" s="1"/>
  <c r="B468" i="41" s="1"/>
  <c r="B469" i="41" s="1"/>
  <c r="B470" i="41" s="1"/>
  <c r="B471" i="41" s="1"/>
  <c r="B472" i="41" s="1"/>
  <c r="B473" i="41" s="1"/>
  <c r="B474" i="41" s="1"/>
  <c r="B475" i="41" s="1"/>
  <c r="B476" i="41" s="1"/>
  <c r="B477" i="41" s="1"/>
  <c r="B478" i="41" s="1"/>
  <c r="B479" i="41" s="1"/>
  <c r="B480" i="41" s="1"/>
  <c r="B481" i="41" s="1"/>
  <c r="B482" i="41" s="1"/>
  <c r="B483" i="41" s="1"/>
  <c r="B484" i="41" s="1"/>
  <c r="B485" i="41" s="1"/>
  <c r="B486" i="41" s="1"/>
  <c r="B487" i="41" s="1"/>
  <c r="B488" i="41" s="1"/>
  <c r="B489" i="41" s="1"/>
  <c r="B490" i="41" s="1"/>
  <c r="B491" i="41" s="1"/>
  <c r="B492" i="41" s="1"/>
  <c r="B493" i="41" s="1"/>
  <c r="B494" i="41" s="1"/>
  <c r="B495" i="41" s="1"/>
  <c r="B496" i="41" s="1"/>
  <c r="B497" i="41" s="1"/>
  <c r="B498" i="41" s="1"/>
  <c r="B499" i="41" s="1"/>
  <c r="B500" i="41" s="1"/>
  <c r="B501" i="41" s="1"/>
  <c r="B502" i="41" s="1"/>
  <c r="B503" i="41" s="1"/>
  <c r="B504" i="41" s="1"/>
  <c r="B505" i="41" s="1"/>
  <c r="B506" i="41" s="1"/>
  <c r="B507" i="41" s="1"/>
  <c r="B508" i="41" s="1"/>
  <c r="B509" i="41" s="1"/>
  <c r="B510" i="41" s="1"/>
  <c r="B511" i="41" s="1"/>
  <c r="B512" i="41" s="1"/>
  <c r="B513" i="41" s="1"/>
  <c r="B514" i="41" s="1"/>
  <c r="B515" i="41" s="1"/>
  <c r="B516" i="41" s="1"/>
  <c r="B517" i="41" s="1"/>
  <c r="B518" i="41" s="1"/>
  <c r="B519" i="41" s="1"/>
  <c r="B520" i="41" s="1"/>
  <c r="B521" i="41" s="1"/>
  <c r="B522" i="41" s="1"/>
  <c r="B523" i="41" s="1"/>
  <c r="B524" i="41" s="1"/>
  <c r="B525" i="41" s="1"/>
  <c r="B526" i="41" s="1"/>
  <c r="B527" i="41" s="1"/>
  <c r="B528" i="41" s="1"/>
  <c r="B529" i="41" s="1"/>
  <c r="B530" i="41" s="1"/>
  <c r="B531" i="41" s="1"/>
  <c r="B532" i="41" s="1"/>
  <c r="B533" i="41" s="1"/>
  <c r="B534" i="41" s="1"/>
  <c r="B535" i="41" s="1"/>
  <c r="B536" i="41" s="1"/>
  <c r="B537" i="41" s="1"/>
  <c r="B538" i="41" s="1"/>
  <c r="B539" i="41" s="1"/>
  <c r="B540" i="41" s="1"/>
  <c r="B541" i="41" s="1"/>
  <c r="B542" i="41" s="1"/>
  <c r="B543" i="41" s="1"/>
  <c r="B544" i="41" s="1"/>
  <c r="B545" i="41" s="1"/>
  <c r="B546" i="41" s="1"/>
  <c r="B547" i="41" s="1"/>
  <c r="B548" i="41" s="1"/>
  <c r="B549" i="41" s="1"/>
  <c r="B550" i="41" s="1"/>
  <c r="B551" i="41" s="1"/>
  <c r="B552" i="41" s="1"/>
  <c r="B553" i="41" s="1"/>
  <c r="B554" i="41" s="1"/>
  <c r="B555" i="41" s="1"/>
  <c r="B556" i="41" s="1"/>
  <c r="B557" i="41" s="1"/>
  <c r="B558" i="41" s="1"/>
  <c r="B559" i="41" s="1"/>
  <c r="B560" i="41" s="1"/>
  <c r="B561" i="41" s="1"/>
  <c r="B562" i="41" s="1"/>
  <c r="B563" i="41" s="1"/>
  <c r="B564" i="41" s="1"/>
  <c r="B565" i="41" s="1"/>
  <c r="B566" i="41" s="1"/>
  <c r="B567" i="41" s="1"/>
  <c r="B568" i="41" s="1"/>
  <c r="B569" i="41" s="1"/>
  <c r="B570" i="41" s="1"/>
  <c r="B571" i="41" s="1"/>
  <c r="B572" i="41" s="1"/>
  <c r="B573" i="41" s="1"/>
  <c r="B574" i="41" s="1"/>
  <c r="B575" i="41" s="1"/>
  <c r="B576" i="41" s="1"/>
  <c r="B577" i="41" s="1"/>
  <c r="B578" i="41" s="1"/>
  <c r="B579" i="41" s="1"/>
  <c r="B580" i="41" s="1"/>
  <c r="B581" i="41" s="1"/>
  <c r="B582" i="41" s="1"/>
  <c r="B583" i="41" s="1"/>
  <c r="B584" i="41" s="1"/>
  <c r="B585" i="41" s="1"/>
  <c r="B586" i="41" s="1"/>
  <c r="B587" i="41" s="1"/>
  <c r="B588" i="41" s="1"/>
  <c r="B589" i="41" s="1"/>
  <c r="B590" i="41" s="1"/>
  <c r="B591" i="41" s="1"/>
  <c r="B592" i="41" s="1"/>
  <c r="B593" i="41" s="1"/>
  <c r="B594" i="41" s="1"/>
  <c r="B595" i="41" s="1"/>
  <c r="B596" i="41" s="1"/>
  <c r="B597" i="41" s="1"/>
  <c r="B598" i="41" s="1"/>
  <c r="B599" i="41" s="1"/>
  <c r="B600" i="41" s="1"/>
  <c r="B601" i="41" s="1"/>
  <c r="B602" i="41" s="1"/>
  <c r="B603" i="41" s="1"/>
  <c r="B604" i="41" s="1"/>
  <c r="B605" i="41" s="1"/>
  <c r="B606" i="41" s="1"/>
  <c r="B607" i="41" s="1"/>
  <c r="B608" i="41" s="1"/>
  <c r="B609" i="41" s="1"/>
  <c r="B610" i="41" s="1"/>
  <c r="B611" i="41" s="1"/>
  <c r="B612" i="41" s="1"/>
  <c r="B613" i="41" s="1"/>
  <c r="B614" i="41" s="1"/>
  <c r="B615" i="41" s="1"/>
  <c r="B616" i="41" s="1"/>
  <c r="B617" i="41" s="1"/>
  <c r="B618" i="41" s="1"/>
  <c r="B619" i="41" s="1"/>
  <c r="B620" i="41" s="1"/>
  <c r="B621" i="41" s="1"/>
  <c r="B622" i="41" s="1"/>
  <c r="B623" i="41" s="1"/>
  <c r="B624" i="41" s="1"/>
  <c r="B625" i="41" s="1"/>
  <c r="B626" i="41" s="1"/>
  <c r="B627" i="41" s="1"/>
  <c r="B628" i="41" s="1"/>
  <c r="B629" i="41" s="1"/>
  <c r="B630" i="41" s="1"/>
  <c r="B631" i="41" s="1"/>
  <c r="B632" i="41" s="1"/>
  <c r="B633" i="41" s="1"/>
  <c r="B634" i="41" s="1"/>
  <c r="B635" i="41" s="1"/>
  <c r="B636" i="41" s="1"/>
  <c r="B637" i="41" s="1"/>
  <c r="B638" i="41" s="1"/>
  <c r="B639" i="41" s="1"/>
  <c r="B640" i="41" s="1"/>
  <c r="B641" i="41" s="1"/>
  <c r="B642" i="41" s="1"/>
  <c r="B643" i="41" s="1"/>
  <c r="B644" i="41" s="1"/>
  <c r="B645" i="41" s="1"/>
  <c r="B646" i="41" s="1"/>
  <c r="B647" i="41" s="1"/>
  <c r="B648" i="41" s="1"/>
  <c r="B649" i="41" s="1"/>
  <c r="B650" i="41" s="1"/>
  <c r="B651" i="41" s="1"/>
  <c r="B652" i="41" s="1"/>
  <c r="B653" i="41" s="1"/>
  <c r="B654" i="41" s="1"/>
  <c r="B655" i="41" s="1"/>
  <c r="B656" i="41" s="1"/>
  <c r="B657" i="41" s="1"/>
  <c r="B658" i="41" s="1"/>
  <c r="B659" i="41" s="1"/>
  <c r="B660" i="41" s="1"/>
  <c r="B661" i="41" s="1"/>
  <c r="B662" i="41" s="1"/>
  <c r="B663" i="41" s="1"/>
  <c r="B664" i="41" s="1"/>
  <c r="B665" i="41" s="1"/>
  <c r="B666" i="41" s="1"/>
  <c r="B667" i="41" s="1"/>
  <c r="B668" i="41" s="1"/>
  <c r="B669" i="41" s="1"/>
  <c r="B670" i="41" s="1"/>
  <c r="B671" i="41" s="1"/>
  <c r="B672" i="41" s="1"/>
  <c r="B673" i="41" s="1"/>
  <c r="C678" i="41" s="1"/>
  <c r="F6" i="26"/>
  <c r="H6" i="26"/>
  <c r="I6" i="26"/>
  <c r="C8" i="26"/>
  <c r="I17" i="26"/>
  <c r="I66" i="26"/>
  <c r="I106" i="26"/>
  <c r="A110" i="26"/>
  <c r="A111" i="26" s="1"/>
  <c r="A112" i="26"/>
  <c r="A113" i="26" s="1"/>
  <c r="A114" i="26" s="1"/>
  <c r="A115" i="26"/>
  <c r="A116" i="26" s="1"/>
  <c r="A117" i="26" s="1"/>
  <c r="A118" i="26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2" i="26" s="1"/>
  <c r="A303" i="26" s="1"/>
  <c r="A304" i="26" s="1"/>
  <c r="A305" i="26" s="1"/>
  <c r="A306" i="26" s="1"/>
  <c r="A307" i="26" s="1"/>
  <c r="A308" i="26" s="1"/>
  <c r="A309" i="26" s="1"/>
  <c r="A310" i="26" s="1"/>
  <c r="A311" i="26" s="1"/>
  <c r="A312" i="26" s="1"/>
  <c r="A313" i="26" s="1"/>
  <c r="A314" i="26" s="1"/>
  <c r="A315" i="26" s="1"/>
  <c r="A316" i="26" s="1"/>
  <c r="A317" i="26" s="1"/>
  <c r="A318" i="26" s="1"/>
  <c r="A319" i="26" s="1"/>
  <c r="A320" i="26" s="1"/>
  <c r="A321" i="26" s="1"/>
  <c r="A322" i="26" s="1"/>
  <c r="A323" i="26" s="1"/>
  <c r="A324" i="26" s="1"/>
  <c r="A325" i="26" s="1"/>
  <c r="A326" i="26" s="1"/>
  <c r="A327" i="26" s="1"/>
  <c r="A328" i="26" s="1"/>
  <c r="A329" i="26" s="1"/>
  <c r="A330" i="26" s="1"/>
  <c r="A331" i="26" s="1"/>
  <c r="A332" i="26" s="1"/>
  <c r="A333" i="26" s="1"/>
  <c r="A334" i="26" s="1"/>
  <c r="A335" i="26" s="1"/>
  <c r="A336" i="26" s="1"/>
  <c r="A337" i="26" s="1"/>
  <c r="A338" i="26" s="1"/>
  <c r="A339" i="26" s="1"/>
  <c r="A340" i="26" s="1"/>
  <c r="A341" i="26" s="1"/>
  <c r="A342" i="26" s="1"/>
  <c r="A343" i="26" s="1"/>
  <c r="A344" i="26" s="1"/>
  <c r="A345" i="26" s="1"/>
  <c r="A346" i="26" s="1"/>
  <c r="A347" i="26" s="1"/>
  <c r="A348" i="26" s="1"/>
  <c r="A349" i="26" s="1"/>
  <c r="A350" i="26" s="1"/>
  <c r="A351" i="26" s="1"/>
  <c r="A352" i="26" s="1"/>
  <c r="A353" i="26" s="1"/>
  <c r="A354" i="26" s="1"/>
  <c r="A355" i="26" s="1"/>
  <c r="A356" i="26" s="1"/>
  <c r="A357" i="26" s="1"/>
  <c r="A358" i="26" s="1"/>
  <c r="A359" i="26" s="1"/>
  <c r="A360" i="26" s="1"/>
  <c r="A361" i="26" s="1"/>
  <c r="A362" i="26" s="1"/>
  <c r="A363" i="26" s="1"/>
  <c r="A364" i="26" s="1"/>
  <c r="A365" i="26" s="1"/>
  <c r="A366" i="26" s="1"/>
  <c r="A367" i="26" s="1"/>
  <c r="A368" i="26" s="1"/>
  <c r="A369" i="26" s="1"/>
  <c r="A370" i="26" s="1"/>
  <c r="A371" i="26" s="1"/>
  <c r="A372" i="26" s="1"/>
  <c r="A373" i="26" s="1"/>
  <c r="A374" i="26" s="1"/>
  <c r="A375" i="26" s="1"/>
  <c r="A376" i="26" s="1"/>
  <c r="A377" i="26" s="1"/>
  <c r="A378" i="26" s="1"/>
  <c r="A379" i="26" s="1"/>
  <c r="A380" i="26" s="1"/>
  <c r="A381" i="26" s="1"/>
  <c r="A382" i="26" s="1"/>
  <c r="A383" i="26" s="1"/>
  <c r="A384" i="26" s="1"/>
  <c r="A385" i="26" s="1"/>
  <c r="A386" i="26" s="1"/>
  <c r="A387" i="26" s="1"/>
  <c r="A388" i="26" s="1"/>
  <c r="A389" i="26" s="1"/>
  <c r="A390" i="26" s="1"/>
  <c r="A391" i="26" s="1"/>
  <c r="A392" i="26" s="1"/>
  <c r="A393" i="26" s="1"/>
  <c r="A394" i="26" s="1"/>
  <c r="A395" i="26" s="1"/>
  <c r="A396" i="26" s="1"/>
  <c r="A397" i="26" s="1"/>
  <c r="A398" i="26" s="1"/>
  <c r="A399" i="26" s="1"/>
  <c r="A400" i="26" s="1"/>
  <c r="A401" i="26" s="1"/>
  <c r="A402" i="26" s="1"/>
  <c r="A403" i="26" s="1"/>
  <c r="A404" i="26" s="1"/>
  <c r="A405" i="26" s="1"/>
  <c r="A406" i="26" s="1"/>
  <c r="I407" i="26"/>
  <c r="A412" i="26"/>
  <c r="A413" i="26" s="1"/>
  <c r="A414" i="26" s="1"/>
  <c r="A415" i="26"/>
  <c r="A416" i="26" s="1"/>
  <c r="A417" i="26" s="1"/>
  <c r="A418" i="26"/>
  <c r="A419" i="26" s="1"/>
  <c r="A420" i="26"/>
  <c r="A421" i="26" s="1"/>
  <c r="A422" i="26" s="1"/>
  <c r="A423" i="26" s="1"/>
  <c r="A424" i="26" s="1"/>
  <c r="A425" i="26" s="1"/>
  <c r="A426" i="26" s="1"/>
  <c r="A427" i="26" s="1"/>
  <c r="A428" i="26" s="1"/>
  <c r="A429" i="26" s="1"/>
  <c r="A430" i="26" s="1"/>
  <c r="A431" i="26" s="1"/>
  <c r="A432" i="26" s="1"/>
  <c r="A433" i="26" s="1"/>
  <c r="A434" i="26" s="1"/>
  <c r="A435" i="26" s="1"/>
  <c r="A436" i="26" s="1"/>
  <c r="A437" i="26" s="1"/>
  <c r="A438" i="26" s="1"/>
  <c r="A439" i="26" s="1"/>
  <c r="A440" i="26" s="1"/>
  <c r="A441" i="26" s="1"/>
  <c r="A442" i="26" s="1"/>
  <c r="A443" i="26" s="1"/>
  <c r="A444" i="26" s="1"/>
  <c r="A445" i="26" s="1"/>
  <c r="A446" i="26" s="1"/>
  <c r="A447" i="26" s="1"/>
  <c r="A448" i="26" s="1"/>
  <c r="A449" i="26" s="1"/>
  <c r="A450" i="26" s="1"/>
  <c r="A451" i="26" s="1"/>
  <c r="A452" i="26" s="1"/>
  <c r="A453" i="26" s="1"/>
  <c r="A454" i="26" s="1"/>
  <c r="A455" i="26" s="1"/>
  <c r="A456" i="26" s="1"/>
  <c r="A457" i="26" s="1"/>
  <c r="A458" i="26" s="1"/>
  <c r="A459" i="26" s="1"/>
  <c r="A460" i="26" s="1"/>
  <c r="A461" i="26" s="1"/>
  <c r="A462" i="26" s="1"/>
  <c r="A463" i="26" s="1"/>
  <c r="A464" i="26" s="1"/>
  <c r="A465" i="26" s="1"/>
  <c r="A466" i="26" s="1"/>
  <c r="A467" i="26" s="1"/>
  <c r="A468" i="26" s="1"/>
  <c r="A469" i="26" s="1"/>
  <c r="A470" i="26" s="1"/>
  <c r="A471" i="26" s="1"/>
  <c r="A472" i="26" s="1"/>
  <c r="A473" i="26" s="1"/>
  <c r="A474" i="26" s="1"/>
  <c r="A475" i="26" s="1"/>
  <c r="A476" i="26" s="1"/>
  <c r="A477" i="26" s="1"/>
  <c r="A478" i="26" s="1"/>
  <c r="A479" i="26" s="1"/>
  <c r="A480" i="26" s="1"/>
  <c r="A481" i="26" s="1"/>
  <c r="A482" i="26" s="1"/>
  <c r="A483" i="26" s="1"/>
  <c r="A484" i="26" s="1"/>
  <c r="A485" i="26" s="1"/>
  <c r="I486" i="26"/>
  <c r="A514" i="26"/>
  <c r="A515" i="26" s="1"/>
  <c r="A516" i="26" s="1"/>
  <c r="A517" i="26"/>
  <c r="A518" i="26" s="1"/>
  <c r="A519" i="26" s="1"/>
  <c r="A520" i="26" s="1"/>
  <c r="A521" i="26" s="1"/>
  <c r="A522" i="26" s="1"/>
  <c r="A523" i="26" s="1"/>
  <c r="A524" i="26" s="1"/>
  <c r="A525" i="26"/>
  <c r="A526" i="26" s="1"/>
  <c r="A527" i="26" s="1"/>
  <c r="A528" i="26" s="1"/>
  <c r="A529" i="26" s="1"/>
  <c r="A530" i="26" s="1"/>
  <c r="A531" i="26" s="1"/>
  <c r="A532" i="26" s="1"/>
  <c r="A533" i="26" s="1"/>
  <c r="A534" i="26" s="1"/>
  <c r="A535" i="26" s="1"/>
  <c r="A536" i="26" s="1"/>
  <c r="A537" i="26" s="1"/>
  <c r="A538" i="26" s="1"/>
  <c r="A539" i="26" s="1"/>
  <c r="A540" i="26" s="1"/>
  <c r="A541" i="26" s="1"/>
  <c r="A542" i="26" s="1"/>
  <c r="A543" i="26" s="1"/>
  <c r="A544" i="26" s="1"/>
  <c r="A545" i="26" s="1"/>
  <c r="A546" i="26" s="1"/>
  <c r="A547" i="26" s="1"/>
  <c r="A548" i="26" s="1"/>
  <c r="A549" i="26" s="1"/>
  <c r="A550" i="26" s="1"/>
  <c r="A551" i="26" s="1"/>
  <c r="A552" i="26" s="1"/>
  <c r="A553" i="26" s="1"/>
  <c r="A554" i="26" s="1"/>
  <c r="A555" i="26" s="1"/>
  <c r="A556" i="26" s="1"/>
  <c r="A557" i="26" s="1"/>
  <c r="A558" i="26" s="1"/>
  <c r="A559" i="26" s="1"/>
  <c r="A560" i="26" s="1"/>
  <c r="A561" i="26" s="1"/>
  <c r="A562" i="26" s="1"/>
  <c r="A563" i="26" s="1"/>
  <c r="A564" i="26" s="1"/>
  <c r="A565" i="26" s="1"/>
  <c r="A566" i="26" s="1"/>
  <c r="A567" i="26" s="1"/>
  <c r="A568" i="26" s="1"/>
  <c r="I737" i="26"/>
  <c r="I738" i="26"/>
  <c r="F6" i="20"/>
  <c r="H6" i="20"/>
  <c r="I6" i="20"/>
  <c r="C8" i="20"/>
  <c r="I17" i="20"/>
  <c r="H19" i="20"/>
  <c r="I19" i="20"/>
  <c r="I24" i="20"/>
  <c r="I20" i="20"/>
  <c r="I21" i="20"/>
  <c r="I22" i="20"/>
  <c r="I23" i="20"/>
  <c r="G27" i="20"/>
  <c r="G32" i="20" s="1"/>
  <c r="H27" i="20"/>
  <c r="H32" i="20" s="1"/>
  <c r="I27" i="20"/>
  <c r="I28" i="20"/>
  <c r="I29" i="20"/>
  <c r="I30" i="20"/>
  <c r="I32" i="20" s="1"/>
  <c r="I31" i="20"/>
  <c r="F32" i="20"/>
  <c r="I36" i="20"/>
  <c r="I37" i="20"/>
  <c r="F6" i="16"/>
  <c r="H6" i="16"/>
  <c r="I6" i="16"/>
  <c r="C8" i="16"/>
  <c r="I17" i="16"/>
  <c r="H19" i="16"/>
  <c r="I19" i="16" s="1"/>
  <c r="I20" i="16"/>
  <c r="I21" i="16"/>
  <c r="I22" i="16"/>
  <c r="I23" i="16"/>
  <c r="I24" i="16"/>
  <c r="I25" i="16"/>
  <c r="I26" i="16"/>
  <c r="I27" i="16"/>
  <c r="I28" i="16"/>
  <c r="H29" i="16"/>
  <c r="H32" i="16"/>
  <c r="I32" i="16" s="1"/>
  <c r="I37" i="16" s="1"/>
  <c r="I33" i="16"/>
  <c r="I34" i="16"/>
  <c r="I35" i="16"/>
  <c r="I36" i="16"/>
  <c r="E6" i="8"/>
  <c r="I6" i="8"/>
  <c r="C8" i="8"/>
  <c r="D19" i="8"/>
  <c r="F19" i="8"/>
  <c r="H19" i="8" s="1"/>
  <c r="E19" i="8"/>
  <c r="D20" i="8"/>
  <c r="E27" i="18"/>
  <c r="E32" i="18" s="1"/>
  <c r="E20" i="8"/>
  <c r="F24" i="8"/>
  <c r="H24" i="8"/>
  <c r="J24" i="8" s="1"/>
  <c r="F25" i="8"/>
  <c r="H25" i="8"/>
  <c r="J25" i="8"/>
  <c r="F26" i="8"/>
  <c r="H26" i="8" s="1"/>
  <c r="J26" i="8" s="1"/>
  <c r="F27" i="8"/>
  <c r="H27" i="8" s="1"/>
  <c r="J27" i="8" s="1"/>
  <c r="F28" i="8"/>
  <c r="H28" i="8"/>
  <c r="J28" i="8"/>
  <c r="F29" i="8"/>
  <c r="H29" i="8"/>
  <c r="J29" i="8"/>
  <c r="G30" i="8"/>
  <c r="I30" i="8"/>
  <c r="E32" i="8"/>
  <c r="F32" i="8"/>
  <c r="H32" i="8"/>
  <c r="E33" i="8"/>
  <c r="F33" i="8"/>
  <c r="E34" i="8"/>
  <c r="F34" i="8"/>
  <c r="F38" i="8"/>
  <c r="F39" i="8"/>
  <c r="H39" i="8"/>
  <c r="J39" i="8" s="1"/>
  <c r="F40" i="8"/>
  <c r="H40" i="8"/>
  <c r="J40" i="8" s="1"/>
  <c r="F41" i="8"/>
  <c r="H41" i="8"/>
  <c r="J41" i="8"/>
  <c r="D42" i="8"/>
  <c r="I42" i="8"/>
  <c r="I44" i="8"/>
  <c r="E6" i="7"/>
  <c r="I6" i="7"/>
  <c r="C8" i="7"/>
  <c r="D19" i="7"/>
  <c r="F19" i="7" s="1"/>
  <c r="H19" i="7" s="1"/>
  <c r="J19" i="7" s="1"/>
  <c r="E19" i="17"/>
  <c r="E24" i="17" s="1"/>
  <c r="E19" i="7"/>
  <c r="D20" i="7"/>
  <c r="E27" i="17"/>
  <c r="E32" i="17"/>
  <c r="E20" i="7"/>
  <c r="F24" i="7"/>
  <c r="H24" i="7"/>
  <c r="J24" i="7" s="1"/>
  <c r="F25" i="7"/>
  <c r="H25" i="7"/>
  <c r="J25" i="7"/>
  <c r="F26" i="7"/>
  <c r="H26" i="7" s="1"/>
  <c r="J26" i="7" s="1"/>
  <c r="F27" i="7"/>
  <c r="H27" i="7" s="1"/>
  <c r="J27" i="7" s="1"/>
  <c r="F28" i="7"/>
  <c r="H28" i="7"/>
  <c r="J28" i="7" s="1"/>
  <c r="F29" i="7"/>
  <c r="H29" i="7"/>
  <c r="J29" i="7"/>
  <c r="F30" i="7"/>
  <c r="H30" i="7"/>
  <c r="J30" i="7"/>
  <c r="F31" i="7"/>
  <c r="H31" i="7" s="1"/>
  <c r="J31" i="7" s="1"/>
  <c r="F32" i="7"/>
  <c r="H32" i="7"/>
  <c r="J32" i="7" s="1"/>
  <c r="F33" i="7"/>
  <c r="H33" i="7"/>
  <c r="J33" i="7"/>
  <c r="F34" i="7"/>
  <c r="H34" i="7" s="1"/>
  <c r="J34" i="7" s="1"/>
  <c r="G35" i="7"/>
  <c r="G49" i="7" s="1"/>
  <c r="I35" i="7"/>
  <c r="E37" i="7"/>
  <c r="F37" i="7"/>
  <c r="E38" i="7"/>
  <c r="F38" i="7"/>
  <c r="E39" i="7"/>
  <c r="F39" i="7" s="1"/>
  <c r="H39" i="7" s="1"/>
  <c r="J39" i="7" s="1"/>
  <c r="F43" i="7"/>
  <c r="H43" i="7"/>
  <c r="J43" i="7" s="1"/>
  <c r="F44" i="7"/>
  <c r="H44" i="7"/>
  <c r="J44" i="7" s="1"/>
  <c r="F45" i="7"/>
  <c r="H45" i="7"/>
  <c r="J45" i="7"/>
  <c r="F46" i="7"/>
  <c r="H46" i="7" s="1"/>
  <c r="J46" i="7" s="1"/>
  <c r="D47" i="7"/>
  <c r="G47" i="7"/>
  <c r="I47" i="7"/>
  <c r="I49" i="7"/>
  <c r="E6" i="6"/>
  <c r="I6" i="6"/>
  <c r="C8" i="6"/>
  <c r="D19" i="6"/>
  <c r="F19" i="16" s="1"/>
  <c r="F29" i="16" s="1"/>
  <c r="E19" i="6"/>
  <c r="D20" i="6"/>
  <c r="F20" i="6" s="1"/>
  <c r="E20" i="6"/>
  <c r="D21" i="6"/>
  <c r="F19" i="20" s="1"/>
  <c r="F24" i="20" s="1"/>
  <c r="E21" i="6"/>
  <c r="E24" i="6"/>
  <c r="F24" i="6"/>
  <c r="H24" i="6" s="1"/>
  <c r="J24" i="6" s="1"/>
  <c r="F25" i="6"/>
  <c r="H25" i="6" s="1"/>
  <c r="J25" i="6" s="1"/>
  <c r="F26" i="6"/>
  <c r="H26" i="6"/>
  <c r="J26" i="6"/>
  <c r="F27" i="6"/>
  <c r="H27" i="6"/>
  <c r="J27" i="6"/>
  <c r="F28" i="6"/>
  <c r="H28" i="6"/>
  <c r="J28" i="6"/>
  <c r="F29" i="6"/>
  <c r="H29" i="6"/>
  <c r="J29" i="6" s="1"/>
  <c r="F30" i="6"/>
  <c r="H30" i="6"/>
  <c r="J30" i="6" s="1"/>
  <c r="F31" i="6"/>
  <c r="H31" i="6"/>
  <c r="J31" i="6"/>
  <c r="F32" i="6"/>
  <c r="H32" i="6" s="1"/>
  <c r="J32" i="6" s="1"/>
  <c r="F33" i="6"/>
  <c r="H33" i="6" s="1"/>
  <c r="J33" i="6" s="1"/>
  <c r="F34" i="6"/>
  <c r="H34" i="6"/>
  <c r="J34" i="6" s="1"/>
  <c r="G35" i="6"/>
  <c r="I35" i="6"/>
  <c r="E37" i="6"/>
  <c r="F37" i="6" s="1"/>
  <c r="H37" i="6" s="1"/>
  <c r="J37" i="6" s="1"/>
  <c r="E38" i="6"/>
  <c r="E39" i="6"/>
  <c r="F39" i="6"/>
  <c r="F41" i="6"/>
  <c r="H41" i="6" s="1"/>
  <c r="J41" i="6" s="1"/>
  <c r="F42" i="6"/>
  <c r="H42" i="6"/>
  <c r="J42" i="6" s="1"/>
  <c r="F43" i="6"/>
  <c r="H43" i="6"/>
  <c r="J43" i="6"/>
  <c r="F46" i="6"/>
  <c r="F47" i="6"/>
  <c r="H47" i="6"/>
  <c r="J47" i="6"/>
  <c r="F48" i="6"/>
  <c r="H48" i="6" s="1"/>
  <c r="J48" i="6" s="1"/>
  <c r="F49" i="6"/>
  <c r="H49" i="6" s="1"/>
  <c r="J49" i="6" s="1"/>
  <c r="D50" i="6"/>
  <c r="I50" i="6"/>
  <c r="I52" i="6" s="1"/>
  <c r="E6" i="22"/>
  <c r="I6" i="22"/>
  <c r="C8" i="22"/>
  <c r="F19" i="22"/>
  <c r="H19" i="22"/>
  <c r="J19" i="22"/>
  <c r="F20" i="22"/>
  <c r="H20" i="22" s="1"/>
  <c r="F21" i="22"/>
  <c r="H21" i="22"/>
  <c r="J21" i="22" s="1"/>
  <c r="D22" i="22"/>
  <c r="E22" i="22"/>
  <c r="F22" i="22"/>
  <c r="H22" i="22" s="1"/>
  <c r="J22" i="22" s="1"/>
  <c r="D23" i="22"/>
  <c r="E23" i="22"/>
  <c r="F24" i="22"/>
  <c r="H24" i="22" s="1"/>
  <c r="J24" i="22" s="1"/>
  <c r="F25" i="22"/>
  <c r="H25" i="22"/>
  <c r="J25" i="22" s="1"/>
  <c r="F28" i="22"/>
  <c r="H28" i="22"/>
  <c r="J28" i="22"/>
  <c r="F29" i="22"/>
  <c r="H29" i="22"/>
  <c r="J29" i="22"/>
  <c r="F30" i="22"/>
  <c r="H30" i="22" s="1"/>
  <c r="J30" i="22" s="1"/>
  <c r="F31" i="22"/>
  <c r="H31" i="22"/>
  <c r="J31" i="22" s="1"/>
  <c r="F32" i="22"/>
  <c r="H32" i="22"/>
  <c r="J32" i="22"/>
  <c r="F33" i="22"/>
  <c r="H33" i="22" s="1"/>
  <c r="J33" i="22" s="1"/>
  <c r="F34" i="22"/>
  <c r="H34" i="22" s="1"/>
  <c r="J34" i="22" s="1"/>
  <c r="F35" i="22"/>
  <c r="H35" i="22"/>
  <c r="J35" i="22" s="1"/>
  <c r="G36" i="22"/>
  <c r="I36" i="22"/>
  <c r="E6" i="10"/>
  <c r="I6" i="10"/>
  <c r="C8" i="10"/>
  <c r="E18" i="10"/>
  <c r="E19" i="10"/>
  <c r="F19" i="10"/>
  <c r="H19" i="10"/>
  <c r="J19" i="10" s="1"/>
  <c r="E20" i="10"/>
  <c r="F20" i="10"/>
  <c r="H20" i="10"/>
  <c r="J20" i="10"/>
  <c r="E21" i="10"/>
  <c r="F21" i="10"/>
  <c r="H21" i="10"/>
  <c r="J21" i="10" s="1"/>
  <c r="E22" i="10"/>
  <c r="F22" i="10"/>
  <c r="H22" i="10"/>
  <c r="J22" i="10"/>
  <c r="F23" i="10"/>
  <c r="H23" i="10"/>
  <c r="J23" i="10"/>
  <c r="E24" i="10"/>
  <c r="F24" i="10"/>
  <c r="H24" i="10"/>
  <c r="J24" i="10"/>
  <c r="E26" i="10"/>
  <c r="F26" i="10" s="1"/>
  <c r="H26" i="10" s="1"/>
  <c r="J26" i="10" s="1"/>
  <c r="F27" i="10"/>
  <c r="H27" i="10"/>
  <c r="J27" i="10"/>
  <c r="F28" i="10"/>
  <c r="H28" i="10"/>
  <c r="J28" i="10" s="1"/>
  <c r="F29" i="10"/>
  <c r="H29" i="10"/>
  <c r="J29" i="10" s="1"/>
  <c r="F30" i="10"/>
  <c r="H30" i="10"/>
  <c r="J30" i="10"/>
  <c r="D31" i="10"/>
  <c r="G31" i="10"/>
  <c r="I31" i="10"/>
  <c r="D49" i="10"/>
  <c r="E34" i="10"/>
  <c r="F35" i="10"/>
  <c r="H35" i="10"/>
  <c r="J35" i="10" s="1"/>
  <c r="E36" i="10"/>
  <c r="F36" i="10"/>
  <c r="E37" i="10"/>
  <c r="F37" i="10" s="1"/>
  <c r="H37" i="10" s="1"/>
  <c r="J37" i="10" s="1"/>
  <c r="E38" i="10"/>
  <c r="F38" i="10"/>
  <c r="H38" i="10" s="1"/>
  <c r="J38" i="10" s="1"/>
  <c r="F39" i="10"/>
  <c r="H39" i="10" s="1"/>
  <c r="J39" i="10" s="1"/>
  <c r="E40" i="10"/>
  <c r="F40" i="10"/>
  <c r="H40" i="10"/>
  <c r="J40" i="10" s="1"/>
  <c r="F41" i="10"/>
  <c r="H41" i="10"/>
  <c r="J41" i="10" s="1"/>
  <c r="F42" i="10"/>
  <c r="H42" i="10"/>
  <c r="J42" i="10"/>
  <c r="E44" i="10"/>
  <c r="F44" i="10" s="1"/>
  <c r="H44" i="10" s="1"/>
  <c r="J44" i="10" s="1"/>
  <c r="F45" i="10"/>
  <c r="H45" i="10" s="1"/>
  <c r="J45" i="10" s="1"/>
  <c r="F46" i="10"/>
  <c r="H46" i="10" s="1"/>
  <c r="J46" i="10" s="1"/>
  <c r="F47" i="10"/>
  <c r="H47" i="10"/>
  <c r="J47" i="10" s="1"/>
  <c r="F48" i="10"/>
  <c r="H48" i="10" s="1"/>
  <c r="J48" i="10"/>
  <c r="G49" i="10"/>
  <c r="G50" i="10" s="1"/>
  <c r="I49" i="10"/>
  <c r="I50" i="10"/>
  <c r="E6" i="12"/>
  <c r="J6" i="12"/>
  <c r="D8" i="12"/>
  <c r="J7" i="37"/>
  <c r="K6" i="37" s="1"/>
  <c r="K5" i="37"/>
  <c r="D8" i="37"/>
  <c r="E5" i="37"/>
  <c r="L16" i="37"/>
  <c r="M16" i="37"/>
  <c r="K17" i="37"/>
  <c r="L18" i="37"/>
  <c r="K21" i="37"/>
  <c r="K30" i="37" s="1"/>
  <c r="L21" i="37"/>
  <c r="L30" i="37" s="1"/>
  <c r="M21" i="37"/>
  <c r="M30" i="37"/>
  <c r="K22" i="37"/>
  <c r="K24" i="37"/>
  <c r="K25" i="37"/>
  <c r="K28" i="37"/>
  <c r="D42" i="37"/>
  <c r="E42" i="37"/>
  <c r="F42" i="37"/>
  <c r="E52" i="37"/>
  <c r="F52" i="37"/>
  <c r="D55" i="37"/>
  <c r="E53" i="37"/>
  <c r="F53" i="37" s="1"/>
  <c r="D63" i="37"/>
  <c r="D65" i="37"/>
  <c r="D71" i="37"/>
  <c r="D73" i="37"/>
  <c r="D119" i="37"/>
  <c r="Y4" i="24"/>
  <c r="AS4" i="24"/>
  <c r="Y5" i="24"/>
  <c r="Y6" i="24"/>
  <c r="C10" i="24"/>
  <c r="Y11" i="24"/>
  <c r="Y13" i="24"/>
  <c r="Z11" i="24" s="1"/>
  <c r="Z13" i="24" s="1"/>
  <c r="BM11" i="24"/>
  <c r="Y12" i="24"/>
  <c r="Z12" i="24" s="1"/>
  <c r="AV12" i="24"/>
  <c r="AW12" i="24"/>
  <c r="BM12" i="24"/>
  <c r="BM13" i="24"/>
  <c r="BM15" i="24"/>
  <c r="BM22" i="24"/>
  <c r="BM14" i="24"/>
  <c r="BM18" i="24"/>
  <c r="C19" i="24"/>
  <c r="E40" i="7"/>
  <c r="F40" i="7" s="1"/>
  <c r="H40" i="7" s="1"/>
  <c r="J40" i="7" s="1"/>
  <c r="BM19" i="24"/>
  <c r="BM20" i="24"/>
  <c r="BM21" i="24"/>
  <c r="AL23" i="24"/>
  <c r="BI24" i="24"/>
  <c r="BJ24" i="24"/>
  <c r="BK24" i="24"/>
  <c r="AM25" i="24"/>
  <c r="AN25" i="24"/>
  <c r="AZ26" i="24"/>
  <c r="BA26" i="24"/>
  <c r="C27" i="24"/>
  <c r="E35" i="8" s="1"/>
  <c r="AL31" i="24"/>
  <c r="AL32" i="24"/>
  <c r="AL33" i="24"/>
  <c r="AL36" i="24"/>
  <c r="AM36" i="24"/>
  <c r="AN36" i="24"/>
  <c r="D39" i="24"/>
  <c r="J41" i="24"/>
  <c r="M41" i="24"/>
  <c r="AL41" i="24"/>
  <c r="AL42" i="24"/>
  <c r="AL43" i="24"/>
  <c r="J44" i="24"/>
  <c r="C22" i="24" s="1"/>
  <c r="P48" i="24"/>
  <c r="C32" i="24"/>
  <c r="J50" i="24"/>
  <c r="E23" i="7"/>
  <c r="F23" i="7" s="1"/>
  <c r="H23" i="7" s="1"/>
  <c r="J23" i="7" s="1"/>
  <c r="M50" i="24"/>
  <c r="E23" i="8"/>
  <c r="F23" i="8"/>
  <c r="H23" i="8" s="1"/>
  <c r="J23" i="8" s="1"/>
  <c r="S50" i="24"/>
  <c r="G57" i="24"/>
  <c r="V58" i="24"/>
  <c r="G64" i="24"/>
  <c r="AR67" i="24"/>
  <c r="AS67" i="24"/>
  <c r="B69" i="24"/>
  <c r="C66" i="24" s="1"/>
  <c r="C74" i="24" s="1"/>
  <c r="B74" i="24" s="1"/>
  <c r="AI179" i="24"/>
  <c r="AI195" i="24"/>
  <c r="AI196" i="24"/>
  <c r="B21" i="30"/>
  <c r="B22" i="30"/>
  <c r="B23" i="30"/>
  <c r="B24" i="30"/>
  <c r="B25" i="30"/>
  <c r="B26" i="30"/>
  <c r="B27" i="30"/>
  <c r="E28" i="30"/>
  <c r="F6" i="5"/>
  <c r="M6" i="5"/>
  <c r="E8" i="5"/>
  <c r="C39" i="1"/>
  <c r="B41" i="1"/>
  <c r="E19" i="18"/>
  <c r="E24" i="18" s="1"/>
  <c r="H58" i="39"/>
  <c r="G68" i="27"/>
  <c r="H68" i="27" s="1"/>
  <c r="H28" i="39"/>
  <c r="G39" i="27"/>
  <c r="H39" i="27"/>
  <c r="E61" i="39"/>
  <c r="G61" i="39"/>
  <c r="H61" i="39" s="1"/>
  <c r="G42" i="13"/>
  <c r="H32" i="13"/>
  <c r="H42" i="13" s="1"/>
  <c r="E42" i="13"/>
  <c r="D42" i="13"/>
  <c r="H19" i="13"/>
  <c r="F20" i="8"/>
  <c r="H20" i="8" s="1"/>
  <c r="J20" i="8" s="1"/>
  <c r="Y7" i="24"/>
  <c r="Z5" i="24" s="1"/>
  <c r="Z4" i="24"/>
  <c r="H24" i="20"/>
  <c r="H37" i="16"/>
  <c r="F23" i="22"/>
  <c r="H23" i="22" s="1"/>
  <c r="J23" i="22" s="1"/>
  <c r="C68" i="24"/>
  <c r="C76" i="24" s="1"/>
  <c r="B76" i="24" s="1"/>
  <c r="C28" i="24" s="1"/>
  <c r="C67" i="24"/>
  <c r="C75" i="24" s="1"/>
  <c r="B75" i="24" s="1"/>
  <c r="C20" i="24" s="1"/>
  <c r="AC69" i="24"/>
  <c r="AD67" i="24"/>
  <c r="AD69" i="24" s="1"/>
  <c r="E54" i="37"/>
  <c r="E55" i="37" s="1"/>
  <c r="K7" i="37"/>
  <c r="Z6" i="24"/>
  <c r="BD42" i="24" s="1"/>
  <c r="E7" i="37"/>
  <c r="D18" i="37" s="1"/>
  <c r="E6" i="37"/>
  <c r="D17" i="37" s="1"/>
  <c r="D16" i="37"/>
  <c r="G27" i="17"/>
  <c r="L30" i="21"/>
  <c r="M30" i="21"/>
  <c r="BD41" i="24"/>
  <c r="AD68" i="24"/>
  <c r="F21" i="6"/>
  <c r="H21" i="6" s="1"/>
  <c r="J21" i="6" s="1"/>
  <c r="D36" i="22"/>
  <c r="F34" i="10"/>
  <c r="H34" i="10" s="1"/>
  <c r="J34" i="10" s="1"/>
  <c r="BD40" i="24"/>
  <c r="V65" i="24"/>
  <c r="F18" i="10"/>
  <c r="H18" i="10"/>
  <c r="F426" i="40"/>
  <c r="F429" i="40"/>
  <c r="F363" i="28" s="1"/>
  <c r="E371" i="40"/>
  <c r="E322" i="28"/>
  <c r="F39" i="21" s="1"/>
  <c r="F40" i="21" s="1"/>
  <c r="H410" i="40"/>
  <c r="G19" i="17"/>
  <c r="G24" i="17"/>
  <c r="L29" i="21"/>
  <c r="M29" i="21" s="1"/>
  <c r="F729" i="41"/>
  <c r="F57" i="41" s="1"/>
  <c r="F60" i="41" s="1"/>
  <c r="H740" i="26"/>
  <c r="H742" i="26" s="1"/>
  <c r="H371" i="40"/>
  <c r="F19" i="6"/>
  <c r="H19" i="6"/>
  <c r="D32" i="24"/>
  <c r="E27" i="22"/>
  <c r="BM24" i="24"/>
  <c r="C11" i="24"/>
  <c r="BL24" i="24"/>
  <c r="BE42" i="24"/>
  <c r="AM17" i="24" s="1"/>
  <c r="AM43" i="24" s="1"/>
  <c r="BE41" i="24"/>
  <c r="AV13" i="24" s="1"/>
  <c r="AM13" i="24" s="1"/>
  <c r="BG48" i="24"/>
  <c r="BG49" i="24"/>
  <c r="BG51" i="24" s="1"/>
  <c r="H36" i="10"/>
  <c r="H37" i="7"/>
  <c r="J19" i="6"/>
  <c r="J19" i="8"/>
  <c r="F20" i="7"/>
  <c r="H20" i="7"/>
  <c r="J20" i="7"/>
  <c r="AL34" i="24"/>
  <c r="AL37" i="24"/>
  <c r="AL44" i="24"/>
  <c r="H19" i="17"/>
  <c r="H24" i="17"/>
  <c r="AM42" i="24"/>
  <c r="AM32" i="24"/>
  <c r="E36" i="22"/>
  <c r="F27" i="22"/>
  <c r="AZ27" i="24"/>
  <c r="AZ28" i="24"/>
  <c r="D22" i="8" s="1"/>
  <c r="J37" i="7"/>
  <c r="J36" i="10"/>
  <c r="D30" i="8"/>
  <c r="D44" i="8" s="1"/>
  <c r="AM33" i="24"/>
  <c r="H27" i="22"/>
  <c r="J27" i="22" s="1"/>
  <c r="B366" i="40"/>
  <c r="C371" i="40"/>
  <c r="B365" i="40"/>
  <c r="F68" i="27"/>
  <c r="K30" i="21" s="1"/>
  <c r="K32" i="21" s="1"/>
  <c r="L24" i="12" s="1"/>
  <c r="F61" i="39"/>
  <c r="E35" i="17"/>
  <c r="E40" i="17"/>
  <c r="F31" i="21"/>
  <c r="F32" i="21"/>
  <c r="E83" i="27"/>
  <c r="K31" i="21"/>
  <c r="F35" i="17"/>
  <c r="F40" i="17" s="1"/>
  <c r="K29" i="21"/>
  <c r="F19" i="17"/>
  <c r="F24" i="17" s="1"/>
  <c r="H695" i="41"/>
  <c r="G729" i="41"/>
  <c r="G57" i="41" s="1"/>
  <c r="K20" i="21"/>
  <c r="G32" i="16"/>
  <c r="G37" i="16"/>
  <c r="G35" i="20"/>
  <c r="G38" i="20" s="1"/>
  <c r="K25" i="21"/>
  <c r="F35" i="20"/>
  <c r="F38" i="20" s="1"/>
  <c r="F742" i="26"/>
  <c r="F25" i="21"/>
  <c r="F26" i="21" s="1"/>
  <c r="K21" i="21"/>
  <c r="L38" i="21"/>
  <c r="M38" i="21" s="1"/>
  <c r="H352" i="28"/>
  <c r="G269" i="28"/>
  <c r="L37" i="21" s="1"/>
  <c r="M37" i="21" s="1"/>
  <c r="F59" i="40"/>
  <c r="F76" i="28" s="1"/>
  <c r="H53" i="40"/>
  <c r="G59" i="40"/>
  <c r="H59" i="40" s="1"/>
  <c r="L39" i="21"/>
  <c r="M39" i="21"/>
  <c r="H322" i="28"/>
  <c r="G426" i="40"/>
  <c r="H424" i="40"/>
  <c r="E379" i="28"/>
  <c r="E35" i="18" s="1"/>
  <c r="E40" i="18" s="1"/>
  <c r="F35" i="21"/>
  <c r="K37" i="21"/>
  <c r="F27" i="18"/>
  <c r="F32" i="18"/>
  <c r="E429" i="40"/>
  <c r="F27" i="17"/>
  <c r="F32" i="17" s="1"/>
  <c r="H729" i="41"/>
  <c r="H269" i="28"/>
  <c r="H426" i="40"/>
  <c r="G429" i="40"/>
  <c r="H429" i="40"/>
  <c r="G363" i="28"/>
  <c r="H363" i="28" s="1"/>
  <c r="L35" i="21"/>
  <c r="M35" i="21" s="1"/>
  <c r="H57" i="41" l="1"/>
  <c r="G60" i="41"/>
  <c r="G66" i="26"/>
  <c r="F681" i="41"/>
  <c r="J20" i="22"/>
  <c r="J36" i="22" s="1"/>
  <c r="H36" i="22"/>
  <c r="F35" i="8"/>
  <c r="H35" i="8" s="1"/>
  <c r="J35" i="8" s="1"/>
  <c r="K36" i="21"/>
  <c r="F19" i="18"/>
  <c r="F24" i="18" s="1"/>
  <c r="F379" i="28"/>
  <c r="F35" i="18" s="1"/>
  <c r="F40" i="18" s="1"/>
  <c r="J49" i="10"/>
  <c r="H49" i="10"/>
  <c r="G59" i="24"/>
  <c r="V61" i="24"/>
  <c r="V67" i="24"/>
  <c r="M43" i="24" s="1"/>
  <c r="G27" i="18"/>
  <c r="F83" i="27"/>
  <c r="F36" i="22"/>
  <c r="F54" i="37"/>
  <c r="F55" i="37" s="1"/>
  <c r="AI197" i="24"/>
  <c r="AK195" i="24" s="1"/>
  <c r="J32" i="8"/>
  <c r="D19" i="37"/>
  <c r="H38" i="7"/>
  <c r="H35" i="20"/>
  <c r="H20" i="6"/>
  <c r="E49" i="10"/>
  <c r="H31" i="10"/>
  <c r="J18" i="10"/>
  <c r="J31" i="10" s="1"/>
  <c r="Z7" i="24"/>
  <c r="BE40" i="24"/>
  <c r="BF40" i="24"/>
  <c r="E40" i="6"/>
  <c r="F40" i="6" s="1"/>
  <c r="H40" i="6" s="1"/>
  <c r="J40" i="6" s="1"/>
  <c r="K35" i="21"/>
  <c r="K40" i="21" s="1"/>
  <c r="L31" i="12" s="1"/>
  <c r="G76" i="28"/>
  <c r="L25" i="21"/>
  <c r="E31" i="10"/>
  <c r="BF42" i="24"/>
  <c r="C69" i="24"/>
  <c r="F31" i="10"/>
  <c r="E8" i="37"/>
  <c r="D50" i="10"/>
  <c r="I29" i="16"/>
  <c r="G32" i="17"/>
  <c r="H27" i="17"/>
  <c r="H32" i="17" s="1"/>
  <c r="F49" i="10"/>
  <c r="F50" i="10" s="1"/>
  <c r="V66" i="24"/>
  <c r="J43" i="24" s="1"/>
  <c r="AC61" i="24"/>
  <c r="AD61" i="24"/>
  <c r="AE61" i="24"/>
  <c r="I45" i="8"/>
  <c r="I37" i="22" s="1"/>
  <c r="I52" i="10" s="1"/>
  <c r="I740" i="26"/>
  <c r="AV14" i="24"/>
  <c r="D22" i="7" s="1"/>
  <c r="F38" i="6"/>
  <c r="F32" i="16"/>
  <c r="F37" i="16" s="1"/>
  <c r="A300" i="28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H103" i="39"/>
  <c r="G80" i="27"/>
  <c r="C20" i="32"/>
  <c r="BF41" i="24"/>
  <c r="AW13" i="24" s="1"/>
  <c r="AK197" i="24" l="1"/>
  <c r="AI190" i="24"/>
  <c r="AI182" i="24" s="1"/>
  <c r="G33" i="8"/>
  <c r="G38" i="6"/>
  <c r="G50" i="6" s="1"/>
  <c r="G52" i="6" s="1"/>
  <c r="H76" i="28"/>
  <c r="L36" i="21"/>
  <c r="G19" i="18"/>
  <c r="G379" i="28"/>
  <c r="AK196" i="24"/>
  <c r="AI191" i="24" s="1"/>
  <c r="AI184" i="24" s="1"/>
  <c r="M44" i="24" s="1"/>
  <c r="C30" i="24" s="1"/>
  <c r="L26" i="21"/>
  <c r="M25" i="21"/>
  <c r="M26" i="21" s="1"/>
  <c r="C21" i="24"/>
  <c r="J45" i="24"/>
  <c r="G742" i="26"/>
  <c r="G19" i="16"/>
  <c r="G29" i="16" s="1"/>
  <c r="G19" i="20"/>
  <c r="G24" i="20" s="1"/>
  <c r="K19" i="21"/>
  <c r="K26" i="21" s="1"/>
  <c r="L17" i="12" s="1"/>
  <c r="AN13" i="24"/>
  <c r="AW14" i="24"/>
  <c r="E22" i="7" s="1"/>
  <c r="E35" i="7" s="1"/>
  <c r="J38" i="7"/>
  <c r="H38" i="20"/>
  <c r="I35" i="20"/>
  <c r="I38" i="20" s="1"/>
  <c r="C29" i="24"/>
  <c r="M45" i="24"/>
  <c r="E50" i="10"/>
  <c r="V68" i="24"/>
  <c r="G39" i="6"/>
  <c r="H39" i="6" s="1"/>
  <c r="J39" i="6" s="1"/>
  <c r="G34" i="8"/>
  <c r="H34" i="8" s="1"/>
  <c r="J34" i="8" s="1"/>
  <c r="D35" i="7"/>
  <c r="D49" i="7" s="1"/>
  <c r="J20" i="32"/>
  <c r="G83" i="27"/>
  <c r="H83" i="27" s="1"/>
  <c r="L31" i="21"/>
  <c r="H80" i="27"/>
  <c r="G35" i="17"/>
  <c r="AN17" i="24"/>
  <c r="BA27" i="24"/>
  <c r="BA28" i="24" s="1"/>
  <c r="E22" i="8" s="1"/>
  <c r="J20" i="6"/>
  <c r="C12" i="24"/>
  <c r="H60" i="41"/>
  <c r="G681" i="41"/>
  <c r="H681" i="41" s="1"/>
  <c r="AS68" i="24"/>
  <c r="BF43" i="24"/>
  <c r="H27" i="18"/>
  <c r="H32" i="18" s="1"/>
  <c r="G32" i="18"/>
  <c r="H50" i="10"/>
  <c r="G46" i="6"/>
  <c r="H46" i="6" s="1"/>
  <c r="J46" i="6" s="1"/>
  <c r="G38" i="8"/>
  <c r="H38" i="8" s="1"/>
  <c r="J38" i="8" s="1"/>
  <c r="AR68" i="24"/>
  <c r="BE43" i="24"/>
  <c r="J50" i="10"/>
  <c r="L14" i="11"/>
  <c r="C57" i="24" l="1"/>
  <c r="D20" i="24"/>
  <c r="D22" i="24"/>
  <c r="E42" i="7"/>
  <c r="AN42" i="24"/>
  <c r="AN32" i="24"/>
  <c r="H33" i="8"/>
  <c r="G42" i="8"/>
  <c r="G44" i="8" s="1"/>
  <c r="G45" i="8" s="1"/>
  <c r="G37" i="22" s="1"/>
  <c r="G52" i="10" s="1"/>
  <c r="L17" i="11"/>
  <c r="AM9" i="24"/>
  <c r="AR69" i="24"/>
  <c r="D23" i="6" s="1"/>
  <c r="E30" i="8"/>
  <c r="F22" i="8"/>
  <c r="F22" i="7"/>
  <c r="D31" i="24"/>
  <c r="D28" i="24"/>
  <c r="E37" i="8"/>
  <c r="H38" i="6"/>
  <c r="M31" i="21"/>
  <c r="M32" i="21" s="1"/>
  <c r="L32" i="21"/>
  <c r="G35" i="18"/>
  <c r="H379" i="28"/>
  <c r="AN43" i="24"/>
  <c r="AN33" i="24"/>
  <c r="G40" i="17"/>
  <c r="H35" i="17"/>
  <c r="H40" i="17" s="1"/>
  <c r="H19" i="18"/>
  <c r="H24" i="18" s="1"/>
  <c r="G24" i="18"/>
  <c r="G60" i="24"/>
  <c r="AI186" i="24"/>
  <c r="AN9" i="24"/>
  <c r="AS69" i="24"/>
  <c r="E23" i="6" s="1"/>
  <c r="E35" i="6" s="1"/>
  <c r="M36" i="21"/>
  <c r="M40" i="21" s="1"/>
  <c r="L40" i="21"/>
  <c r="F37" i="8" l="1"/>
  <c r="E42" i="8"/>
  <c r="E44" i="8" s="1"/>
  <c r="C13" i="24"/>
  <c r="G61" i="24"/>
  <c r="H35" i="18"/>
  <c r="H40" i="18" s="1"/>
  <c r="G40" i="18"/>
  <c r="H22" i="7"/>
  <c r="F35" i="7"/>
  <c r="J33" i="8"/>
  <c r="H22" i="8"/>
  <c r="F30" i="8"/>
  <c r="AN41" i="24"/>
  <c r="AN44" i="24" s="1"/>
  <c r="AS70" i="24"/>
  <c r="AN31" i="24"/>
  <c r="AN34" i="24" s="1"/>
  <c r="AN37" i="24" s="1"/>
  <c r="AN23" i="24"/>
  <c r="AN26" i="24" s="1"/>
  <c r="F23" i="6"/>
  <c r="D35" i="6"/>
  <c r="D52" i="6" s="1"/>
  <c r="D45" i="8" s="1"/>
  <c r="D37" i="22" s="1"/>
  <c r="D52" i="10" s="1"/>
  <c r="J38" i="6"/>
  <c r="AM23" i="24"/>
  <c r="AM26" i="24" s="1"/>
  <c r="AM31" i="24"/>
  <c r="AM34" i="24" s="1"/>
  <c r="AM37" i="24" s="1"/>
  <c r="AM41" i="24"/>
  <c r="AM44" i="24" s="1"/>
  <c r="AR70" i="24"/>
  <c r="F42" i="7"/>
  <c r="E47" i="7"/>
  <c r="E49" i="7" s="1"/>
  <c r="J22" i="7" l="1"/>
  <c r="J35" i="7" s="1"/>
  <c r="H35" i="7"/>
  <c r="J22" i="8"/>
  <c r="J30" i="8" s="1"/>
  <c r="H30" i="8"/>
  <c r="C56" i="24"/>
  <c r="C46" i="24"/>
  <c r="D14" i="24"/>
  <c r="E45" i="6"/>
  <c r="H42" i="7"/>
  <c r="F47" i="7"/>
  <c r="F49" i="7" s="1"/>
  <c r="H23" i="6"/>
  <c r="F35" i="6"/>
  <c r="H37" i="8"/>
  <c r="F42" i="8"/>
  <c r="F44" i="8" s="1"/>
  <c r="J23" i="6" l="1"/>
  <c r="J35" i="6" s="1"/>
  <c r="H35" i="6"/>
  <c r="F45" i="6"/>
  <c r="E50" i="6"/>
  <c r="E52" i="6" s="1"/>
  <c r="E45" i="8" s="1"/>
  <c r="E37" i="22" s="1"/>
  <c r="E52" i="10" s="1"/>
  <c r="J42" i="7"/>
  <c r="J47" i="7" s="1"/>
  <c r="J49" i="7" s="1"/>
  <c r="H47" i="7"/>
  <c r="H49" i="7" s="1"/>
  <c r="C48" i="24"/>
  <c r="C26" i="32"/>
  <c r="J37" i="8"/>
  <c r="J42" i="8" s="1"/>
  <c r="J44" i="8" s="1"/>
  <c r="H42" i="8"/>
  <c r="H44" i="8" s="1"/>
  <c r="L21" i="12" l="1"/>
  <c r="L25" i="11"/>
  <c r="H45" i="6"/>
  <c r="F50" i="6"/>
  <c r="F52" i="6" s="1"/>
  <c r="F45" i="8" s="1"/>
  <c r="F37" i="22" s="1"/>
  <c r="F52" i="10" s="1"/>
  <c r="L26" i="11"/>
  <c r="L28" i="12"/>
  <c r="J45" i="6" l="1"/>
  <c r="J50" i="6" s="1"/>
  <c r="J52" i="6" s="1"/>
  <c r="H50" i="6"/>
  <c r="H52" i="6" s="1"/>
  <c r="H45" i="8" s="1"/>
  <c r="H37" i="22" s="1"/>
  <c r="H52" i="10" s="1"/>
  <c r="L24" i="11" l="1"/>
  <c r="L14" i="12"/>
  <c r="J45" i="8"/>
  <c r="L13" i="11" l="1"/>
  <c r="J37" i="22"/>
  <c r="J52" i="10" s="1"/>
  <c r="L27" i="11"/>
  <c r="L29" i="11" s="1"/>
  <c r="L30" i="11" l="1"/>
  <c r="L31" i="11"/>
  <c r="C50" i="24"/>
  <c r="C51" i="24" s="1"/>
  <c r="C23" i="32"/>
  <c r="L15" i="11"/>
  <c r="L16" i="11" s="1"/>
  <c r="L18" i="11" s="1"/>
  <c r="L19" i="11" l="1"/>
  <c r="L20" i="11" s="1"/>
  <c r="L21" i="11" s="1"/>
  <c r="L22" i="11" s="1"/>
  <c r="C28" i="32"/>
  <c r="J23" i="32"/>
  <c r="C24" i="32"/>
  <c r="C30" i="32" s="1"/>
  <c r="L34" i="11" l="1"/>
  <c r="L22" i="12" s="1"/>
  <c r="L23" i="12" s="1"/>
  <c r="L25" i="12" s="1"/>
  <c r="L35" i="11"/>
  <c r="L29" i="12" s="1"/>
  <c r="L30" i="12" s="1"/>
  <c r="L32" i="12" s="1"/>
  <c r="L33" i="11"/>
  <c r="L36" i="11" l="1"/>
  <c r="L15" i="12"/>
  <c r="L16" i="12" s="1"/>
  <c r="L18" i="12" s="1"/>
</calcChain>
</file>

<file path=xl/sharedStrings.xml><?xml version="1.0" encoding="utf-8"?>
<sst xmlns="http://schemas.openxmlformats.org/spreadsheetml/2006/main" count="5357" uniqueCount="1619">
  <si>
    <t>Personnel</t>
  </si>
  <si>
    <t>Total</t>
  </si>
  <si>
    <t xml:space="preserve"> </t>
  </si>
  <si>
    <t>Date Submitted:</t>
  </si>
  <si>
    <t>Date Received:</t>
  </si>
  <si>
    <t>3. Reporting Period:</t>
  </si>
  <si>
    <t>From</t>
  </si>
  <si>
    <t>To</t>
  </si>
  <si>
    <t>CERTIFICATION BY OFFICER OR ADMINISTRATOR OF CLINIC</t>
  </si>
  <si>
    <t>Salaried</t>
  </si>
  <si>
    <t/>
  </si>
  <si>
    <t>Reclassified</t>
  </si>
  <si>
    <t>Adjustments</t>
  </si>
  <si>
    <t>Net</t>
  </si>
  <si>
    <t>Other</t>
  </si>
  <si>
    <t>Reclass-</t>
  </si>
  <si>
    <t>Trial Balance</t>
  </si>
  <si>
    <t>Increase</t>
  </si>
  <si>
    <t>Expenses</t>
  </si>
  <si>
    <t>Costs</t>
  </si>
  <si>
    <t>ifications</t>
  </si>
  <si>
    <t>(Col 3 &amp; 4)</t>
  </si>
  <si>
    <t>(Col 5 &amp; 6)</t>
  </si>
  <si>
    <t>Physician</t>
  </si>
  <si>
    <t>Dental</t>
  </si>
  <si>
    <t>NONPROFIT ORGANIZATION</t>
  </si>
  <si>
    <t>GOVERNMENT</t>
  </si>
  <si>
    <t>STATE</t>
  </si>
  <si>
    <t>COUNTY</t>
  </si>
  <si>
    <t>DISTRICT</t>
  </si>
  <si>
    <t>CITY</t>
  </si>
  <si>
    <t>OTHER</t>
  </si>
  <si>
    <t>Provider Name</t>
  </si>
  <si>
    <t>Date</t>
  </si>
  <si>
    <t>Title</t>
  </si>
  <si>
    <t>Signature  (Officer or Administrator of FQHC)</t>
  </si>
  <si>
    <t>City, State, ZIP</t>
  </si>
  <si>
    <t>FQHC Name</t>
  </si>
  <si>
    <t xml:space="preserve">I Hereby Certify That I Have Examined the Accompanying Worksheets Prepared By </t>
  </si>
  <si>
    <t>Street Address</t>
  </si>
  <si>
    <t>Telephone Number</t>
  </si>
  <si>
    <t>Contact Person</t>
  </si>
  <si>
    <t>Medical</t>
  </si>
  <si>
    <t>Mental Health</t>
  </si>
  <si>
    <t>Other (Specify)</t>
  </si>
  <si>
    <t>STATE OF CONNECTICUT</t>
  </si>
  <si>
    <t>DEPARTMENT OF SOCIAL SERVICES</t>
  </si>
  <si>
    <t>ANNUAL REPORT</t>
  </si>
  <si>
    <t>FEDERALLY QUALIFIED HEALTH CENTER (FQHC)</t>
  </si>
  <si>
    <t>1.</t>
  </si>
  <si>
    <t>2.</t>
  </si>
  <si>
    <t>4.</t>
  </si>
  <si>
    <t>(FQHC Name)</t>
  </si>
  <si>
    <t>55 FARMINGTON AVENUE      HARTFORD, CONNECTICUT  06105</t>
  </si>
  <si>
    <t>Reporting Period:</t>
  </si>
  <si>
    <t>6.</t>
  </si>
  <si>
    <t>7.</t>
  </si>
  <si>
    <t>Clinic/Provider No.</t>
  </si>
  <si>
    <t>Location</t>
  </si>
  <si>
    <t>FQHC Name:</t>
  </si>
  <si>
    <t>I</t>
  </si>
  <si>
    <t>II</t>
  </si>
  <si>
    <t>III</t>
  </si>
  <si>
    <t>IV</t>
  </si>
  <si>
    <t>V</t>
  </si>
  <si>
    <t>VI</t>
  </si>
  <si>
    <t>VII</t>
  </si>
  <si>
    <t>Staff Cost</t>
  </si>
  <si>
    <t>Physician Assistant</t>
  </si>
  <si>
    <t xml:space="preserve">Other - Specify </t>
  </si>
  <si>
    <t>a.</t>
  </si>
  <si>
    <t>b.</t>
  </si>
  <si>
    <t>c.</t>
  </si>
  <si>
    <t>d.</t>
  </si>
  <si>
    <t>COST CENTER</t>
  </si>
  <si>
    <t>E.</t>
  </si>
  <si>
    <t>Medical Supplies</t>
  </si>
  <si>
    <t>Transportation</t>
  </si>
  <si>
    <t>Depreciation - Medical Equipment</t>
  </si>
  <si>
    <t>Professional Liability Insurance</t>
  </si>
  <si>
    <t>e.</t>
  </si>
  <si>
    <t>f.</t>
  </si>
  <si>
    <t>3.</t>
  </si>
  <si>
    <t>A.</t>
  </si>
  <si>
    <t>B.</t>
  </si>
  <si>
    <t>(Excluding Dental, Mental Health &amp; Other)</t>
  </si>
  <si>
    <t>Dentist</t>
  </si>
  <si>
    <t>Dental Hygienst</t>
  </si>
  <si>
    <t>Depreciation - Dental Equipment</t>
  </si>
  <si>
    <t>Psychologist</t>
  </si>
  <si>
    <t>Social Worker</t>
  </si>
  <si>
    <t>C.</t>
  </si>
  <si>
    <t>D.</t>
  </si>
  <si>
    <t>Service</t>
  </si>
  <si>
    <t>Clinical Diagnostic Lab</t>
  </si>
  <si>
    <t>Battered Women</t>
  </si>
  <si>
    <t>Homeless</t>
  </si>
  <si>
    <t>Non-FQHC Sites</t>
  </si>
  <si>
    <t>Subtotal Other Direct Dental Care Cost</t>
  </si>
  <si>
    <t>Subtotal Direct Health Care Cost</t>
  </si>
  <si>
    <t>Subtotal Other Direct Health Care Cost</t>
  </si>
  <si>
    <t>Subtotal Direct Dental Care Cost</t>
  </si>
  <si>
    <t>F.</t>
  </si>
  <si>
    <t>G.</t>
  </si>
  <si>
    <t>OVERHEAD - FACILITY COST</t>
  </si>
  <si>
    <t>Rent</t>
  </si>
  <si>
    <t>Insurance</t>
  </si>
  <si>
    <t>Interest on Mortgage or Loans</t>
  </si>
  <si>
    <t>Utilities</t>
  </si>
  <si>
    <t>Depreciation - Building</t>
  </si>
  <si>
    <t>Depreciation - Equipment</t>
  </si>
  <si>
    <t>Housekeeping &amp; Maintenance</t>
  </si>
  <si>
    <t>g.</t>
  </si>
  <si>
    <t>i.</t>
  </si>
  <si>
    <t>h.</t>
  </si>
  <si>
    <t>H.</t>
  </si>
  <si>
    <t>OVERHEAD - ADMINISTRATIVE COST</t>
  </si>
  <si>
    <t>Office Salaries</t>
  </si>
  <si>
    <t>Depreciation - Office Equipment</t>
  </si>
  <si>
    <t>Office Supplies</t>
  </si>
  <si>
    <t>Legal</t>
  </si>
  <si>
    <t>Accounting</t>
  </si>
  <si>
    <t>Telephone</t>
  </si>
  <si>
    <t>Interest - Capital Loans</t>
  </si>
  <si>
    <t>j.</t>
  </si>
  <si>
    <t>k.</t>
  </si>
  <si>
    <t>I.</t>
  </si>
  <si>
    <t>J.</t>
  </si>
  <si>
    <t>II.</t>
  </si>
  <si>
    <t>III.</t>
  </si>
  <si>
    <t>COST ADJUSTMENT AND ALLOCATION</t>
  </si>
  <si>
    <t>K.</t>
  </si>
  <si>
    <t>Total Direct Costs (A+B)</t>
  </si>
  <si>
    <t>Portion of Title XIX Services (A/C)</t>
  </si>
  <si>
    <t>Overhead Cost Applicable to Title XIX Services (DxE)</t>
  </si>
  <si>
    <t>Total Title XIX Services Cost (A+F)</t>
  </si>
  <si>
    <t>Allowable Title XIX Overhead Cost (F+I)</t>
  </si>
  <si>
    <t>Direct Costs</t>
  </si>
  <si>
    <t>L.</t>
  </si>
  <si>
    <t>Direct Costs as a % of Total</t>
  </si>
  <si>
    <t>Health Care Services (K1/K4)</t>
  </si>
  <si>
    <t>Dental Services (K2/K4)</t>
  </si>
  <si>
    <t>Mental Health Services (K3/K4)</t>
  </si>
  <si>
    <t>M.</t>
  </si>
  <si>
    <t>Allocated Allowable Overhead Cost</t>
  </si>
  <si>
    <t>Health Care Services (JxL1)</t>
  </si>
  <si>
    <t>Dental Services (JxL2)</t>
  </si>
  <si>
    <t>Mental Health Services (JxL3)</t>
  </si>
  <si>
    <r>
      <t>Health Care Cost (</t>
    </r>
    <r>
      <rPr>
        <b/>
        <u/>
        <sz val="10"/>
        <rFont val="Helv"/>
      </rPr>
      <t>Excluding Dental and Mental Health)</t>
    </r>
  </si>
  <si>
    <t>Total Allowable Health Care Cost (A+B)</t>
  </si>
  <si>
    <t>Total Allowable Dental Cost (A+B)</t>
  </si>
  <si>
    <t>Total Allowable Mental Health Cost (A+B)</t>
  </si>
  <si>
    <t>REVENUES</t>
  </si>
  <si>
    <t>Form E (Revenues)</t>
  </si>
  <si>
    <t>Services Excluding Dental, Mental Health &amp; Other</t>
  </si>
  <si>
    <t>Total                     (Col. I thru IV)</t>
  </si>
  <si>
    <t>5.</t>
  </si>
  <si>
    <t>Medicaid</t>
  </si>
  <si>
    <t>Private</t>
  </si>
  <si>
    <t>Medicare</t>
  </si>
  <si>
    <t>Total (1 thru 6)</t>
  </si>
  <si>
    <t>8.</t>
  </si>
  <si>
    <t>9.</t>
  </si>
  <si>
    <t>10.</t>
  </si>
  <si>
    <t>11.</t>
  </si>
  <si>
    <t>Contributions</t>
  </si>
  <si>
    <t>Grants</t>
  </si>
  <si>
    <t>Interest</t>
  </si>
  <si>
    <t>Donations</t>
  </si>
  <si>
    <t>Other - Specify</t>
  </si>
  <si>
    <t>Total (1 thru 7)</t>
  </si>
  <si>
    <t>ACTUAL</t>
  </si>
  <si>
    <r>
      <t xml:space="preserve">Services </t>
    </r>
    <r>
      <rPr>
        <b/>
        <i/>
        <sz val="10"/>
        <rFont val="Helv"/>
      </rPr>
      <t>(</t>
    </r>
    <r>
      <rPr>
        <b/>
        <i/>
        <u/>
        <sz val="10"/>
        <rFont val="Helv"/>
      </rPr>
      <t>Excluding</t>
    </r>
    <r>
      <rPr>
        <b/>
        <i/>
        <sz val="10"/>
        <rFont val="Helv"/>
      </rPr>
      <t xml:space="preserve"> Dental, Mental Health and Other)</t>
    </r>
  </si>
  <si>
    <t>Total (1 thru 4)</t>
  </si>
  <si>
    <r>
      <t xml:space="preserve">Grants </t>
    </r>
    <r>
      <rPr>
        <b/>
        <i/>
        <sz val="10"/>
        <rFont val="Helv"/>
      </rPr>
      <t>(Excluding PHS)</t>
    </r>
  </si>
  <si>
    <t>COST DISALLOWANCE AND OFFSET</t>
  </si>
  <si>
    <t>Entertainment</t>
  </si>
  <si>
    <t>Fines and penalties</t>
  </si>
  <si>
    <t>Bad debt</t>
  </si>
  <si>
    <t>12.</t>
  </si>
  <si>
    <t>13.</t>
  </si>
  <si>
    <t>14.</t>
  </si>
  <si>
    <t>15.</t>
  </si>
  <si>
    <t>16.</t>
  </si>
  <si>
    <t>Advertising, except for recruitment of personnel</t>
  </si>
  <si>
    <t>Contingent reserves</t>
  </si>
  <si>
    <t>Legal, Accounting and professional services incurred in connection with rehearing, arbitration, or judicial proceedings pertaining to the reimbursement approved by the Commissioner</t>
  </si>
  <si>
    <t>Fundraising</t>
  </si>
  <si>
    <t>Amortization of goodwill</t>
  </si>
  <si>
    <t>Directors fees</t>
  </si>
  <si>
    <t>Membership dues for public relations</t>
  </si>
  <si>
    <t>Cost not related to patient care</t>
  </si>
  <si>
    <t>Pass through expenses</t>
  </si>
  <si>
    <t>Total (1 thru 15)</t>
  </si>
  <si>
    <t>Refunds - Medicaid Outreach</t>
  </si>
  <si>
    <t>Rent Income</t>
  </si>
  <si>
    <t>In-Kind Medical Supplies</t>
  </si>
  <si>
    <t>In-Kind Dental Supplies</t>
  </si>
  <si>
    <t>In-Kind Computer Supplies</t>
  </si>
  <si>
    <t>In-Kind Advertising</t>
  </si>
  <si>
    <t>Total Cost Disallowance and Offset (A16+B7)</t>
  </si>
  <si>
    <t>Cost Disallowance</t>
  </si>
  <si>
    <t>Form C (Cost Adjustment &amp; Allocation)</t>
  </si>
  <si>
    <t>FTEs</t>
  </si>
  <si>
    <t>(2080 hrs = 1 FTE)</t>
  </si>
  <si>
    <t>Total Hours</t>
  </si>
  <si>
    <t>PHYSICIAN ASSISTANT</t>
  </si>
  <si>
    <t>PHYSICIAN SERVICES UNDER CONTRACT</t>
  </si>
  <si>
    <t>DENTIST</t>
  </si>
  <si>
    <t>DENTAL HYGIENIST</t>
  </si>
  <si>
    <t>PSYCHOLOGIST</t>
  </si>
  <si>
    <t>SOCIAL WORKER</t>
  </si>
  <si>
    <t>Type of Control  (Check One Only)</t>
  </si>
  <si>
    <t>FQHC Owned By:</t>
  </si>
  <si>
    <t>Other Direct Health Care Cost</t>
  </si>
  <si>
    <t xml:space="preserve">FQHC Medicaid Provider Number: </t>
  </si>
  <si>
    <t>Depreciation - Mental Health Equipment</t>
  </si>
  <si>
    <t>Radiology</t>
  </si>
  <si>
    <t>Printed Name</t>
  </si>
  <si>
    <t>Form A-1 (Direct Health Care Cost)</t>
  </si>
  <si>
    <t>Form A-2 (Direct Dental Care Cost)</t>
  </si>
  <si>
    <t>Other Direct Dental Care Cost</t>
  </si>
  <si>
    <t>Dental Supplies</t>
  </si>
  <si>
    <t>Form A-3 (Direct Mental Health Care Cost)</t>
  </si>
  <si>
    <t>Subtotal Direct Mental Health Care Cost</t>
  </si>
  <si>
    <t>Other Direct Mental Health Care Cost</t>
  </si>
  <si>
    <t>Subtotal Other Direct Mental Health Care Cost</t>
  </si>
  <si>
    <t>Subtotal Overhead - Facility Cost</t>
  </si>
  <si>
    <t>Subtotal Overhead - Administrative Cost</t>
  </si>
  <si>
    <t>PHYSICIAN</t>
  </si>
  <si>
    <t>Direct Cost Title XIX Services (P5 - Form A-3, Line D, Col. VII)</t>
  </si>
  <si>
    <t>Direct Cost Other Services (P6 - Form A-4, Line E.1.i, Col. VII)</t>
  </si>
  <si>
    <t>Total Overhead Cost (P7 - Form A-5, Line I, Col. VII)</t>
  </si>
  <si>
    <t>Thirty Percent (30%) of Total Title XIX Svc Cost (Gx.30)</t>
  </si>
  <si>
    <t>Health Care Services (P3 - Form A-1, Line A3, Col. VII)</t>
  </si>
  <si>
    <t>Dental Services (P4 - Form A-2, Line B3, Col. VII)</t>
  </si>
  <si>
    <t>Mental Health Services (P5 - Form A-3, Line C3, Col. VII)</t>
  </si>
  <si>
    <t>Total Direct Costs (K1 thru K3)</t>
  </si>
  <si>
    <t>Total Allowable Title XIX Overhead Cost (M1 thru M3)</t>
  </si>
  <si>
    <t>Direct Health Care Cost  (P3 - Form A-1, Line A3, Col. VII)</t>
  </si>
  <si>
    <t>Direct Dental Care Cost (P4 - Form A-2, Line B3, Col. VII)</t>
  </si>
  <si>
    <t>Direct Mental Health Care Cost (P5 - Form A-3, Line C3, Col. VII)</t>
  </si>
  <si>
    <t>Patient Cash/Self Pay</t>
  </si>
  <si>
    <t>Operating Revenue</t>
  </si>
  <si>
    <t>Other Revenue</t>
  </si>
  <si>
    <t>Other Revenue                                            (Include revenue generated by non-approved FQHC sites)</t>
  </si>
  <si>
    <t>Form F (Grants and Contributions)</t>
  </si>
  <si>
    <r>
      <t>GRANTS AND CONTRIBUTIONS</t>
    </r>
    <r>
      <rPr>
        <b/>
        <i/>
        <sz val="10"/>
        <rFont val="Helv"/>
      </rPr>
      <t xml:space="preserve"> (EXCLUDING THE PUBLIC HEALTH SERVICES GRANTS)</t>
    </r>
  </si>
  <si>
    <t>Form G (Cost Disallowance and Offset)</t>
  </si>
  <si>
    <t>Cost of actions to collect receivables</t>
  </si>
  <si>
    <r>
      <t xml:space="preserve">Cost Offset </t>
    </r>
    <r>
      <rPr>
        <b/>
        <i/>
        <sz val="10"/>
        <rFont val="Helv"/>
      </rPr>
      <t>(Expense Recovery)</t>
    </r>
  </si>
  <si>
    <t>DIRECT HEALTH CARE COST</t>
  </si>
  <si>
    <t>DIRECT DENTAL CARE COST</t>
  </si>
  <si>
    <t>DIRECT MENTAL HEALTH CARE COST</t>
  </si>
  <si>
    <t>Encounters</t>
  </si>
  <si>
    <t>Total Physician Encounters, Staff Hours and FTEs</t>
  </si>
  <si>
    <t>Total Physician Assistant Encounters, Hours and FTEs</t>
  </si>
  <si>
    <t>Total Dentist Encounters, Staff Hours and FTEs</t>
  </si>
  <si>
    <t>Total Dental Hygienist Encounters, Hours and FTEs</t>
  </si>
  <si>
    <t>Total Psychologist Encounters, Staff Hours and FTEs</t>
  </si>
  <si>
    <t>Total Social Worker Encounters, Hours and FTEs</t>
  </si>
  <si>
    <t>Form D (Allowable Cost per Encounter)</t>
  </si>
  <si>
    <t>ALLOWABLE COST PER ENCOUNTER</t>
  </si>
  <si>
    <t>Allowable Health Care Cost Per Encounter (C/D)</t>
  </si>
  <si>
    <t>Allowable Dental Cost Per Encounter (C/D)</t>
  </si>
  <si>
    <t>Allowable Mental Health Cost Per Encounter (C/D)</t>
  </si>
  <si>
    <t>Compensation</t>
  </si>
  <si>
    <r>
      <t xml:space="preserve">HEALTH CARE COMPENSATION, ENCOUNTERS, HOURS, &amp; FTEs </t>
    </r>
    <r>
      <rPr>
        <b/>
        <i/>
        <sz val="10"/>
        <rFont val="Arial"/>
        <family val="2"/>
      </rPr>
      <t>(Excluding Dental, Mental Health, and Other)</t>
    </r>
  </si>
  <si>
    <t>Provide itemized de-identified list (e.g., Physician 1)</t>
  </si>
  <si>
    <t>General Practitioner</t>
  </si>
  <si>
    <t>Specialty</t>
  </si>
  <si>
    <t>Total Employee Hours and FTEs</t>
  </si>
  <si>
    <t>Employee</t>
  </si>
  <si>
    <t>HEALTH CARE COMPENSATION, ENCOUNTERS, HOURS, AND FTEs BY PRACTITIONER</t>
  </si>
  <si>
    <t>Form B-1 (Compensation, Encounters, Hours, FTEs - Health Care)</t>
  </si>
  <si>
    <r>
      <t xml:space="preserve">Form B-1 </t>
    </r>
    <r>
      <rPr>
        <b/>
        <i/>
        <sz val="10"/>
        <rFont val="Arial"/>
        <family val="2"/>
      </rPr>
      <t xml:space="preserve">Continued </t>
    </r>
    <r>
      <rPr>
        <b/>
        <sz val="10"/>
        <rFont val="Arial"/>
        <family val="2"/>
      </rPr>
      <t>(Compensation, Encounters, Hours, FTEs - Health Care)</t>
    </r>
  </si>
  <si>
    <t>Total Nurse Practioner</t>
  </si>
  <si>
    <t>Total Physician Services Under Contract</t>
  </si>
  <si>
    <t>Total Other Health Care Practitioner</t>
  </si>
  <si>
    <t>Provide itemized de-identified list (e.g., Dentist 1)</t>
  </si>
  <si>
    <t>Provide itemized de-identified list (e.g., Psychologist 1)</t>
  </si>
  <si>
    <t>DENTAL CARE COMPENSATION, ENCOUNTERS, HOURS, &amp; FTEs</t>
  </si>
  <si>
    <t>MENTAL HEALTH SERVICES COMPENSATION, ENCOUNTERS, HOURS, &amp; FTEs</t>
  </si>
  <si>
    <t>MENTAL HEALTH SERVICES COMPENSATION, ENCOUNTERS, HOURS, AND FTEs BY PRACTITIONER</t>
  </si>
  <si>
    <t>DENTAL SERVICES COMPENSATION, ENCOUNTERS, HOURS, AND FTEs BY PRACTITIONER</t>
  </si>
  <si>
    <t>Form B-2 (Compensation, Encounters, Hours, FTEs - Dental Care)</t>
  </si>
  <si>
    <t>Form B-3 (Compensation, Encounters, Hours, FTEs - Mental Health Care)</t>
  </si>
  <si>
    <t>NURSE (APRN, MIDWIFE, RN)</t>
  </si>
  <si>
    <t>Nurse (APRN, Midwife, RN)</t>
  </si>
  <si>
    <r>
      <t>FQHC Certified              Yes</t>
    </r>
    <r>
      <rPr>
        <b/>
        <i/>
        <sz val="10"/>
        <rFont val="Helv"/>
      </rPr>
      <t>/ No</t>
    </r>
  </si>
  <si>
    <t>RECLASSIFICATIONS AND ADJUSTMENTS OF TRIAL BALANCE OF EXPENSES</t>
  </si>
  <si>
    <t>(Decrease)</t>
  </si>
  <si>
    <t>Allowable Overhead Cost (P13 - Form C, Line M1)</t>
  </si>
  <si>
    <t>Allowable Overhead Cost (P13 - Form C, Line M2)</t>
  </si>
  <si>
    <t>Allowable Overhead Cost (P13 - Form C, Line M3)</t>
  </si>
  <si>
    <t>Select One:</t>
  </si>
  <si>
    <r>
      <rPr>
        <b/>
        <sz val="11"/>
        <rFont val="Helv"/>
      </rPr>
      <t xml:space="preserve">Related Parties:  </t>
    </r>
    <r>
      <rPr>
        <sz val="11"/>
        <rFont val="Helv"/>
      </rPr>
      <t xml:space="preserve"> Related party information is reported on the following, which accompanies this cost report submission:</t>
    </r>
  </si>
  <si>
    <t>C.  Not applicable.  The FQHC does not have any related party individuals or organizations.</t>
  </si>
  <si>
    <t>A.  Copy of Medicare Cost Report (CMS 222-92) Worksheet A-2-1, Statement of Costs of Services from Related Organizations.</t>
  </si>
  <si>
    <t>B.  Schedule of related parties that contains the same information as Medicare Cost Report (CMS 222-92) Worksheet A-2-1.</t>
  </si>
  <si>
    <t>SELECT ONE OF THE FOLLOWING OPTIONS:</t>
  </si>
  <si>
    <t>DENTAL PRACTITIONERS</t>
  </si>
  <si>
    <t>MENTAL HEALTH PRACTITIONERS</t>
  </si>
  <si>
    <t>HEALTH CARE PRACTITIONERS</t>
  </si>
  <si>
    <t>OTHER MENTAL HEALTH PRACTITIONER</t>
  </si>
  <si>
    <t>Total Dental</t>
  </si>
  <si>
    <t>Total Mental Health</t>
  </si>
  <si>
    <t>Total Health Care</t>
  </si>
  <si>
    <t>Number of</t>
  </si>
  <si>
    <t>Practitioners</t>
  </si>
  <si>
    <t>Compensation Range</t>
  </si>
  <si>
    <t>High</t>
  </si>
  <si>
    <t>Low</t>
  </si>
  <si>
    <t>Turnover</t>
  </si>
  <si>
    <t>Departures</t>
  </si>
  <si>
    <t>Hires</t>
  </si>
  <si>
    <t>Employee Hours and FTEs</t>
  </si>
  <si>
    <t>FTEs (2,080</t>
  </si>
  <si>
    <t>hrs = 1 FTE)</t>
  </si>
  <si>
    <t>VIII</t>
  </si>
  <si>
    <t>IX</t>
  </si>
  <si>
    <t>PSYCHIATRIST</t>
  </si>
  <si>
    <t>SUMMARY COMPENSATION, ENCOUNTERS, HOURS, AND FTEs BY PRACTITIONER TYPE</t>
  </si>
  <si>
    <t>OTHER HEALTH PROFESSIONALS</t>
  </si>
  <si>
    <t>OTHER ALLIED HEALTH PROFESSIONALS</t>
  </si>
  <si>
    <t>LICENSED CLINICAL SOCIAL WORKER</t>
  </si>
  <si>
    <t>OTHER DENTAL PRACTITIONERS</t>
  </si>
  <si>
    <t>PSYCHIATRIC APRN</t>
  </si>
  <si>
    <t>Laboratory</t>
  </si>
  <si>
    <t>Physician-Administered Drugs</t>
  </si>
  <si>
    <t>Prescription Drugs/Pharmacy</t>
  </si>
  <si>
    <t>WIC</t>
  </si>
  <si>
    <t>NON-ALLOWABLE DIRECT OTHER SERVICE COST</t>
  </si>
  <si>
    <t xml:space="preserve">Total Non-Allowable Direct Other Service Cost </t>
  </si>
  <si>
    <t>TOTAL DIRECT HEALTH CARE COST (1e &amp; 2i)</t>
  </si>
  <si>
    <t>TOTAL DIRECT MENTAL HEALTH CARE COST (1d &amp; 2f)</t>
  </si>
  <si>
    <t>TOTAL DIRECT DENTAL CARE COST (1d &amp; 2f)</t>
  </si>
  <si>
    <t>TOTAL DIRECT COST BEFORE NON-ALLOWABLE SERVICES</t>
  </si>
  <si>
    <t>TOTAL OVERHEAD COST (Gi+Hk)</t>
  </si>
  <si>
    <r>
      <t>GRAND TOTAL COSTS</t>
    </r>
    <r>
      <rPr>
        <b/>
        <vertAlign val="superscript"/>
        <sz val="10"/>
        <rFont val="Helv"/>
      </rPr>
      <t>2</t>
    </r>
    <r>
      <rPr>
        <b/>
        <sz val="10"/>
        <rFont val="Helv"/>
      </rPr>
      <t xml:space="preserve"> (F+I)</t>
    </r>
  </si>
  <si>
    <r>
      <rPr>
        <b/>
        <i/>
        <vertAlign val="superscript"/>
        <sz val="8"/>
        <rFont val="Helv"/>
      </rPr>
      <t xml:space="preserve">2 </t>
    </r>
    <r>
      <rPr>
        <b/>
        <i/>
        <sz val="8"/>
        <rFont val="Helv"/>
      </rPr>
      <t>Reconciliation schedule is required if Line J, Column III does not agree to the Audited Financial Statements</t>
    </r>
  </si>
  <si>
    <r>
      <rPr>
        <b/>
        <sz val="11"/>
        <rFont val="Helv"/>
      </rPr>
      <t xml:space="preserve">Service Sites:  </t>
    </r>
    <r>
      <rPr>
        <sz val="11"/>
        <rFont val="Helv"/>
      </rPr>
      <t>List all service sites of the FQHC, including all FQHC-certified sites and any other non-FQHC service sites.  Indicate whether the service site is FQHC certified.  If a site or sites are not FQHC-certified, the associated costs should be reported on Form A-4 as non-allowable costs.</t>
    </r>
  </si>
  <si>
    <t>Form A-4 (Non-Allowable Direct Other Service Cost)</t>
  </si>
  <si>
    <t>Form A-5 (Overhead Cost)</t>
  </si>
  <si>
    <t>TOTAL DIRECT COST (D+E1i)</t>
  </si>
  <si>
    <t>OTHER HEALTH CARE PRACTITIONER</t>
  </si>
  <si>
    <t>OTHER DENTAL PRACTITIONER</t>
  </si>
  <si>
    <t>Total Other Dental Practitioner Encounters, Hours and FTEs</t>
  </si>
  <si>
    <t>Total Other Mental Health Practitioner Encounters, Hours and FTEs</t>
  </si>
  <si>
    <t>Form B-4 (Summary Compensation, Encounters, Hours, FTEs)</t>
  </si>
  <si>
    <t>OTHER MENTAL HEALTH PRACTITIONERS</t>
  </si>
  <si>
    <t>Encounters (P12 - Form B-4, Health Care Total)</t>
  </si>
  <si>
    <t>Encounters (P12 - Form B-4, Dental Total)</t>
  </si>
  <si>
    <t>Encounters (P12 - Form B-4, Mental Health Total)</t>
  </si>
  <si>
    <t>Cost Adjustment (Lower of H-F or Zero)</t>
  </si>
  <si>
    <t>Total (1 thru 5)</t>
  </si>
  <si>
    <t>Total (1 thru 10)</t>
  </si>
  <si>
    <t>Total Revenue (A6+B11+C7)</t>
  </si>
  <si>
    <t>OTHER HEALTH CARE PRACTITIONERS</t>
  </si>
  <si>
    <t>Advertising-Help Wanted</t>
  </si>
  <si>
    <t>COMMUNITY HEALTH CENTER, INC.</t>
  </si>
  <si>
    <t>MIDDLETOWN, CT  06457</t>
  </si>
  <si>
    <t>860-347-6971</t>
  </si>
  <si>
    <t>004236346</t>
  </si>
  <si>
    <t>004236354</t>
  </si>
  <si>
    <t>004236338</t>
  </si>
  <si>
    <t>x</t>
  </si>
  <si>
    <t>Community Health Center Inc.</t>
  </si>
  <si>
    <t>675 Main Street, Middletown CT 06457</t>
  </si>
  <si>
    <t>Yes</t>
  </si>
  <si>
    <t>1164463840</t>
  </si>
  <si>
    <t>One Shaw's Cove, New London CT 06320</t>
  </si>
  <si>
    <t>1982889309</t>
  </si>
  <si>
    <t>85 Lafayette Street, New Britain CT 06051</t>
  </si>
  <si>
    <t>1912182338</t>
  </si>
  <si>
    <t>134 State Street, Meriden CT 06450</t>
  </si>
  <si>
    <t>1720263148</t>
  </si>
  <si>
    <t>114 East Main Street, Clinton CT 06413</t>
  </si>
  <si>
    <t>144735862</t>
  </si>
  <si>
    <t>49 Day Street, Norwalk CT 06854</t>
  </si>
  <si>
    <t>1972788321</t>
  </si>
  <si>
    <t>481 Gold Star Hwy, Groton CT 06340</t>
  </si>
  <si>
    <t>147334851</t>
  </si>
  <si>
    <t>8 Delay Street, Danbury CT 06810</t>
  </si>
  <si>
    <t>1518139500</t>
  </si>
  <si>
    <t>5 N. Main Street, Enfield CT 06082</t>
  </si>
  <si>
    <t>1679761027</t>
  </si>
  <si>
    <t>141 Franklin Street, Stamford CT 06901</t>
  </si>
  <si>
    <t>1730311143</t>
  </si>
  <si>
    <t>59 North Main Street, Bristol CT 06010</t>
  </si>
  <si>
    <t>1356676514</t>
  </si>
  <si>
    <t>51 North Elm Street, Waterbury CT 06702</t>
  </si>
  <si>
    <t>1972866556</t>
  </si>
  <si>
    <t>Community Health Center Inc., W.Y.A. Masters Manna</t>
  </si>
  <si>
    <t>46 N. Plains Industrial Road, Wallingford CT 06492</t>
  </si>
  <si>
    <t>1952591851</t>
  </si>
  <si>
    <t>Community Health Center Inc., W.Y.A. Prudence Crandall</t>
  </si>
  <si>
    <t>594 Burritt Street, New Britain CT 06051</t>
  </si>
  <si>
    <t>Community Health Center Inc., W.Y.A. Shelter Now</t>
  </si>
  <si>
    <t>43 St. Casimir Drive, Meriden CT 06450</t>
  </si>
  <si>
    <t>Community Health Center Inc., W.Y.A. Friendship Center</t>
  </si>
  <si>
    <t>241 Arch Street, New Britain CT 06050</t>
  </si>
  <si>
    <t>Community Health Center Inc., W.Y.A. Eddy Shelter</t>
  </si>
  <si>
    <t>1 LaBella Circle, Middletown CT 06457</t>
  </si>
  <si>
    <t>Community Health Center Inc., W.Y.A. New London</t>
  </si>
  <si>
    <t>427 Huntington Avenue,  New London CT 06320</t>
  </si>
  <si>
    <t>1548677982</t>
  </si>
  <si>
    <t>Community Health Center Inc., W.Y.A. City of Danbury Emergency Shelter</t>
  </si>
  <si>
    <t>41 New Street, Danbury, CT 06810</t>
  </si>
  <si>
    <t>76 New Britain Avenue, Hartford, CT 06106</t>
  </si>
  <si>
    <t>None</t>
  </si>
  <si>
    <t>Other Direct Healthcare Costs</t>
  </si>
  <si>
    <t>Other Direct Dental Care Costs</t>
  </si>
  <si>
    <t>Other Direct Mental Health Care Costs</t>
  </si>
  <si>
    <t>Non-Allowable Other Costs</t>
  </si>
  <si>
    <t>Overhead - Adminstrative Other Costs</t>
  </si>
  <si>
    <t>Reclass of Public Relations and Weitzman</t>
  </si>
  <si>
    <t>Line</t>
  </si>
  <si>
    <t>A2h</t>
  </si>
  <si>
    <t>B2e</t>
  </si>
  <si>
    <t>C2e</t>
  </si>
  <si>
    <t>Hj</t>
  </si>
  <si>
    <t>Adj</t>
  </si>
  <si>
    <t>Visits</t>
  </si>
  <si>
    <t>%</t>
  </si>
  <si>
    <t>Grand Total</t>
  </si>
  <si>
    <t>Sal</t>
  </si>
  <si>
    <t>Ben</t>
  </si>
  <si>
    <t>A2a</t>
  </si>
  <si>
    <t>A2c</t>
  </si>
  <si>
    <t>B2a</t>
  </si>
  <si>
    <t>B2c</t>
  </si>
  <si>
    <t>C2c</t>
  </si>
  <si>
    <t>Ga</t>
  </si>
  <si>
    <t>Gb</t>
  </si>
  <si>
    <t>Gc</t>
  </si>
  <si>
    <t>Gd</t>
  </si>
  <si>
    <t>Ge</t>
  </si>
  <si>
    <t>Gg</t>
  </si>
  <si>
    <t>Gh</t>
  </si>
  <si>
    <t>Hc</t>
  </si>
  <si>
    <t>Hd</t>
  </si>
  <si>
    <t>He</t>
  </si>
  <si>
    <t>Hg</t>
  </si>
  <si>
    <t>See Attachment A</t>
  </si>
  <si>
    <t>Cost Center</t>
  </si>
  <si>
    <t>Podiatrist</t>
  </si>
  <si>
    <t>Salary</t>
  </si>
  <si>
    <t>Benefits</t>
  </si>
  <si>
    <t>Dental Salary and Benefits Other</t>
  </si>
  <si>
    <t>Mental Health Salary and Benefits Other</t>
  </si>
  <si>
    <t>Water/Sewer/Sanitation</t>
  </si>
  <si>
    <t>A2b</t>
  </si>
  <si>
    <t>B2b</t>
  </si>
  <si>
    <t>C2b</t>
  </si>
  <si>
    <t>210100</t>
  </si>
  <si>
    <t>210300</t>
  </si>
  <si>
    <t>210400</t>
  </si>
  <si>
    <t>210500</t>
  </si>
  <si>
    <t>210600</t>
  </si>
  <si>
    <t>210700</t>
  </si>
  <si>
    <t>210800</t>
  </si>
  <si>
    <t>210900</t>
  </si>
  <si>
    <t>211000</t>
  </si>
  <si>
    <t>211100</t>
  </si>
  <si>
    <t>211200</t>
  </si>
  <si>
    <t>211300</t>
  </si>
  <si>
    <t>211400</t>
  </si>
  <si>
    <t>220100</t>
  </si>
  <si>
    <t>220300</t>
  </si>
  <si>
    <t>220700</t>
  </si>
  <si>
    <t>240100</t>
  </si>
  <si>
    <t>270100</t>
  </si>
  <si>
    <t>SBHC Reclass Medical to Mental Health</t>
  </si>
  <si>
    <t>See Form B-1 Detail</t>
  </si>
  <si>
    <t>See Form B-2 Detail</t>
  </si>
  <si>
    <t>See Form B-3 Detail</t>
  </si>
  <si>
    <t>Consulting</t>
  </si>
  <si>
    <t>Investment Income</t>
  </si>
  <si>
    <t>Allocated Direct Support Staff</t>
  </si>
  <si>
    <t>Bad Debt</t>
  </si>
  <si>
    <t>Eh2</t>
  </si>
  <si>
    <t>Reclass of Bad Debt</t>
  </si>
  <si>
    <t>310100</t>
  </si>
  <si>
    <t>310200</t>
  </si>
  <si>
    <t>310300</t>
  </si>
  <si>
    <t>310400</t>
  </si>
  <si>
    <t>310600</t>
  </si>
  <si>
    <t>310800</t>
  </si>
  <si>
    <t>310900</t>
  </si>
  <si>
    <t>311200</t>
  </si>
  <si>
    <t>311300</t>
  </si>
  <si>
    <t>311400</t>
  </si>
  <si>
    <t>320100</t>
  </si>
  <si>
    <t>320300</t>
  </si>
  <si>
    <t>320400</t>
  </si>
  <si>
    <t>320600</t>
  </si>
  <si>
    <t>320800</t>
  </si>
  <si>
    <t>320900</t>
  </si>
  <si>
    <t>321000</t>
  </si>
  <si>
    <t>410100</t>
  </si>
  <si>
    <t>410300</t>
  </si>
  <si>
    <t>410400</t>
  </si>
  <si>
    <t>410500</t>
  </si>
  <si>
    <t>410600</t>
  </si>
  <si>
    <t>410700</t>
  </si>
  <si>
    <t>410800</t>
  </si>
  <si>
    <t>410900</t>
  </si>
  <si>
    <t>411000</t>
  </si>
  <si>
    <t>411100</t>
  </si>
  <si>
    <t>411200</t>
  </si>
  <si>
    <t>411300</t>
  </si>
  <si>
    <t>411400</t>
  </si>
  <si>
    <t>A1a</t>
  </si>
  <si>
    <t>A1b</t>
  </si>
  <si>
    <t>A1c</t>
  </si>
  <si>
    <t>A1d</t>
  </si>
  <si>
    <t>B1a</t>
  </si>
  <si>
    <t>B1b</t>
  </si>
  <si>
    <t>B1c</t>
  </si>
  <si>
    <t>C1a</t>
  </si>
  <si>
    <t>C1b</t>
  </si>
  <si>
    <t>C1c</t>
  </si>
  <si>
    <t>E1d</t>
  </si>
  <si>
    <t>E1e</t>
  </si>
  <si>
    <t>Ha</t>
  </si>
  <si>
    <t>Hours</t>
  </si>
  <si>
    <t>Salaries</t>
  </si>
  <si>
    <t>MEDICAL</t>
  </si>
  <si>
    <t xml:space="preserve">DENTAL </t>
  </si>
  <si>
    <t>MEDICAID</t>
  </si>
  <si>
    <t>PRIVATE</t>
  </si>
  <si>
    <t>GRANTS</t>
  </si>
  <si>
    <t>DONATIONS</t>
  </si>
  <si>
    <t>BONDING</t>
  </si>
  <si>
    <t>340b</t>
  </si>
  <si>
    <t>CONSULTING</t>
  </si>
  <si>
    <t>INVESTMENT INCOME</t>
  </si>
  <si>
    <t>RENTAL INCOME</t>
  </si>
  <si>
    <t>INTEREST AND DIVIDENDS</t>
  </si>
  <si>
    <t>Medical Salary and Benefits Other</t>
  </si>
  <si>
    <t>CONTRACTED</t>
  </si>
  <si>
    <t>ACCT</t>
  </si>
  <si>
    <t>B1c  DATA</t>
  </si>
  <si>
    <t>A1d NUMBERS</t>
  </si>
  <si>
    <t>C1c TOTAL</t>
  </si>
  <si>
    <t>ALLOCATED TOTAL</t>
  </si>
  <si>
    <t>TOTAL</t>
  </si>
  <si>
    <t>250100</t>
  </si>
  <si>
    <t>800000</t>
  </si>
  <si>
    <t>800600</t>
  </si>
  <si>
    <t>TOTAL DENTAL</t>
  </si>
  <si>
    <t>100100</t>
  </si>
  <si>
    <t>100600</t>
  </si>
  <si>
    <t>101100</t>
  </si>
  <si>
    <t>Reclass Public Relations and Weitzman</t>
  </si>
  <si>
    <t>M</t>
  </si>
  <si>
    <t>D</t>
  </si>
  <si>
    <t>MH</t>
  </si>
  <si>
    <t>211500</t>
  </si>
  <si>
    <t>COMMUNITY HEALTH CENTER INC.</t>
  </si>
  <si>
    <t>FQHC Certified              Yes/ No</t>
  </si>
  <si>
    <t>22 Fifth Street, Stamford, CT 06905</t>
  </si>
  <si>
    <t xml:space="preserve">COMPLETE CLINIC SITE LISTING FOR - </t>
  </si>
  <si>
    <t>TOTAL REVENUES</t>
  </si>
  <si>
    <t>Administrative Assistant</t>
  </si>
  <si>
    <t>Care Coordinator</t>
  </si>
  <si>
    <t>Case Manager, Community Based Services</t>
  </si>
  <si>
    <t>Diabetes Educator</t>
  </si>
  <si>
    <t>Dietitian</t>
  </si>
  <si>
    <t>Lead Dietitian</t>
  </si>
  <si>
    <t>Medical Assistant</t>
  </si>
  <si>
    <t>Operations Manager</t>
  </si>
  <si>
    <t>Patient Services Associate</t>
  </si>
  <si>
    <t>Patient Services Associate II</t>
  </si>
  <si>
    <t>Perinatal Support Worker</t>
  </si>
  <si>
    <t>Senior Medical Assistant</t>
  </si>
  <si>
    <t>Senior Patient Services Associate</t>
  </si>
  <si>
    <t>Psychiatrist</t>
  </si>
  <si>
    <t>TOTAL MENTAL HEALTH</t>
  </si>
  <si>
    <t>FORM A-1</t>
  </si>
  <si>
    <t>FORM A-5</t>
  </si>
  <si>
    <t>NON-ALLOWABLE A-4</t>
  </si>
  <si>
    <t>FORM A-3</t>
  </si>
  <si>
    <t>DENTAL A-2</t>
  </si>
  <si>
    <t>MEDICAL  A-1</t>
  </si>
  <si>
    <t>C2a</t>
  </si>
  <si>
    <t>ADVERTISING</t>
  </si>
  <si>
    <t>COMPUTER TIME</t>
  </si>
  <si>
    <t>CONTINUING ED</t>
  </si>
  <si>
    <t>CONTRACTUAL EXPENSES</t>
  </si>
  <si>
    <t>DENTAL LAB</t>
  </si>
  <si>
    <t>EQUIP RENTAL</t>
  </si>
  <si>
    <t>HEALTH FAIR EXPENSE</t>
  </si>
  <si>
    <t>LEGAL FEES</t>
  </si>
  <si>
    <t>LICENSES - CERT EXP</t>
  </si>
  <si>
    <t>LITERATURE</t>
  </si>
  <si>
    <t>MAINT - REPAIR EXP</t>
  </si>
  <si>
    <t>MAINT CONTRACTS</t>
  </si>
  <si>
    <t>MEETINGS &amp; CONF</t>
  </si>
  <si>
    <t>MEMBERSHIP DUES</t>
  </si>
  <si>
    <t>MINOR EQUIP</t>
  </si>
  <si>
    <t>OFFICE SUPPLIES</t>
  </si>
  <si>
    <t>OTHER EXPENSE</t>
  </si>
  <si>
    <t>OTHER SUPPLIES</t>
  </si>
  <si>
    <t>PRINTING EXPENSE</t>
  </si>
  <si>
    <t>PROPERTY TAXES</t>
  </si>
  <si>
    <t>RENT EXPENSE</t>
  </si>
  <si>
    <t>TELEPHONE EXP</t>
  </si>
  <si>
    <t>TEMP HELP EXPENSE</t>
  </si>
  <si>
    <t>TRANSLATION SERVICES</t>
  </si>
  <si>
    <t>TRAVEL EXP</t>
  </si>
  <si>
    <t>UTILITIES</t>
  </si>
  <si>
    <t>WATER - SEWER EXP</t>
  </si>
  <si>
    <t>DEPREC EXP</t>
  </si>
  <si>
    <t>BLDG ALLOCATIONS</t>
  </si>
  <si>
    <t>RECRUITMENT COSTS</t>
  </si>
  <si>
    <t>USES RATIOS FROM VISTS (ABOVE)</t>
  </si>
  <si>
    <t>411500</t>
  </si>
  <si>
    <t>Medical Assistant - SBHC</t>
  </si>
  <si>
    <t>Pharmacist</t>
  </si>
  <si>
    <t>Pharmacy Assistant Coordinator</t>
  </si>
  <si>
    <t>Senior Medical Assistant - SBHC</t>
  </si>
  <si>
    <t>Program Specialist</t>
  </si>
  <si>
    <t>Quality Improvement Director</t>
  </si>
  <si>
    <t>200000</t>
  </si>
  <si>
    <t>MENTAL HLTH</t>
  </si>
  <si>
    <t>B-STAFF CONTR FEES</t>
  </si>
  <si>
    <t>C-STAFF CONTR FEES</t>
  </si>
  <si>
    <t>CONTRACTED STAFF EXPENSE</t>
  </si>
  <si>
    <t>DENTAL</t>
  </si>
  <si>
    <t>See Attachment A - Contracted Staff Costs</t>
  </si>
  <si>
    <t>Program Manager</t>
  </si>
  <si>
    <t>Psychiatric Nurse Practitioner</t>
  </si>
  <si>
    <t>PAYROLL SERVICES</t>
  </si>
  <si>
    <t>PHARMACY EXPENSE</t>
  </si>
  <si>
    <t>Access to Care Coordinator</t>
  </si>
  <si>
    <t>AmeriCorps Member</t>
  </si>
  <si>
    <t>Outreach Worker</t>
  </si>
  <si>
    <t>Program Coordinator</t>
  </si>
  <si>
    <t>Referral Coordinator</t>
  </si>
  <si>
    <t>Dental Assistant</t>
  </si>
  <si>
    <t>PANDEMIC REVENUE</t>
  </si>
  <si>
    <t>School Based Costs</t>
  </si>
  <si>
    <t>NET PATIENT REVENUE</t>
  </si>
  <si>
    <t>MEDICAID SUPPLEMENTAL</t>
  </si>
  <si>
    <t>OTHER INCOME</t>
  </si>
  <si>
    <t>PATIENT / SELF PAY</t>
  </si>
  <si>
    <t xml:space="preserve">OTHER </t>
  </si>
  <si>
    <t>Medicaid Supplemental</t>
  </si>
  <si>
    <t xml:space="preserve">PHYSICIAN ASSISTANT </t>
  </si>
  <si>
    <t xml:space="preserve">SPLIT - </t>
  </si>
  <si>
    <t>AFFILIATES EXPENSES</t>
  </si>
  <si>
    <t>CECN</t>
  </si>
  <si>
    <t>CGC</t>
  </si>
  <si>
    <t>REALTY II</t>
  </si>
  <si>
    <t>REALTY I</t>
  </si>
  <si>
    <t>NIMAA</t>
  </si>
  <si>
    <t>NURSE PRACTITIONERS</t>
  </si>
  <si>
    <t>Total Expenses per Medicaid Cost Report for Community Health Center</t>
  </si>
  <si>
    <t>PR ONLY</t>
  </si>
  <si>
    <t>WEITZMAN</t>
  </si>
  <si>
    <t>Reclass Public Rel &amp; Weitzman</t>
  </si>
  <si>
    <t>DIFFERENCE   /  IMMATERIAL</t>
  </si>
  <si>
    <t xml:space="preserve">401 Shippan Avenue, Stamford, CT </t>
  </si>
  <si>
    <t>103 West Broad Street, Stamford, CT</t>
  </si>
  <si>
    <t>81 Holly Hill Lane, Greenwich, CT</t>
  </si>
  <si>
    <t>Dental Hygienist</t>
  </si>
  <si>
    <t>MENTAL HEALTH</t>
  </si>
  <si>
    <t>Chief Nursing Officer</t>
  </si>
  <si>
    <t>A1d  DATA</t>
  </si>
  <si>
    <t>TOTAL MEDICAL</t>
  </si>
  <si>
    <t>SBHC Costs</t>
  </si>
  <si>
    <t>Total A1a-A1d</t>
  </si>
  <si>
    <t>Total B1a-B1c</t>
  </si>
  <si>
    <t>Total C1a-C2e</t>
  </si>
  <si>
    <t>A1d (allocated)</t>
  </si>
  <si>
    <t>B1c (allocated)</t>
  </si>
  <si>
    <t>C1c (allocated)</t>
  </si>
  <si>
    <t>Contracted Medical Staff</t>
  </si>
  <si>
    <t>Medical Equipment Depreciation</t>
  </si>
  <si>
    <t>A2d</t>
  </si>
  <si>
    <t>Professional Liability Ins</t>
  </si>
  <si>
    <t>BAD DEBT</t>
  </si>
  <si>
    <t>Reclass of PR &amp; Weitzman</t>
  </si>
  <si>
    <t>Contracted Dental Staff</t>
  </si>
  <si>
    <t>Dental Equipment Depreciation</t>
  </si>
  <si>
    <t>B2d</t>
  </si>
  <si>
    <t>Contracted Mental Health Staff</t>
  </si>
  <si>
    <t>MH Equipment Depreciation</t>
  </si>
  <si>
    <t>C2d</t>
  </si>
  <si>
    <t>TOTAL EXPENSES</t>
  </si>
  <si>
    <t>By Line Item</t>
  </si>
  <si>
    <t>Subtotals</t>
  </si>
  <si>
    <t>FROM GL</t>
  </si>
  <si>
    <t>FY2021</t>
  </si>
  <si>
    <t>Allocated Direct Support Staff   - ALLOCATION</t>
  </si>
  <si>
    <t>Vaccine Staff Nurse</t>
  </si>
  <si>
    <t>CGC Case Manager, Behavioral Health</t>
  </si>
  <si>
    <t>CGC Psychology Intern</t>
  </si>
  <si>
    <t>Chief Psychiatry Officer</t>
  </si>
  <si>
    <t>CLIENT SUPPORT - MEDICAL</t>
  </si>
  <si>
    <t>CLIENT SUPPORT - MISC</t>
  </si>
  <si>
    <t>CLIENT SUPPORT - TRANS</t>
  </si>
  <si>
    <t>CLEANING - HOUSEKEEPING</t>
  </si>
  <si>
    <t>CLIENT SUPPORT - DENTAL</t>
  </si>
  <si>
    <t>310000</t>
  </si>
  <si>
    <t>400000</t>
  </si>
  <si>
    <t>411600</t>
  </si>
  <si>
    <t>411700</t>
  </si>
  <si>
    <t>SBHC</t>
  </si>
  <si>
    <t>TOTALS</t>
  </si>
  <si>
    <t>RATIOS</t>
  </si>
  <si>
    <t xml:space="preserve">SBHC SPLIT - </t>
  </si>
  <si>
    <t>BEH HEALTH</t>
  </si>
  <si>
    <t>SBHC TOTAL</t>
  </si>
  <si>
    <t>LIABILITY INSURANCE - TOTAL</t>
  </si>
  <si>
    <t>POSTAGE</t>
  </si>
  <si>
    <t>MED EQUIP DEPR</t>
  </si>
  <si>
    <t>MED OTHER DIRECT</t>
  </si>
  <si>
    <t>SBHC Medical</t>
  </si>
  <si>
    <t>SBHC Mental Health</t>
  </si>
  <si>
    <t>500000</t>
  </si>
  <si>
    <t>510000</t>
  </si>
  <si>
    <t>510100</t>
  </si>
  <si>
    <t>510200</t>
  </si>
  <si>
    <t>510300</t>
  </si>
  <si>
    <t>510400</t>
  </si>
  <si>
    <t>510500</t>
  </si>
  <si>
    <t>510600</t>
  </si>
  <si>
    <t>510700</t>
  </si>
  <si>
    <t>510800</t>
  </si>
  <si>
    <t>511000</t>
  </si>
  <si>
    <t>511600</t>
  </si>
  <si>
    <t>543100</t>
  </si>
  <si>
    <t>543200</t>
  </si>
  <si>
    <t>543300</t>
  </si>
  <si>
    <t>543400</t>
  </si>
  <si>
    <t>543500</t>
  </si>
  <si>
    <t>543600</t>
  </si>
  <si>
    <t>543700</t>
  </si>
  <si>
    <t>543800</t>
  </si>
  <si>
    <t>543900</t>
  </si>
  <si>
    <t>544100</t>
  </si>
  <si>
    <t>544400</t>
  </si>
  <si>
    <t>544500</t>
  </si>
  <si>
    <t>544600</t>
  </si>
  <si>
    <t>544700</t>
  </si>
  <si>
    <t>544800</t>
  </si>
  <si>
    <t>545000</t>
  </si>
  <si>
    <t>545100</t>
  </si>
  <si>
    <t>545500</t>
  </si>
  <si>
    <t>545600</t>
  </si>
  <si>
    <t>545900</t>
  </si>
  <si>
    <t>546000</t>
  </si>
  <si>
    <t>546100</t>
  </si>
  <si>
    <t>546400</t>
  </si>
  <si>
    <t>546700</t>
  </si>
  <si>
    <t>546710</t>
  </si>
  <si>
    <t>546720</t>
  </si>
  <si>
    <t>546800</t>
  </si>
  <si>
    <t>546900</t>
  </si>
  <si>
    <t>547200</t>
  </si>
  <si>
    <t>547300</t>
  </si>
  <si>
    <t>547400</t>
  </si>
  <si>
    <t>549000</t>
  </si>
  <si>
    <t>549100</t>
  </si>
  <si>
    <t>549200</t>
  </si>
  <si>
    <t>550000</t>
  </si>
  <si>
    <t>551000</t>
  </si>
  <si>
    <t>552000</t>
  </si>
  <si>
    <t>553000</t>
  </si>
  <si>
    <t>554000</t>
  </si>
  <si>
    <t>555000</t>
  </si>
  <si>
    <t>560000</t>
  </si>
  <si>
    <t>561000</t>
  </si>
  <si>
    <t>561100</t>
  </si>
  <si>
    <t>561200</t>
  </si>
  <si>
    <t>561300</t>
  </si>
  <si>
    <t>561600</t>
  </si>
  <si>
    <t>561700</t>
  </si>
  <si>
    <t>561800</t>
  </si>
  <si>
    <t>561900</t>
  </si>
  <si>
    <t>562000</t>
  </si>
  <si>
    <t>562200</t>
  </si>
  <si>
    <t>562300</t>
  </si>
  <si>
    <t>562400</t>
  </si>
  <si>
    <t>562500</t>
  </si>
  <si>
    <t>563000</t>
  </si>
  <si>
    <t>563100</t>
  </si>
  <si>
    <t>563200</t>
  </si>
  <si>
    <t>563300</t>
  </si>
  <si>
    <t>563400</t>
  </si>
  <si>
    <t>563500</t>
  </si>
  <si>
    <t>563600</t>
  </si>
  <si>
    <t>563700</t>
  </si>
  <si>
    <t>563800</t>
  </si>
  <si>
    <t>563900</t>
  </si>
  <si>
    <t>564000</t>
  </si>
  <si>
    <t>564100</t>
  </si>
  <si>
    <t>564200</t>
  </si>
  <si>
    <t>564400</t>
  </si>
  <si>
    <t>564500</t>
  </si>
  <si>
    <t>564600</t>
  </si>
  <si>
    <t>564700</t>
  </si>
  <si>
    <t>564800</t>
  </si>
  <si>
    <t>564900</t>
  </si>
  <si>
    <t>565000</t>
  </si>
  <si>
    <t>565100</t>
  </si>
  <si>
    <t>565200</t>
  </si>
  <si>
    <t>565300</t>
  </si>
  <si>
    <t>565400</t>
  </si>
  <si>
    <t>565500</t>
  </si>
  <si>
    <t>565600</t>
  </si>
  <si>
    <t>566000</t>
  </si>
  <si>
    <t>566100</t>
  </si>
  <si>
    <t>SBHC SPLIT</t>
  </si>
  <si>
    <t>WEITZMAN &amp; PUBLIC RELATIONS</t>
  </si>
  <si>
    <t>DIFFERENCE</t>
  </si>
  <si>
    <t>CHC EXPENSES</t>
  </si>
  <si>
    <t>Sum of Ending Balance</t>
  </si>
  <si>
    <t>A1d -Contractual Exp</t>
  </si>
  <si>
    <t>ADJ</t>
  </si>
  <si>
    <t>BENEFITS</t>
  </si>
  <si>
    <t>BAD DEBTS</t>
  </si>
  <si>
    <t>Sub-totals</t>
  </si>
  <si>
    <t>Non-Allowable</t>
  </si>
  <si>
    <t>Totals</t>
  </si>
  <si>
    <t>Grand Totals</t>
  </si>
  <si>
    <t>Total Salary and Benefits - FS</t>
  </si>
  <si>
    <t>TRANSPORTATION</t>
  </si>
  <si>
    <t>OTHER 2e</t>
  </si>
  <si>
    <t>GRAND TOTAL</t>
  </si>
  <si>
    <t>Total Contracted Providers Encounters, Hours, and FTEs</t>
  </si>
  <si>
    <t>Licensed Practical Nurse, Vaccine LPN</t>
  </si>
  <si>
    <t>CGC CEO/Clinical Director</t>
  </si>
  <si>
    <t>Senior Program Manager, Prenatal</t>
  </si>
  <si>
    <t>Vaccine Clinical Specialist</t>
  </si>
  <si>
    <t>ELIMINATIONS</t>
  </si>
  <si>
    <t>PER ATTACHMENT A</t>
  </si>
  <si>
    <t>DIFFERENCE FORM A-5 TO ATTACHMENT A</t>
  </si>
  <si>
    <t>TOTAL DIFFERNCE</t>
  </si>
  <si>
    <t>Program Director</t>
  </si>
  <si>
    <t>Program Manager, All of Us Research</t>
  </si>
  <si>
    <t>Program Manager, CKP</t>
  </si>
  <si>
    <t>Senior Operations Manager</t>
  </si>
  <si>
    <t>Supervisor, Indexing Team</t>
  </si>
  <si>
    <t>ALLOCATED +++</t>
  </si>
  <si>
    <t>HOURS</t>
  </si>
  <si>
    <t xml:space="preserve">Psychiatric Nurses - </t>
  </si>
  <si>
    <t xml:space="preserve">Psychiatrists - </t>
  </si>
  <si>
    <t>Total Psychiatrists</t>
  </si>
  <si>
    <t>TOTAL OTHER MH PRACTITIONERS</t>
  </si>
  <si>
    <t>TOTAL PSYCH NURSES</t>
  </si>
  <si>
    <t>REVISED A1a - A1b</t>
  </si>
  <si>
    <t xml:space="preserve">Pandemic Revenue </t>
  </si>
  <si>
    <t>GL TRIAL BALANCE REPORT BY MEDICAID LINE</t>
  </si>
  <si>
    <t xml:space="preserve"> OVERHEAD</t>
  </si>
  <si>
    <t>Eh1 / Eh2</t>
  </si>
  <si>
    <t xml:space="preserve">Reclassed Costs for Non-FQHC Scope Projects  : </t>
  </si>
  <si>
    <t>INDIRECT</t>
  </si>
  <si>
    <t>JASON PNIEWSKI</t>
  </si>
  <si>
    <t>Chief Financial Officer</t>
  </si>
  <si>
    <t>FY2022</t>
  </si>
  <si>
    <t>MEDICAL RECORDS/ARCHIVING</t>
  </si>
  <si>
    <t>VAN MAINTENANCE</t>
  </si>
  <si>
    <t>SANITATION</t>
  </si>
  <si>
    <t>MINOR FURNITURE COSTS</t>
  </si>
  <si>
    <t>MINOR COMPUTER EQUIPMENT</t>
  </si>
  <si>
    <t>COMPUTER SOFTWARE</t>
  </si>
  <si>
    <t>BANK FEES</t>
  </si>
  <si>
    <t>MISCELLANEOUS EXPENSE</t>
  </si>
  <si>
    <t>AMERICAN EXPRESS CLEARING</t>
  </si>
  <si>
    <t>UNIFORMS</t>
  </si>
  <si>
    <t>EMPLOYEE RELATIONS</t>
  </si>
  <si>
    <t>RENT EXPENSE - INTERCOMPANY</t>
  </si>
  <si>
    <t>EQUIPMENT LEASING</t>
  </si>
  <si>
    <t>LODGING</t>
  </si>
  <si>
    <t>AIRFARE</t>
  </si>
  <si>
    <t>PARKING/TOLLS/CAB FARE</t>
  </si>
  <si>
    <t>OTHER TRAVEL EXPENSE</t>
  </si>
  <si>
    <t>EQUIP LEASING</t>
  </si>
  <si>
    <t>CHC DONATIONS</t>
  </si>
  <si>
    <t>MEDICAL SUPPLIES</t>
  </si>
  <si>
    <t>CLIENT SUPPORT - UTILITIES</t>
  </si>
  <si>
    <t>MILEAGE</t>
  </si>
  <si>
    <t>GASOLINE</t>
  </si>
  <si>
    <t>MEALS</t>
  </si>
  <si>
    <t>SPECIAL EVENTS EXPENSE</t>
  </si>
  <si>
    <t>INVESTMENT EXPENSE</t>
  </si>
  <si>
    <t>OTHER TRAVEL EXPENSES</t>
  </si>
  <si>
    <t>Client Service Associate</t>
  </si>
  <si>
    <t>Clinical Vaccinator</t>
  </si>
  <si>
    <t>Community-Based Services Associate</t>
  </si>
  <si>
    <t>Pharmacy Program Specialist</t>
  </si>
  <si>
    <t>Program Manager, New Horizons</t>
  </si>
  <si>
    <t>A-STAFF CONTR FEES</t>
  </si>
  <si>
    <t>PER P7 FORM A-5 GRAND TOTAL COSTS</t>
  </si>
  <si>
    <t>SBHC MEDICAL</t>
  </si>
  <si>
    <t>SBHC MENTAL HLTH</t>
  </si>
  <si>
    <t>ADMIN</t>
  </si>
  <si>
    <t>ADMIN TOTAL</t>
  </si>
  <si>
    <t>AFFILIATES</t>
  </si>
  <si>
    <t xml:space="preserve">WELLNESS </t>
  </si>
  <si>
    <t>TOTAL CONTRACTUAL</t>
  </si>
  <si>
    <t>SHELTER</t>
  </si>
  <si>
    <t>BUILDINGS</t>
  </si>
  <si>
    <t>CONTRACTED  EXP</t>
  </si>
  <si>
    <t>USE R1 WORK DAY SCHEDULE</t>
  </si>
  <si>
    <t>USE BILL CUBE</t>
  </si>
  <si>
    <t>ALLOCATE TOTAL INS EXP BASED ON VISITS</t>
  </si>
  <si>
    <t>Allocated</t>
  </si>
  <si>
    <t xml:space="preserve"> REVISED PAYROLL</t>
  </si>
  <si>
    <t>MEDICAID LINE</t>
  </si>
  <si>
    <t>ALLOCATED HRS</t>
  </si>
  <si>
    <t>Row Labels</t>
  </si>
  <si>
    <t>B1c - Contractual Exp</t>
  </si>
  <si>
    <t>C1c - Contractual Exp</t>
  </si>
  <si>
    <t>Eh1 - Bad Debt</t>
  </si>
  <si>
    <t>GRANT FRINGE</t>
  </si>
  <si>
    <t>PAYROLL</t>
  </si>
  <si>
    <t xml:space="preserve">SUSPENSE </t>
  </si>
  <si>
    <t>CHC PR EXPENSES</t>
  </si>
  <si>
    <t>PAYROLL - FS</t>
  </si>
  <si>
    <t>BENEFITS - FS</t>
  </si>
  <si>
    <t>TOTAL PR-BEN</t>
  </si>
  <si>
    <t>PR-BEN PER ABOVE</t>
  </si>
  <si>
    <t>DIFF</t>
  </si>
  <si>
    <t>REVENUE PER FS</t>
  </si>
  <si>
    <t>OTHER REVENUE</t>
  </si>
  <si>
    <t>TOTAL REVENUE FS</t>
  </si>
  <si>
    <t>REVENUE PER ABOVE</t>
  </si>
  <si>
    <t>BALANCE SHEET</t>
  </si>
  <si>
    <t>CORP ALLOC</t>
  </si>
  <si>
    <t>REVENUE</t>
  </si>
  <si>
    <t>Medicare Settlement</t>
  </si>
  <si>
    <t>MEDICARE SETTLEMENT</t>
  </si>
  <si>
    <t>PRACTITIONER / PATIENT ASSISTANCE</t>
  </si>
  <si>
    <t>PROF LIABILITY INSURANCE RECLASS</t>
  </si>
  <si>
    <t xml:space="preserve">428 S. Cherry St, Wallingford, CT </t>
  </si>
  <si>
    <t>The address needs to be altered on P2</t>
  </si>
  <si>
    <t>395 N.Main Street, Bristol, CT  06010</t>
  </si>
  <si>
    <t>The provider # needs to be corrected on P2</t>
  </si>
  <si>
    <t>School Based Clinics serviced by Community Health Center Inc.</t>
  </si>
  <si>
    <t>Bristol Technical High School</t>
  </si>
  <si>
    <t>Brownstone Intermediate School</t>
  </si>
  <si>
    <t>East Haven High School</t>
  </si>
  <si>
    <t>East Windsor High School</t>
  </si>
  <si>
    <t>East Windsor Middle School</t>
  </si>
  <si>
    <t>Enfield High School</t>
  </si>
  <si>
    <t>J.M. Wright Technical High School</t>
  </si>
  <si>
    <t>John F. Kennedy Middle School</t>
  </si>
  <si>
    <t>Kaynor Technical High School</t>
  </si>
  <si>
    <t>Lawrence Elementary School</t>
  </si>
  <si>
    <t>Nathan Hale Elementary School</t>
  </si>
  <si>
    <t>Portland Middle and High School</t>
  </si>
  <si>
    <t>Pulaski Middle School</t>
  </si>
  <si>
    <t>Roger Sherman Elementary School</t>
  </si>
  <si>
    <t>Roxbury Elementary School</t>
  </si>
  <si>
    <t>Slade Middle School</t>
  </si>
  <si>
    <t>Vinal Technical High School</t>
  </si>
  <si>
    <t>Wilcox Technical High School</t>
  </si>
  <si>
    <t>FY2023</t>
  </si>
  <si>
    <t>Diagnostic Imaging Coordinator</t>
  </si>
  <si>
    <t>School Based Health Coordinator</t>
  </si>
  <si>
    <t>School Based Health Regional Manager</t>
  </si>
  <si>
    <t>Senior Medical Assistant and NIMAA Coordinator</t>
  </si>
  <si>
    <t>Virtual Group Therapy Coordinator</t>
  </si>
  <si>
    <t>Virtual Health Care Specialist</t>
  </si>
  <si>
    <t>210550</t>
  </si>
  <si>
    <t>210750</t>
  </si>
  <si>
    <t>570750</t>
  </si>
  <si>
    <t>570800</t>
  </si>
  <si>
    <t>570850</t>
  </si>
  <si>
    <t>570900</t>
  </si>
  <si>
    <t>FY23 Fringe Rate:</t>
  </si>
  <si>
    <t>CONFERENCES FEES</t>
  </si>
  <si>
    <t>INTERCOMPANY SERVICE EXPENSE</t>
  </si>
  <si>
    <t>SPECIAL EVENTS REQUEST</t>
  </si>
  <si>
    <t>HEALTH FAIR</t>
  </si>
  <si>
    <t>CONFERENCE FEES</t>
  </si>
  <si>
    <t>CLIENT SUPPORT MISC</t>
  </si>
  <si>
    <t>HEALTHFAIR EXPENSE</t>
  </si>
  <si>
    <t>SPECIALIST CONTRACTUAL EXP</t>
  </si>
  <si>
    <t>INSTRUCTOR CONTRACTUAL EXP</t>
  </si>
  <si>
    <t>OTHER CONTRACTUAL EXP</t>
  </si>
  <si>
    <t>OTHER TRAVEL</t>
  </si>
  <si>
    <t>MEETINGS AND CONF</t>
  </si>
  <si>
    <t>LICENSES AND CERTIFICATIONS</t>
  </si>
  <si>
    <t>MINOR EQUIPMENT</t>
  </si>
  <si>
    <t>SPECIAL EVENTS</t>
  </si>
  <si>
    <t>CONTRACTUAL OUTSIDE SERVICES MWHS</t>
  </si>
  <si>
    <t>CLIENT SUPPORT - TRANSPORTATION</t>
  </si>
  <si>
    <t>CLIENT SUPPORT DENTAL</t>
  </si>
  <si>
    <t>MISC</t>
  </si>
  <si>
    <t xml:space="preserve">AMERICAN EXPRESS </t>
  </si>
  <si>
    <t xml:space="preserve">SPECIALIST CONTRACTUAL </t>
  </si>
  <si>
    <t>INSTRUCTOR CONTRACTUAL</t>
  </si>
  <si>
    <t>OTHER CONTRACTUAL</t>
  </si>
  <si>
    <t>MEDICAL LAB</t>
  </si>
  <si>
    <t>MEDICAL RECORDS</t>
  </si>
  <si>
    <t>WATER AND SEWER</t>
  </si>
  <si>
    <t>MEETINGS AND CONFERENCES</t>
  </si>
  <si>
    <t>CLIENT SUPPORT TRANSPORTATION</t>
  </si>
  <si>
    <t>TOTAL EXPENSES PER FY2023 AFS (CONSOLIDATED)</t>
  </si>
  <si>
    <t>MWHS</t>
  </si>
  <si>
    <t>FY2023   VISITS</t>
  </si>
  <si>
    <t>UPDATE IF NEEDED</t>
  </si>
  <si>
    <t>SPLIT AMONG SERVICES</t>
  </si>
  <si>
    <t>ALLOCATIONS  BUILDING</t>
  </si>
  <si>
    <t>ALLOCATIONS - BUILDING  - AFFILIATE PORTION</t>
  </si>
  <si>
    <t>LODGING &amp; AIRFARE</t>
  </si>
  <si>
    <t>RENT</t>
  </si>
  <si>
    <t>CORRECTIONS -</t>
  </si>
  <si>
    <t>SPLIT COST OF BUILDING EXPENSES</t>
  </si>
  <si>
    <t>MEDICAL A2h</t>
  </si>
  <si>
    <t>DENTAL B2e</t>
  </si>
  <si>
    <t>CHANGE</t>
  </si>
  <si>
    <t>SOCIAL WORKERS</t>
  </si>
  <si>
    <t>APRN &amp; MDs</t>
  </si>
  <si>
    <t>TOTAL BUILDING SPLIT EXP</t>
  </si>
  <si>
    <t>BAD DEBTS RELATED TO AFFILIATES</t>
  </si>
  <si>
    <t>EXPENSE TO RESTATE</t>
  </si>
  <si>
    <t>CASE MANAGERS / INTERNS / PROGRAM SPECIALISTS</t>
  </si>
  <si>
    <t>CHIEF FINANCIAL OFFICER</t>
  </si>
  <si>
    <t>DENTISTS</t>
  </si>
  <si>
    <t>MCD LINE</t>
  </si>
  <si>
    <t>Job Name</t>
  </si>
  <si>
    <t>REVISED PAYROLL</t>
  </si>
  <si>
    <t>TOTAL VISITS</t>
  </si>
  <si>
    <t>TOTAL HOURS</t>
  </si>
  <si>
    <t>CONTRACT DENTISTS</t>
  </si>
  <si>
    <t>TOTALS   B1a</t>
  </si>
  <si>
    <t>DENTISTAL HYGIENISTS</t>
  </si>
  <si>
    <t>B1b Total</t>
  </si>
  <si>
    <t>STUDENTS / INTERNS</t>
  </si>
  <si>
    <t>TOTALS   B1b</t>
  </si>
  <si>
    <t>GRAND TOTALS</t>
  </si>
  <si>
    <t>327 Huntington Avenue,  New London CT 06320</t>
  </si>
  <si>
    <t>Community Health Center of Middletown</t>
  </si>
  <si>
    <t>635 Main Street, Middletown, CT 06457-2718</t>
  </si>
  <si>
    <t>Community Health Center of Old Saybrook</t>
  </si>
  <si>
    <t>263 Main Street, Old Saybrook, CT 06475-2326</t>
  </si>
  <si>
    <t>Meri Care Dental Center</t>
  </si>
  <si>
    <t>165 Miller Street, Meriden, CT 06450-4256</t>
  </si>
  <si>
    <t>W.Y.A. At Crysalis</t>
  </si>
  <si>
    <t>W.Y.A. Community Mental Health Associates (CMHA)</t>
  </si>
  <si>
    <t>W.Y.A. Liberations</t>
  </si>
  <si>
    <t>233 Main Street, New Britain, CT 06051</t>
  </si>
  <si>
    <t>119 Main Street, Stamford, CT 06901</t>
  </si>
  <si>
    <t>C1a - C1c</t>
  </si>
  <si>
    <t>MENTAL HEALTH GROUPS</t>
  </si>
  <si>
    <t>C1a  PSYCHOLOGIST</t>
  </si>
  <si>
    <t>CONTRACTED STAFF</t>
  </si>
  <si>
    <t>PSYCHOLOGISTS - TOTAL</t>
  </si>
  <si>
    <t xml:space="preserve">C1b  SOCIAL WORKERS </t>
  </si>
  <si>
    <t>SOCIAL WORKERS - TOTAL</t>
  </si>
  <si>
    <t>C1c - OTHER MENTAL HEALTH PRCATITIONERS</t>
  </si>
  <si>
    <t>OTHER MENTAL HEALTH PROVIDERS - TOTAL</t>
  </si>
  <si>
    <t>C1c - PSYCHIATRIC NURSES</t>
  </si>
  <si>
    <t>PSYCHIATRIC NURSES - TOTAL</t>
  </si>
  <si>
    <t>C1c - PSYCHIATRISTS</t>
  </si>
  <si>
    <t>PSYCHIATRISTS- TOTAL</t>
  </si>
  <si>
    <t xml:space="preserve">MEDICAID MEDICAL </t>
  </si>
  <si>
    <t>A1a - PHYSICIAN</t>
  </si>
  <si>
    <t>TITLE</t>
  </si>
  <si>
    <t>VISITS</t>
  </si>
  <si>
    <t>A1a - PHYSICIAN  - TOTALS</t>
  </si>
  <si>
    <t>A1b - PHYSICIAN ASSISTANTS</t>
  </si>
  <si>
    <t>Physician Assistant - SBHC</t>
  </si>
  <si>
    <t>Physician Assistant - Urgent Care</t>
  </si>
  <si>
    <t>A1b - PHYSICIAN ASSISTANTS  - TOTALS</t>
  </si>
  <si>
    <t>A1c  - NURSES  - MIDWIFE - RNs</t>
  </si>
  <si>
    <t>Certified Nurse Midwife</t>
  </si>
  <si>
    <t>Certified Nursing Assistant</t>
  </si>
  <si>
    <t>Licensed Practical Nurse</t>
  </si>
  <si>
    <t>Licensed Practical Nurse, Primary Care Support</t>
  </si>
  <si>
    <t>Nurse Manager</t>
  </si>
  <si>
    <t>Nurse Practitioner</t>
  </si>
  <si>
    <t>Nurse Practitioner - Resident</t>
  </si>
  <si>
    <t>Nurse Practitioner - SBHC</t>
  </si>
  <si>
    <t>Nurse Practitioner - Urgent Care</t>
  </si>
  <si>
    <t>Nurse Supervisor</t>
  </si>
  <si>
    <t>Prenatal Nurse</t>
  </si>
  <si>
    <t>Senior Staff Nurse</t>
  </si>
  <si>
    <t>Staff Nurse</t>
  </si>
  <si>
    <t>Triage Nurse</t>
  </si>
  <si>
    <t>A1C - NURSES - MIDWIVES - RNs  - TOTALS</t>
  </si>
  <si>
    <t xml:space="preserve">A1d - OTHER HEALTHCARE PRACTITIONERS </t>
  </si>
  <si>
    <t>SEE LISTS</t>
  </si>
  <si>
    <t>594 Burritt Street, New Britain, CT 06051</t>
  </si>
  <si>
    <t>ADDRESS UNDISCLOSED TO PROTECT PATIENTS</t>
  </si>
  <si>
    <t xml:space="preserve">MEDICARE </t>
  </si>
  <si>
    <t>340B PHARMACY</t>
  </si>
  <si>
    <t>635 MAIN STREET</t>
  </si>
  <si>
    <t>COUNT</t>
  </si>
  <si>
    <t>COUNTS</t>
  </si>
  <si>
    <t>FY2024</t>
  </si>
  <si>
    <t>DEPRECIATION</t>
  </si>
  <si>
    <t>TEMP HELP</t>
  </si>
  <si>
    <t>TRAVEL</t>
  </si>
  <si>
    <t>PARKING</t>
  </si>
  <si>
    <t>Payroll and Benefits - FY2024</t>
  </si>
  <si>
    <t>Lactation Consultant</t>
  </si>
  <si>
    <t>Medical Assistant II Certified</t>
  </si>
  <si>
    <t>Outreach &amp; Eligibility Associate</t>
  </si>
  <si>
    <t>Patient Services Coordinator</t>
  </si>
  <si>
    <t>Medical Assistant I Certified</t>
  </si>
  <si>
    <t>Project Director</t>
  </si>
  <si>
    <t>Project Specialist</t>
  </si>
  <si>
    <t>Senior Clinical Manager, Hygiene - SBH</t>
  </si>
  <si>
    <t>Senior Medical Assistant - Certified</t>
  </si>
  <si>
    <t>Senior Medical Assistant I - Certified</t>
  </si>
  <si>
    <t>Senior Medical Assistant II - Certifie</t>
  </si>
  <si>
    <t>Senior Nurse Manager</t>
  </si>
  <si>
    <t>Senior Program Manager, CKP</t>
  </si>
  <si>
    <t>Senior Regional Director, Behavioral H</t>
  </si>
  <si>
    <t>Medical Assistant - Certified  SBHC</t>
  </si>
  <si>
    <t>Dental Grant Program Manager / Dental</t>
  </si>
  <si>
    <t>Clinical &amp; Community Partnerships Dire</t>
  </si>
  <si>
    <t>Clinical Director, CGC</t>
  </si>
  <si>
    <t>Director of BHQI, Clinical Director of</t>
  </si>
  <si>
    <t>Program Clinical Director</t>
  </si>
  <si>
    <t>Psychiatric Nurse Practitioner - Resid</t>
  </si>
  <si>
    <t>School Based Clinical Program Coordina</t>
  </si>
  <si>
    <t>Supervising Manager for Masters Level</t>
  </si>
  <si>
    <t>COMMUNITY HEALTH CENTER PAYROLL - FY2024</t>
  </si>
  <si>
    <t>E1h</t>
  </si>
  <si>
    <t>FY2024 ADJ</t>
  </si>
  <si>
    <t>FY2024 GENERAL INSURANCE</t>
  </si>
  <si>
    <t>CLIENT SUPPORT - UTIL</t>
  </si>
  <si>
    <t>CLIENT SUPPORT - TRANSP</t>
  </si>
  <si>
    <t>HONORARIUMS AND SURVEYOR FEES</t>
  </si>
  <si>
    <t>INTERCOMPANY SERVICE</t>
  </si>
  <si>
    <t>INTERCOMPANY</t>
  </si>
  <si>
    <t xml:space="preserve">HEALTH FAIR </t>
  </si>
  <si>
    <t>TELEPHONE</t>
  </si>
  <si>
    <t>OTHER TRAVEL EXP</t>
  </si>
  <si>
    <t>CLIENT SUPPORT UTILITIES</t>
  </si>
  <si>
    <t>RECLASS TO MENTAL HEALTH</t>
  </si>
  <si>
    <t>RECLASS FROM MED TO MH</t>
  </si>
  <si>
    <t>FY2024   VISITS</t>
  </si>
  <si>
    <t>FY2024   VISITS  FOR SCHOOL BASED</t>
  </si>
  <si>
    <t>REDUCED FOR MWHS CONTRACTUAL</t>
  </si>
  <si>
    <t>CHC BAD DEBTS RECLASSED FROM REVENUE</t>
  </si>
  <si>
    <t>CHC ONLY</t>
  </si>
  <si>
    <t>MENTAL HLTH C2e</t>
  </si>
  <si>
    <t>RATIO BASED ON VISITS</t>
  </si>
  <si>
    <t>Grand Total  BAD DEBT</t>
  </si>
  <si>
    <t>UPDATE FORMULA</t>
  </si>
  <si>
    <t>MEDICAL VISITS</t>
  </si>
  <si>
    <t>BEH HEALTH VISITS</t>
  </si>
  <si>
    <t>SBHC TOTAL VISITS</t>
  </si>
  <si>
    <t>Bad Debt  MEDICAL PORTION</t>
  </si>
  <si>
    <t>FROM SPECIAL INPUTS</t>
  </si>
  <si>
    <t>A2e</t>
  </si>
  <si>
    <t>ALLOCATION</t>
  </si>
  <si>
    <t>SPLIT</t>
  </si>
  <si>
    <t>Grand Total  WITH BAD DEBT</t>
  </si>
  <si>
    <t>Grand Total ADJ</t>
  </si>
  <si>
    <t>INCLUDES ALLOC BUILDING CR</t>
  </si>
  <si>
    <t xml:space="preserve"> A2H + SPLIT OF BLDG COSTS</t>
  </si>
  <si>
    <t>MED PORTION</t>
  </si>
  <si>
    <t>C2</t>
  </si>
  <si>
    <t xml:space="preserve">ALLOCATE </t>
  </si>
  <si>
    <t>BUILD ALLOC</t>
  </si>
  <si>
    <t>BUILDING COSTS</t>
  </si>
  <si>
    <t>Community Outreach</t>
  </si>
  <si>
    <t>CHC#</t>
  </si>
  <si>
    <t>100150</t>
  </si>
  <si>
    <t>599900</t>
  </si>
  <si>
    <t>Sum of REVISED PAYROLL</t>
  </si>
  <si>
    <t>Sum of BENEFITS</t>
  </si>
  <si>
    <t>Sum of Hours Final</t>
  </si>
  <si>
    <t>Access to Care Director</t>
  </si>
  <si>
    <t>Call Center Manager</t>
  </si>
  <si>
    <t>Call Center Specialist</t>
  </si>
  <si>
    <t>Call Center Specialist II</t>
  </si>
  <si>
    <t>Call Center Supervisor</t>
  </si>
  <si>
    <t>Chief Dental Officer</t>
  </si>
  <si>
    <t>Chief Medical Officer</t>
  </si>
  <si>
    <t>Senior Call Center Specialist</t>
  </si>
  <si>
    <t>Vice President</t>
  </si>
  <si>
    <t>USE R1 REPORT FOR NUMBERS /  REVENUE USE BILL CUBE OR YR END REPORTING</t>
  </si>
  <si>
    <t xml:space="preserve">GRANTS  PER R1 </t>
  </si>
  <si>
    <t>SALARY</t>
  </si>
  <si>
    <t>COVID/Vaccine Staff Nurse (inactive)</t>
  </si>
  <si>
    <t xml:space="preserve">Nurse Practitioner - SBHC </t>
  </si>
  <si>
    <t xml:space="preserve"> AmeriCorps Member</t>
  </si>
  <si>
    <t xml:space="preserve"> Care Coordinator</t>
  </si>
  <si>
    <t xml:space="preserve"> Case Manager, Community Based Services</t>
  </si>
  <si>
    <t xml:space="preserve"> Chief Nursing Officer</t>
  </si>
  <si>
    <t xml:space="preserve"> Community-Based Services Associate</t>
  </si>
  <si>
    <t xml:space="preserve"> Diabetes Educator</t>
  </si>
  <si>
    <t xml:space="preserve"> Diagnostic Imaging Coordinator</t>
  </si>
  <si>
    <t xml:space="preserve"> Dietitian</t>
  </si>
  <si>
    <t xml:space="preserve"> Lactation Consultant</t>
  </si>
  <si>
    <t xml:space="preserve"> Lead Dietitian</t>
  </si>
  <si>
    <t xml:space="preserve"> Medical Assistant</t>
  </si>
  <si>
    <t xml:space="preserve"> Medical Assistant - SBHC</t>
  </si>
  <si>
    <t xml:space="preserve"> Medical Assistant I - Certified</t>
  </si>
  <si>
    <t xml:space="preserve"> Operations Manager</t>
  </si>
  <si>
    <t xml:space="preserve"> Outreach and Eligibility Associate</t>
  </si>
  <si>
    <t xml:space="preserve"> Outreach Worker</t>
  </si>
  <si>
    <t xml:space="preserve"> Patient Services Associate</t>
  </si>
  <si>
    <t xml:space="preserve"> Patient Services Associate II</t>
  </si>
  <si>
    <t xml:space="preserve"> Patient Services Coordinator</t>
  </si>
  <si>
    <t xml:space="preserve"> Perinatal Support Worker</t>
  </si>
  <si>
    <t xml:space="preserve"> Pharmacist</t>
  </si>
  <si>
    <t xml:space="preserve"> Pharmacy Assistant Coordinator</t>
  </si>
  <si>
    <t xml:space="preserve"> Pharmacy Program Specialist</t>
  </si>
  <si>
    <t xml:space="preserve"> Podiatrist</t>
  </si>
  <si>
    <t xml:space="preserve"> Program Coordinator</t>
  </si>
  <si>
    <t xml:space="preserve"> Program Director, Nurse Practitioner Residency Programs</t>
  </si>
  <si>
    <t xml:space="preserve"> Program Manager</t>
  </si>
  <si>
    <t xml:space="preserve"> Program Manager, CKP</t>
  </si>
  <si>
    <t xml:space="preserve"> Program Manager, New Horizons and Farmworkers Health</t>
  </si>
  <si>
    <t xml:space="preserve"> Program Specialist</t>
  </si>
  <si>
    <t xml:space="preserve"> Project Director</t>
  </si>
  <si>
    <t xml:space="preserve"> Quality Improvement Director</t>
  </si>
  <si>
    <t xml:space="preserve"> Referral Coordinator</t>
  </si>
  <si>
    <t xml:space="preserve"> School Based Health Coordinator</t>
  </si>
  <si>
    <t xml:space="preserve"> School Based Health Regional Manager</t>
  </si>
  <si>
    <t xml:space="preserve"> Senior Clinical Manager, Hygiene - SBHC (inactive)</t>
  </si>
  <si>
    <t xml:space="preserve"> Senior Medical Assistant</t>
  </si>
  <si>
    <t xml:space="preserve"> Senior Medical Assistant </t>
  </si>
  <si>
    <t xml:space="preserve"> Senior Medical Assistant - SBHC</t>
  </si>
  <si>
    <t xml:space="preserve"> Senior Medical Assistant II - Certified and NIMAA Coordinat</t>
  </si>
  <si>
    <t xml:space="preserve"> Senior Nurse Manager</t>
  </si>
  <si>
    <t xml:space="preserve"> Senior Operations Manager</t>
  </si>
  <si>
    <t xml:space="preserve"> Senior Patient Services Associate</t>
  </si>
  <si>
    <t xml:space="preserve"> Senior Program Manager, CKP</t>
  </si>
  <si>
    <t xml:space="preserve"> Senior Program Manager, Prenatal</t>
  </si>
  <si>
    <t xml:space="preserve"> Senior Regional Director, Behavioral Health - SBHC</t>
  </si>
  <si>
    <t xml:space="preserve"> Virtual Group Therapy Coordinator</t>
  </si>
  <si>
    <t xml:space="preserve"> Virtual Health Care Specialist</t>
  </si>
  <si>
    <t>A1D - OTHER- TOTALS</t>
  </si>
  <si>
    <t xml:space="preserve">GRAND TOTAL  MEDICAL  HEALTHCARE </t>
  </si>
  <si>
    <t>JOB TITLE II</t>
  </si>
  <si>
    <t>Sum of PAYROLL</t>
  </si>
  <si>
    <t>Sum of HOURS</t>
  </si>
  <si>
    <t>FTE</t>
  </si>
  <si>
    <t>MD</t>
  </si>
  <si>
    <t>CONTRACT</t>
  </si>
  <si>
    <t>APRN</t>
  </si>
  <si>
    <t>RN</t>
  </si>
  <si>
    <t>DC</t>
  </si>
  <si>
    <t>PA</t>
  </si>
  <si>
    <t>MSN</t>
  </si>
  <si>
    <t>PHYSICIANS UNDER CONTRACT</t>
  </si>
  <si>
    <t>A1 CONTRACT</t>
  </si>
  <si>
    <t>TOTALS FOR CONTRACTED PHYSICIANS - APRNS</t>
  </si>
  <si>
    <t xml:space="preserve"> Dentist</t>
  </si>
  <si>
    <t xml:space="preserve"> On Site Dental Director</t>
  </si>
  <si>
    <t xml:space="preserve"> Dental Hygienist</t>
  </si>
  <si>
    <t>Dental Grant Program Manager / Dental Hygienist</t>
  </si>
  <si>
    <t>OTHER CLINICAL SUPPORT</t>
  </si>
  <si>
    <t>TOTALS   B1c</t>
  </si>
  <si>
    <t>SEE LIST OF OTHER CLINICAL SUPPORT</t>
  </si>
  <si>
    <t xml:space="preserve"> Behavioral Health - Post Doc</t>
  </si>
  <si>
    <t xml:space="preserve"> Behavioral Health - Post Doc II</t>
  </si>
  <si>
    <t xml:space="preserve"> Behavioral Health - Post Doctoral Fellow</t>
  </si>
  <si>
    <t xml:space="preserve"> Behavioral Health Clinician - Master's Level</t>
  </si>
  <si>
    <t xml:space="preserve"> Behavioral Health Clinician - Master's Level SBHC</t>
  </si>
  <si>
    <t xml:space="preserve"> Behavioral Health Clinician - Master's Level, Crisis</t>
  </si>
  <si>
    <t xml:space="preserve"> Chief Behavioral Health Officer</t>
  </si>
  <si>
    <t xml:space="preserve"> On Site Behavioral Health Director</t>
  </si>
  <si>
    <t xml:space="preserve"> On Site Behavioral Health Director (Psych NP)</t>
  </si>
  <si>
    <t xml:space="preserve"> Regional Director, Behavioral Health - SBHC</t>
  </si>
  <si>
    <t xml:space="preserve"> Regional Director, Medical - SBHC</t>
  </si>
  <si>
    <t>CORRECTION TO RESEARCH</t>
  </si>
  <si>
    <t xml:space="preserve"> Behavioral Health Clinician - Licensed</t>
  </si>
  <si>
    <t xml:space="preserve"> Behavioral Health Clinician - Licensed SBHC</t>
  </si>
  <si>
    <t xml:space="preserve"> Behavioral Health Clinician - Licensed, Crisis</t>
  </si>
  <si>
    <t xml:space="preserve"> Case Mgr, Behavioral Health</t>
  </si>
  <si>
    <t xml:space="preserve"> Child Clinical Coordinator</t>
  </si>
  <si>
    <t xml:space="preserve"> Victim Advocate - CGC</t>
  </si>
  <si>
    <t>CONTRACT STAFF</t>
  </si>
  <si>
    <t xml:space="preserve">  C1c</t>
  </si>
  <si>
    <t>CONTRACT HYGIENISTS</t>
  </si>
  <si>
    <t xml:space="preserve">FOR COMPARISON PURPOSES  - NOT FOR SUBMISION - </t>
  </si>
  <si>
    <t>Senior Clinical Manager - Hygiene - SBHC</t>
  </si>
  <si>
    <t>Senior Clinical Hygenist - SBH</t>
  </si>
  <si>
    <t>EPIC / EMR PROJECT</t>
  </si>
  <si>
    <t>Ansonia High</t>
  </si>
  <si>
    <t>20 Pulaski Highway,Ansonia, CT 06401</t>
  </si>
  <si>
    <t>Ansonia Middle</t>
  </si>
  <si>
    <t>115 Howard Avenue,Ansonia, CT 06401</t>
  </si>
  <si>
    <t>Emmett O'Brien Technical High School</t>
  </si>
  <si>
    <t>141 Prindle Ave,Ansonia, CT 06401</t>
  </si>
  <si>
    <t>Mead Elementary</t>
  </si>
  <si>
    <t>75 Fords Street,Ansonia, CT 06401</t>
  </si>
  <si>
    <t>Pendergast Elementary</t>
  </si>
  <si>
    <t>59 Finney Street,Ansonia, CT 06401</t>
  </si>
  <si>
    <t>Ashford School</t>
  </si>
  <si>
    <t>440 Westford Rd,Ashford, CT 06278</t>
  </si>
  <si>
    <t>Anna H Rockwell Elementary School</t>
  </si>
  <si>
    <t>400 Whittlesey Drive,bethel, CT 06801</t>
  </si>
  <si>
    <t>Bethel High School</t>
  </si>
  <si>
    <t>300 Whittlesey Drive,Bethel, CT 06801</t>
  </si>
  <si>
    <t>Bethel Middle School</t>
  </si>
  <si>
    <t>600 Whittlesey Drive,Bethel, CT 06801</t>
  </si>
  <si>
    <t>Frank A Berry School</t>
  </si>
  <si>
    <t>200 Whittlesey Drive,Bethel, CT 06801</t>
  </si>
  <si>
    <t>Ralph M.T. Johnson Elementary School</t>
  </si>
  <si>
    <t>500 Whittlesey Drive,Bethel, CT 06801</t>
  </si>
  <si>
    <t>South Side Elementary - Bristol</t>
  </si>
  <si>
    <t>21 Tuttle Rd,Bristol, CT 06010</t>
  </si>
  <si>
    <t>West Bristol Elementary - Wheeler</t>
  </si>
  <si>
    <t>500 Clarke Ave,Bristol, CT 06010</t>
  </si>
  <si>
    <t>Chippens Hill Middle School - Bristol</t>
  </si>
  <si>
    <t>551 Peacedale St,Bristol, CT 06010</t>
  </si>
  <si>
    <t>Bristol Adult Education Center</t>
  </si>
  <si>
    <t>210 Redstone Hill Rd,Bristol, CT 06010</t>
  </si>
  <si>
    <t>Bristol Central High School</t>
  </si>
  <si>
    <t>480 Wolcott Street,Bristol, CT 06010</t>
  </si>
  <si>
    <t>431 Minor Street,Bristol, CT 06010</t>
  </si>
  <si>
    <t>Broad Brook Elementary School</t>
  </si>
  <si>
    <t>14 Rye Street,Broad Brook, CT 06016</t>
  </si>
  <si>
    <t>38 Main Street,Broad Brook, CT 06016</t>
  </si>
  <si>
    <t>Helen Baldwin Middle</t>
  </si>
  <si>
    <t>45 Westminster Road,Canterbury, CT 06331</t>
  </si>
  <si>
    <t>Centerbury Elementary School</t>
  </si>
  <si>
    <t>67 Kitt Road,Canterbury, CT 06331</t>
  </si>
  <si>
    <t>Helen Baldwin Middle School</t>
  </si>
  <si>
    <t>Abraham Pierson School</t>
  </si>
  <si>
    <t>75 East Main St,Clinton, CT 06413</t>
  </si>
  <si>
    <t>Jared Eliot Middle School</t>
  </si>
  <si>
    <t>69 Fairy Dell Road,CLINTON, CT 06413</t>
  </si>
  <si>
    <t>Lewin G Joel, Jr. School</t>
  </si>
  <si>
    <t>137a Glenwood Rd,Clinton, CT 06413</t>
  </si>
  <si>
    <t>The Morgan School</t>
  </si>
  <si>
    <t>71 Killingworth Turnpike,CLINTON, CT 06413</t>
  </si>
  <si>
    <t>Aces</t>
  </si>
  <si>
    <t>26 Locust Ave,DANBURY, CT 06810</t>
  </si>
  <si>
    <t>South Street Elementary Danbury</t>
  </si>
  <si>
    <t>129 South Street,Danbury, CT 06810</t>
  </si>
  <si>
    <t>Mill Ridge Primary School</t>
  </si>
  <si>
    <t>49a High Ridge Road,Danbury, CT 06811</t>
  </si>
  <si>
    <t>Stadley Rough Elementary School</t>
  </si>
  <si>
    <t>25 Karen Road,Danbury, CT 06811</t>
  </si>
  <si>
    <t>Frank Ward Strong Elementary</t>
  </si>
  <si>
    <t>191 Main Street,Durham, CT 06422</t>
  </si>
  <si>
    <t>Center Elementary</t>
  </si>
  <si>
    <t>7 Summit Street,East Hampton, CT 06424</t>
  </si>
  <si>
    <t>East Hampton High</t>
  </si>
  <si>
    <t>15 North Maple Street,East Hampton, CT 06424</t>
  </si>
  <si>
    <t>East Hampton Middle</t>
  </si>
  <si>
    <t>19 Childs Road,East Hampton, CT 06424</t>
  </si>
  <si>
    <t>Memorial Elementary</t>
  </si>
  <si>
    <t>20 Smith Street,East Hampton, CT 06424</t>
  </si>
  <si>
    <t>Pathways Academy</t>
  </si>
  <si>
    <t>35 Bishop Street,East Haven, CT 06512</t>
  </si>
  <si>
    <t>D.C Moore School</t>
  </si>
  <si>
    <t>82 Elliot St,EAST HAVEN, CT 06512</t>
  </si>
  <si>
    <t>Grove J Tuttle Elementary School</t>
  </si>
  <si>
    <t>108 Prospect Road,East Haven, CT 06512</t>
  </si>
  <si>
    <t>Joseph Melillo Middle School/East Haven Academy</t>
  </si>
  <si>
    <t>67 Hudson St,EAST HAVEN, CT 06512</t>
  </si>
  <si>
    <t>Momauguin School</t>
  </si>
  <si>
    <t>99 Cosey Beach Road,EAST HAVEN, CT 06512</t>
  </si>
  <si>
    <t>Overbrook School</t>
  </si>
  <si>
    <t>54 Gerrish Ave,EAST HAVEN, CT 06512</t>
  </si>
  <si>
    <t>D.H. Ferrara School</t>
  </si>
  <si>
    <t>22 Maynard Rd,EAST HAVEN, CT 06513</t>
  </si>
  <si>
    <t>Deer Run Elementary School - East Haven</t>
  </si>
  <si>
    <t>311 Foxon Road,East Haven, CT 06513</t>
  </si>
  <si>
    <t>35 Wheelbarrow Ln,EAST HAVEN, CT 06513</t>
  </si>
  <si>
    <t>Ferrara Elementary School - East Haven</t>
  </si>
  <si>
    <t>22 Maynard Road,East Haven, CT 06513</t>
  </si>
  <si>
    <t>East Lyme High School</t>
  </si>
  <si>
    <t>30 Chesterfield Road,East Lyme, CT 06333</t>
  </si>
  <si>
    <t>76 S. Main St.,EAST WINDSOR, CT 06088</t>
  </si>
  <si>
    <t>Eagle Academy K-12 Enfield</t>
  </si>
  <si>
    <t>1270 Enfield Street,Enfield, CT 06082</t>
  </si>
  <si>
    <t>Edgar H Parkman School</t>
  </si>
  <si>
    <t>165 Weymouth Road,Enfield, CT 06082</t>
  </si>
  <si>
    <t>Eli Whitney School - Enfield</t>
  </si>
  <si>
    <t>94 Middle Road,Enfield, CT 06082</t>
  </si>
  <si>
    <t>1264 Enfield Street,ENFIELD, CT 06082</t>
  </si>
  <si>
    <t>Enfield Street School</t>
  </si>
  <si>
    <t>1318 Enfield Street,Enfield, CT 06082</t>
  </si>
  <si>
    <t>Enrico Fermi High School</t>
  </si>
  <si>
    <t>124 North Maple Street,ENFIELD, CT 06082</t>
  </si>
  <si>
    <t>Hazardville Memorial School</t>
  </si>
  <si>
    <t>68 North Maple Street,Enfield, CT 06082</t>
  </si>
  <si>
    <t>Henry Barnard School</t>
  </si>
  <si>
    <t>27 Shaker Road,Enfield, CT 06082</t>
  </si>
  <si>
    <t>155 Raffia Road,ENFIELD, CT 06082</t>
  </si>
  <si>
    <t>Prudence Crandall School</t>
  </si>
  <si>
    <t>150 Brainard Road,Enfield, CT 06082</t>
  </si>
  <si>
    <t>Marine Science Magnet High School</t>
  </si>
  <si>
    <t>130 Shennecosset Road,GROTON, CT 06340</t>
  </si>
  <si>
    <t>Whitney Technical High School</t>
  </si>
  <si>
    <t>100 Fairview Avenue,Hamden, CT 06514</t>
  </si>
  <si>
    <t>Jumoke Academy SMaRT (5th - 8th)</t>
  </si>
  <si>
    <t>339 Blue Hills Avenue,Hartford, CT 06112</t>
  </si>
  <si>
    <t>Jumoke Academy, Hartford Conservatory (5th - 8th)</t>
  </si>
  <si>
    <t>875 Asylum Avenue,Hartford, CT 06112</t>
  </si>
  <si>
    <t>260 Blue Hills Avenue,Hartford, CT 06112</t>
  </si>
  <si>
    <t>Jumoke Academy Charter School (PK-8)</t>
  </si>
  <si>
    <t>999 Asylum Avenue #200,Hartford, CT 06105</t>
  </si>
  <si>
    <t>Headstart Liberty Street</t>
  </si>
  <si>
    <t>398 Liberty Street,MERIDEN, CT 06450</t>
  </si>
  <si>
    <t>Venture</t>
  </si>
  <si>
    <t>883 Paddock Ave.,MERIDEN, CT 06450</t>
  </si>
  <si>
    <t>Success Academy - Meriden</t>
  </si>
  <si>
    <t>14-16 W Main Street,Meriden, CT 06451</t>
  </si>
  <si>
    <t>Edison Middle School (Meriden)</t>
  </si>
  <si>
    <t>1355 N. Broad Street,Meriden, CT 06450</t>
  </si>
  <si>
    <t>Israel Putnam School</t>
  </si>
  <si>
    <t>133 Parker Ave.,Meriden, CT 06450</t>
  </si>
  <si>
    <t>Maloney High School</t>
  </si>
  <si>
    <t>121 Gravel Street,MERIDEN, CT 06450</t>
  </si>
  <si>
    <t>277 Atkins St.,MERIDEN, CT 06450</t>
  </si>
  <si>
    <t>Pulaski Elementary School</t>
  </si>
  <si>
    <t>100 Clearview Avenue,MERIDEN, CT 06450</t>
  </si>
  <si>
    <t>64 N. Pearl Street,MERIDEN, CT 06450</t>
  </si>
  <si>
    <t>Thomas Hooker School</t>
  </si>
  <si>
    <t>70 Overlook Road,MERIDEN, CT 06450</t>
  </si>
  <si>
    <t>Washington Middle School</t>
  </si>
  <si>
    <t>1225 N. Broad Street,MERIDEN, CT 06450</t>
  </si>
  <si>
    <t>298 Oregon Rd.,MERIDEN, CT 06450</t>
  </si>
  <si>
    <t>Ben Franklin Elementary School</t>
  </si>
  <si>
    <t>426 W. Main Street,Meriden, CT 06451</t>
  </si>
  <si>
    <t>Hanover Elementary School</t>
  </si>
  <si>
    <t>208 Main Street,MERIDEN, CT 06451</t>
  </si>
  <si>
    <t>John Barry Elementary School</t>
  </si>
  <si>
    <t>124 Columbia Street,MERIDEN, CT 06451</t>
  </si>
  <si>
    <t>Lincoln Middle School</t>
  </si>
  <si>
    <t>164 Centennial Avenue,MERIDEN, CT 06451</t>
  </si>
  <si>
    <t>Platt High School</t>
  </si>
  <si>
    <t>220 Coe Avenue,Meriden, CT 06451</t>
  </si>
  <si>
    <t>Middlefield Memorial Elementary</t>
  </si>
  <si>
    <t>124 Hubbard Street,Middlefield, CT 06455</t>
  </si>
  <si>
    <t>Bielefield Elementary</t>
  </si>
  <si>
    <t>70 Maynard Street,MIDDLETOWN, CT 06457</t>
  </si>
  <si>
    <t>MacDonough Elementary</t>
  </si>
  <si>
    <t>66 Spring Street,MIDDLETOWN, CT 06457</t>
  </si>
  <si>
    <t>Moody Elementary</t>
  </si>
  <si>
    <t>300 Country Club Road,Middletown, CT 06457</t>
  </si>
  <si>
    <t>SB Middletown Expulsion</t>
  </si>
  <si>
    <t>398 Main Street,Middletown, CT 06457</t>
  </si>
  <si>
    <t>Snow Elementary</t>
  </si>
  <si>
    <t>299 Wadsworth Street,Middletown, CT 06457</t>
  </si>
  <si>
    <t>Spencer Elementary</t>
  </si>
  <si>
    <t>207 Westfield Street,Middletown, CT 06457</t>
  </si>
  <si>
    <t>Beman Middle School</t>
  </si>
  <si>
    <t>370 Hunting Hill Avenue,MIDDLETOWN, CT 06457</t>
  </si>
  <si>
    <t>Farm Hill Elementary School</t>
  </si>
  <si>
    <t>390 Ridge Road,Middletown, CT 06457</t>
  </si>
  <si>
    <t>Keigwin Middle School</t>
  </si>
  <si>
    <t>99 Spruce Street,Middletown, CT 06457</t>
  </si>
  <si>
    <t>1 Kaplan Drive,Middletown, CT 06457</t>
  </si>
  <si>
    <t>Middletown High School</t>
  </si>
  <si>
    <t>200 La Rosa  Lane,MIDDLETOWN, CT 06457</t>
  </si>
  <si>
    <t>60 Daniels Street,MIDDLETOWN, CT 06457</t>
  </si>
  <si>
    <t>Wesley Elementary School</t>
  </si>
  <si>
    <t>10 Wesleyan Hills Road,Middletown, CT 06457</t>
  </si>
  <si>
    <t>East Haddam Elementary School</t>
  </si>
  <si>
    <t>45 Joe Williams Road,Moodus, CT 06469</t>
  </si>
  <si>
    <t>Nathan Hale Ray High School</t>
  </si>
  <si>
    <t>15 School Road,Moodus, CT 06469</t>
  </si>
  <si>
    <t>Nathan Hale Ray Middle School</t>
  </si>
  <si>
    <t>73 Clark Gates Road,Moodus, CT 06469</t>
  </si>
  <si>
    <t>Brookside School (7-12), NB</t>
  </si>
  <si>
    <t>505 South Main St,New Britain, CT 06051</t>
  </si>
  <si>
    <t>Chamberlain Elementary School</t>
  </si>
  <si>
    <t>120 Newington Avenue,New Britain, CT 06051</t>
  </si>
  <si>
    <t>EC Goodwin Technical High School</t>
  </si>
  <si>
    <t>735 Slater Rd,NEW BRITAIN, CT 06051</t>
  </si>
  <si>
    <t>New Britain High School</t>
  </si>
  <si>
    <t>110 Mill Street,NEW BRITAIN, CT 06051</t>
  </si>
  <si>
    <t>Northend Elementary School</t>
  </si>
  <si>
    <t>160 Bassett Street,New Britain, CT 06051</t>
  </si>
  <si>
    <t>Roosevelt Middle School</t>
  </si>
  <si>
    <t>40 Goodwin Street,NEW BRITAIN, CT 06051</t>
  </si>
  <si>
    <t>Smalley Elementary School</t>
  </si>
  <si>
    <t>175 West Street,NEW BRITAIN, CT 06051</t>
  </si>
  <si>
    <t>Smith Elementary School</t>
  </si>
  <si>
    <t>142 Rutherford Street,New Britain, CT 06051</t>
  </si>
  <si>
    <t>Lincoln Elementary School</t>
  </si>
  <si>
    <t>145 Steele Street,New Britain, CT 06052</t>
  </si>
  <si>
    <t>183 Steel St,NEW BRITAIN, CT 06052</t>
  </si>
  <si>
    <t>Vance Village Elementary School</t>
  </si>
  <si>
    <t>183 Vance Street,New Britain, CT 06052</t>
  </si>
  <si>
    <t>Frank J. DiLoreto  Elementary School</t>
  </si>
  <si>
    <t>732 Slater Road,New Britain, CT 06053</t>
  </si>
  <si>
    <t>Gaffney Elementary School</t>
  </si>
  <si>
    <t>322 Slater Road,NEW BRITAIN, CT 06053</t>
  </si>
  <si>
    <t>Holmes Elementary School</t>
  </si>
  <si>
    <t>2150 Stanley Street,New Britain, CT 06053</t>
  </si>
  <si>
    <t>Jefferson Elementary School</t>
  </si>
  <si>
    <t>140 Horseplain Rd,New Britain, CT 06053</t>
  </si>
  <si>
    <t>Pope John Paul II School</t>
  </si>
  <si>
    <t>221 Farmington Avenue,New Britain, CT 06053</t>
  </si>
  <si>
    <t>757 Farmington Ave,NEW BRITAIN, CT 06053</t>
  </si>
  <si>
    <t>ISAAC</t>
  </si>
  <si>
    <t>190 Governor Winthrop Blvd,New London, CT 06320</t>
  </si>
  <si>
    <t>Ridge Road Elementary</t>
  </si>
  <si>
    <t>1341 Ridge Road,Nort Haven, CT 06473</t>
  </si>
  <si>
    <t>North Haven High School</t>
  </si>
  <si>
    <t>221 Elm Street,North Haven, CT 06473</t>
  </si>
  <si>
    <t>North Haven Middle School</t>
  </si>
  <si>
    <t>55 Bailey Road,North Haven, CT 06473</t>
  </si>
  <si>
    <t>Clintonville elementary</t>
  </si>
  <si>
    <t>456 Clintonville Rd,North Haven, CT 06473</t>
  </si>
  <si>
    <t>Green Acres Elementary</t>
  </si>
  <si>
    <t>146 Upper State street,North Haven, CT 06473</t>
  </si>
  <si>
    <t>Montowese elementary</t>
  </si>
  <si>
    <t>145 Fitch St,North Haven, CT 06473</t>
  </si>
  <si>
    <t>Norwalk Smiles at Nathaniel Ely Head start</t>
  </si>
  <si>
    <t>11 Ingalls Avenue,Norwalk, CT 06854</t>
  </si>
  <si>
    <t>Plainfield Central School (6-8)</t>
  </si>
  <si>
    <t>75 Canterbury Rd,plainfield, CT 06374</t>
  </si>
  <si>
    <t>Plainfield Memorial School (4-5)</t>
  </si>
  <si>
    <t>95 Canterbury Rd,Plainfield, CT 06374</t>
  </si>
  <si>
    <t>314 Main Street,Portland, CT 06480</t>
  </si>
  <si>
    <t>Gildersleeve School</t>
  </si>
  <si>
    <t>575 1/2 Main St.,Portland, CT 06480</t>
  </si>
  <si>
    <t>93/95 High St,Portland, CT 06480</t>
  </si>
  <si>
    <t>Valley View School</t>
  </si>
  <si>
    <t>81 High St,Portland, CT 06480</t>
  </si>
  <si>
    <t>Stafford Elementary School (2-5)</t>
  </si>
  <si>
    <t>11 Levinthal Rd.,STAFFORD SPRINGS, CT 06076</t>
  </si>
  <si>
    <t>Stafford High School</t>
  </si>
  <si>
    <t>145 Orcuttville Rd.,STAFFORD SPRINGS, CT 06076</t>
  </si>
  <si>
    <t>Stafford Middle School (6-8)</t>
  </si>
  <si>
    <t>21 Levinthal Run,STAFFORD SPRINGS, CT 06076</t>
  </si>
  <si>
    <t>Staffordville Elementary School (PK-1)</t>
  </si>
  <si>
    <t>21 Lyons Rd.,STAFFORD SPRINGS, CT 06076</t>
  </si>
  <si>
    <t>West Stafford Elementary School (PK-1)</t>
  </si>
  <si>
    <t>153 West Stafford Rd.,STAFFORD SPRINGS, CT 06076</t>
  </si>
  <si>
    <t>Stamford Academy</t>
  </si>
  <si>
    <t>299 North St.,STAMFORD, CT 06901</t>
  </si>
  <si>
    <t>Strawberry Hill Elementary</t>
  </si>
  <si>
    <t>200 Strawberry Hill Avenue,Stamford, CT 06902</t>
  </si>
  <si>
    <t>Trailblazers Academy</t>
  </si>
  <si>
    <t>83 Lockwood Avenue,,STAMFORD, CT 06902</t>
  </si>
  <si>
    <t>Individuals Achieving Independence - Stamford</t>
  </si>
  <si>
    <t>5 Riverbend Drive,Stamford, CT 06907</t>
  </si>
  <si>
    <t>Anchor Academy</t>
  </si>
  <si>
    <t>229 North Street,Stamford, CT 06901</t>
  </si>
  <si>
    <t>CLC Lathon Wider - CGC School Based</t>
  </si>
  <si>
    <t>137 Henry Street,Stamford, CT 06902</t>
  </si>
  <si>
    <t>CLC Maple Avenue - CGC School Based</t>
  </si>
  <si>
    <t>90 Maple Avenue,Stamford, CT 06902</t>
  </si>
  <si>
    <t>CLC William Pitt - CGC School Based</t>
  </si>
  <si>
    <t>195 Hillandale Avenue,stamford, CT 06902</t>
  </si>
  <si>
    <t>Hart Magnet Elementary School</t>
  </si>
  <si>
    <t>61 Adams Avenue,Stamford, CT 06902</t>
  </si>
  <si>
    <t>KT Murphy School</t>
  </si>
  <si>
    <t>19 Horton Street,Stamford, CT 06902</t>
  </si>
  <si>
    <t>751 West Hill Road,Stamford, CT 06902</t>
  </si>
  <si>
    <t>Northeast Elementary School</t>
  </si>
  <si>
    <t>82 Scofieldtown Road,Stamford, CT 06903</t>
  </si>
  <si>
    <t>120 Bridge St,STAMFORD, CT 06905</t>
  </si>
  <si>
    <t>Julia Stark Elementary School</t>
  </si>
  <si>
    <t>398 Glenbrook Rd,STAMFORD, CT 06906</t>
  </si>
  <si>
    <t>Newfield Elementary School</t>
  </si>
  <si>
    <t>345 Peper Ridge Road,Stamford, CT 06907</t>
  </si>
  <si>
    <t>Springdale elementary School</t>
  </si>
  <si>
    <t>1127 Hope St,STAMFORD, CT 06907</t>
  </si>
  <si>
    <t>Toquam Magnet Elementary School</t>
  </si>
  <si>
    <t>123 Ridge Wood Avenue,Stamford, CT 06907</t>
  </si>
  <si>
    <t>Franklin Elementary - Stratford</t>
  </si>
  <si>
    <t>1895 Barnum Ave,Stratford, CT 06614</t>
  </si>
  <si>
    <t>Stratford - Nichols Elementary</t>
  </si>
  <si>
    <t>396 Nichols Avenue,Stratford, CT 06614</t>
  </si>
  <si>
    <t>Frank Scott Bunnell High School</t>
  </si>
  <si>
    <t>1 Bulldog Blvd,Stratford, CT 06614</t>
  </si>
  <si>
    <t>Stratford Academy Johnson House School</t>
  </si>
  <si>
    <t>719 Birdseye Street,Stratford, CT 06615</t>
  </si>
  <si>
    <t>Stratford Academy Victoria Soto School</t>
  </si>
  <si>
    <t>Stratford High School</t>
  </si>
  <si>
    <t>245 King Street,Stratford, CT 06615</t>
  </si>
  <si>
    <t>North End Middle School</t>
  </si>
  <si>
    <t>534 Bucks Hill Rd,Waterbury, CT 06704</t>
  </si>
  <si>
    <t>Wilby High School</t>
  </si>
  <si>
    <t>568 Bucks Hill Road,Waterbury, CT 06704</t>
  </si>
  <si>
    <t>Crosby High School</t>
  </si>
  <si>
    <t>300 Pierpont Rd,Waterbury, CT 06705</t>
  </si>
  <si>
    <t>Wallace Middle School</t>
  </si>
  <si>
    <t>3465 East Main Street,Waterbury, CT 06705</t>
  </si>
  <si>
    <t>43 Tompkins Street,WATERBURY, CT 06708</t>
  </si>
  <si>
    <t>Brass City Charter School - Waterbury</t>
  </si>
  <si>
    <t>289 Willow Street,Waterbury, CT 06710</t>
  </si>
  <si>
    <t>Driggs Elementary School</t>
  </si>
  <si>
    <t>77 Woodlawn Terrace,Waterbury, CT 06710</t>
  </si>
  <si>
    <t>Aces at Chase - Waterbury</t>
  </si>
  <si>
    <t>565 Chase Parkway,Waterbury, CT 06708</t>
  </si>
  <si>
    <t>Dual Language and Arts Magnet Middle</t>
  </si>
  <si>
    <t>51 Daniels Ave.,,WATERFORD, CT 06385</t>
  </si>
  <si>
    <t>LEAP (9-12) alternative/ACT - Willimantic</t>
  </si>
  <si>
    <t>729 Main Street,Willimantic, CT 06226</t>
  </si>
  <si>
    <t>ACT Magnet School</t>
  </si>
  <si>
    <t>896 Main Street,Willimantic, CT 06226</t>
  </si>
  <si>
    <t>Center Elementary School</t>
  </si>
  <si>
    <t>12 Old Farms Road,Willington, CT 06279</t>
  </si>
  <si>
    <t>Hall Memorial School</t>
  </si>
  <si>
    <t>111 River Road,Willington, CT 06279</t>
  </si>
  <si>
    <t>North Street Elementary</t>
  </si>
  <si>
    <t>325 North Street,Windsor Locks, CT 06096</t>
  </si>
  <si>
    <t>South Street Elementary Windsor Locks</t>
  </si>
  <si>
    <t>87 South Street,Windsor Locks, CT 06096</t>
  </si>
  <si>
    <t>Windsor Locks High</t>
  </si>
  <si>
    <t>58 South Elm Street,Windsor Locks, CT 06096</t>
  </si>
  <si>
    <t>Windsor Locks Middle</t>
  </si>
  <si>
    <t>7 Center Street,Windsor Locks, CT 06096</t>
  </si>
  <si>
    <t>Mary P. Hinsdale Elementary</t>
  </si>
  <si>
    <t>15 Hinsdale Avenue,Winsted, CT 06098</t>
  </si>
  <si>
    <t>Batcheller Elementary School</t>
  </si>
  <si>
    <t>201 Pratt St,Winsted, CT 06098</t>
  </si>
  <si>
    <t>Pearson Middle School</t>
  </si>
  <si>
    <t>2 Wetmore Ave,Winsted, CT 06098</t>
  </si>
  <si>
    <t>The Gilbert School</t>
  </si>
  <si>
    <t>200 Williams Avenue,Winsted, CT 06098</t>
  </si>
  <si>
    <t>Thelma Ellis Dickerson Jumoke Academy Elementary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</si>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</sst>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General_)"/>
    <numFmt numFmtId="166" formatCode="0_)"/>
    <numFmt numFmtId="167" formatCode="0.0_)"/>
    <numFmt numFmtId="168" formatCode="_(&quot;$&quot;* #,##0_);_(&quot;$&quot;* \(#,##0\);_(&quot;$&quot;* &quot;-&quot;??_);_(@_)"/>
    <numFmt numFmtId="175" formatCode="0.0%"/>
    <numFmt numFmtId="178" formatCode="0.00_)"/>
    <numFmt numFmtId="183" formatCode="#,###,##0.00;\(#,###,##0.00\)"/>
    <numFmt numFmtId="184" formatCode="_(* #,##0.00_);_(* \(#,##0.00\);_(* \-??_);_(@_)"/>
    <numFmt numFmtId="195" formatCode="_(* #,##0.000000_);_(* \(#,##0.000000\);_(* &quot;-&quot;??_);_(@_)"/>
    <numFmt numFmtId="203" formatCode="#,##0;\(#,##0\)"/>
    <numFmt numFmtId="204" formatCode="0.000"/>
    <numFmt numFmtId="205" formatCode="_(* #,##0_);_(* \(#,##0\);_(* &quot;--&quot;_);_(@_)"/>
    <numFmt numFmtId="206" formatCode="0.0"/>
  </numFmts>
  <fonts count="11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Helv"/>
    </font>
    <font>
      <sz val="10"/>
      <name val="Helv"/>
    </font>
    <font>
      <b/>
      <sz val="8"/>
      <name val="Helv"/>
    </font>
    <font>
      <sz val="8"/>
      <name val="Helv"/>
    </font>
    <font>
      <sz val="8"/>
      <name val="Arial"/>
      <family val="2"/>
    </font>
    <font>
      <b/>
      <sz val="10"/>
      <color indexed="8"/>
      <name val="Helv"/>
    </font>
    <font>
      <sz val="10"/>
      <color indexed="8"/>
      <name val="Helv"/>
    </font>
    <font>
      <sz val="8"/>
      <color indexed="8"/>
      <name val="Helv"/>
    </font>
    <font>
      <sz val="8"/>
      <color indexed="12"/>
      <name val="Helv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1"/>
      <name val="Helv"/>
    </font>
    <font>
      <sz val="11"/>
      <name val="Helv"/>
    </font>
    <font>
      <b/>
      <sz val="14"/>
      <name val="Helv"/>
    </font>
    <font>
      <b/>
      <sz val="12"/>
      <name val="Helv"/>
    </font>
    <font>
      <b/>
      <sz val="18"/>
      <name val="Helv"/>
    </font>
    <font>
      <b/>
      <sz val="9"/>
      <name val="Helv"/>
    </font>
    <font>
      <b/>
      <u/>
      <sz val="12"/>
      <name val="Helv"/>
    </font>
    <font>
      <b/>
      <i/>
      <sz val="12"/>
      <name val="Helv"/>
    </font>
    <font>
      <b/>
      <sz val="11"/>
      <name val="Arial"/>
      <family val="2"/>
    </font>
    <font>
      <b/>
      <vertAlign val="superscript"/>
      <sz val="10"/>
      <name val="Helv"/>
    </font>
    <font>
      <b/>
      <i/>
      <sz val="10"/>
      <name val="Helv"/>
    </font>
    <font>
      <b/>
      <sz val="12"/>
      <color indexed="8"/>
      <name val="Helv"/>
    </font>
    <font>
      <b/>
      <i/>
      <sz val="8"/>
      <name val="Helv"/>
    </font>
    <font>
      <b/>
      <i/>
      <vertAlign val="superscript"/>
      <sz val="8"/>
      <name val="Helv"/>
    </font>
    <font>
      <b/>
      <u/>
      <sz val="10"/>
      <name val="Helv"/>
    </font>
    <font>
      <b/>
      <i/>
      <u/>
      <sz val="10"/>
      <name val="Helv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0"/>
      <name val="Arial"/>
      <family val="2"/>
    </font>
    <font>
      <sz val="10"/>
      <name val="MS Sans Serif"/>
      <family val="2"/>
    </font>
    <font>
      <b/>
      <sz val="12"/>
      <color indexed="8"/>
      <name val="Arial"/>
      <family val="2"/>
    </font>
    <font>
      <b/>
      <sz val="16"/>
      <name val="Helv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2"/>
      <name val="Times New Roman"/>
      <family val="1"/>
    </font>
    <font>
      <b/>
      <i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Helv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5" tint="-0.249977111117893"/>
      <name val="Arial"/>
      <family val="2"/>
    </font>
    <font>
      <b/>
      <sz val="10"/>
      <color theme="4" tint="-0.49998474074526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name val="Calibri"/>
      <family val="2"/>
      <scheme val="minor"/>
    </font>
    <font>
      <b/>
      <sz val="8"/>
      <color rgb="FFFF0000"/>
      <name val="Arial"/>
      <family val="2"/>
    </font>
    <font>
      <i/>
      <sz val="10"/>
      <color rgb="FF000000"/>
      <name val="Arial"/>
      <family val="2"/>
    </font>
    <font>
      <b/>
      <i/>
      <sz val="14"/>
      <color rgb="FFFF0000"/>
      <name val="Arial"/>
      <family val="2"/>
    </font>
    <font>
      <b/>
      <sz val="16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theme="8" tint="-0.499984740745262"/>
      <name val="Arial"/>
      <family val="2"/>
    </font>
    <font>
      <b/>
      <sz val="9"/>
      <color theme="1"/>
      <name val="Calibri"/>
      <family val="2"/>
      <scheme val="minor"/>
    </font>
    <font>
      <b/>
      <i/>
      <sz val="10"/>
      <color theme="8" tint="-0.249977111117893"/>
      <name val="Arial"/>
      <family val="2"/>
    </font>
  </fonts>
  <fills count="8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55">
    <xf numFmtId="0" fontId="0" fillId="0" borderId="0"/>
    <xf numFmtId="0" fontId="33" fillId="2" borderId="0" applyNumberFormat="0" applyBorder="0" applyAlignment="0" applyProtection="0"/>
    <xf numFmtId="0" fontId="78" fillId="27" borderId="0" applyNumberFormat="0" applyBorder="0" applyAlignment="0" applyProtection="0"/>
    <xf numFmtId="0" fontId="33" fillId="3" borderId="0" applyNumberFormat="0" applyBorder="0" applyAlignment="0" applyProtection="0"/>
    <xf numFmtId="0" fontId="78" fillId="28" borderId="0" applyNumberFormat="0" applyBorder="0" applyAlignment="0" applyProtection="0"/>
    <xf numFmtId="0" fontId="33" fillId="4" borderId="0" applyNumberFormat="0" applyBorder="0" applyAlignment="0" applyProtection="0"/>
    <xf numFmtId="0" fontId="78" fillId="29" borderId="0" applyNumberFormat="0" applyBorder="0" applyAlignment="0" applyProtection="0"/>
    <xf numFmtId="0" fontId="33" fillId="5" borderId="0" applyNumberFormat="0" applyBorder="0" applyAlignment="0" applyProtection="0"/>
    <xf numFmtId="0" fontId="78" fillId="30" borderId="0" applyNumberFormat="0" applyBorder="0" applyAlignment="0" applyProtection="0"/>
    <xf numFmtId="0" fontId="33" fillId="6" borderId="0" applyNumberFormat="0" applyBorder="0" applyAlignment="0" applyProtection="0"/>
    <xf numFmtId="0" fontId="78" fillId="31" borderId="0" applyNumberFormat="0" applyBorder="0" applyAlignment="0" applyProtection="0"/>
    <xf numFmtId="0" fontId="33" fillId="7" borderId="0" applyNumberFormat="0" applyBorder="0" applyAlignment="0" applyProtection="0"/>
    <xf numFmtId="0" fontId="78" fillId="32" borderId="0" applyNumberFormat="0" applyBorder="0" applyAlignment="0" applyProtection="0"/>
    <xf numFmtId="0" fontId="33" fillId="8" borderId="0" applyNumberFormat="0" applyBorder="0" applyAlignment="0" applyProtection="0"/>
    <xf numFmtId="0" fontId="78" fillId="33" borderId="0" applyNumberFormat="0" applyBorder="0" applyAlignment="0" applyProtection="0"/>
    <xf numFmtId="0" fontId="33" fillId="9" borderId="0" applyNumberFormat="0" applyBorder="0" applyAlignment="0" applyProtection="0"/>
    <xf numFmtId="0" fontId="78" fillId="34" borderId="0" applyNumberFormat="0" applyBorder="0" applyAlignment="0" applyProtection="0"/>
    <xf numFmtId="0" fontId="33" fillId="10" borderId="0" applyNumberFormat="0" applyBorder="0" applyAlignment="0" applyProtection="0"/>
    <xf numFmtId="0" fontId="78" fillId="35" borderId="0" applyNumberFormat="0" applyBorder="0" applyAlignment="0" applyProtection="0"/>
    <xf numFmtId="0" fontId="33" fillId="5" borderId="0" applyNumberFormat="0" applyBorder="0" applyAlignment="0" applyProtection="0"/>
    <xf numFmtId="0" fontId="78" fillId="36" borderId="0" applyNumberFormat="0" applyBorder="0" applyAlignment="0" applyProtection="0"/>
    <xf numFmtId="0" fontId="33" fillId="8" borderId="0" applyNumberFormat="0" applyBorder="0" applyAlignment="0" applyProtection="0"/>
    <xf numFmtId="0" fontId="78" fillId="37" borderId="0" applyNumberFormat="0" applyBorder="0" applyAlignment="0" applyProtection="0"/>
    <xf numFmtId="0" fontId="33" fillId="11" borderId="0" applyNumberFormat="0" applyBorder="0" applyAlignment="0" applyProtection="0"/>
    <xf numFmtId="0" fontId="78" fillId="38" borderId="0" applyNumberFormat="0" applyBorder="0" applyAlignment="0" applyProtection="0"/>
    <xf numFmtId="0" fontId="34" fillId="12" borderId="0" applyNumberFormat="0" applyBorder="0" applyAlignment="0" applyProtection="0"/>
    <xf numFmtId="0" fontId="79" fillId="39" borderId="0" applyNumberFormat="0" applyBorder="0" applyAlignment="0" applyProtection="0"/>
    <xf numFmtId="0" fontId="34" fillId="9" borderId="0" applyNumberFormat="0" applyBorder="0" applyAlignment="0" applyProtection="0"/>
    <xf numFmtId="0" fontId="79" fillId="40" borderId="0" applyNumberFormat="0" applyBorder="0" applyAlignment="0" applyProtection="0"/>
    <xf numFmtId="0" fontId="34" fillId="10" borderId="0" applyNumberFormat="0" applyBorder="0" applyAlignment="0" applyProtection="0"/>
    <xf numFmtId="0" fontId="79" fillId="41" borderId="0" applyNumberFormat="0" applyBorder="0" applyAlignment="0" applyProtection="0"/>
    <xf numFmtId="0" fontId="34" fillId="13" borderId="0" applyNumberFormat="0" applyBorder="0" applyAlignment="0" applyProtection="0"/>
    <xf numFmtId="0" fontId="79" fillId="42" borderId="0" applyNumberFormat="0" applyBorder="0" applyAlignment="0" applyProtection="0"/>
    <xf numFmtId="0" fontId="34" fillId="14" borderId="0" applyNumberFormat="0" applyBorder="0" applyAlignment="0" applyProtection="0"/>
    <xf numFmtId="0" fontId="79" fillId="43" borderId="0" applyNumberFormat="0" applyBorder="0" applyAlignment="0" applyProtection="0"/>
    <xf numFmtId="0" fontId="34" fillId="15" borderId="0" applyNumberFormat="0" applyBorder="0" applyAlignment="0" applyProtection="0"/>
    <xf numFmtId="0" fontId="79" fillId="44" borderId="0" applyNumberFormat="0" applyBorder="0" applyAlignment="0" applyProtection="0"/>
    <xf numFmtId="0" fontId="34" fillId="16" borderId="0" applyNumberFormat="0" applyBorder="0" applyAlignment="0" applyProtection="0"/>
    <xf numFmtId="0" fontId="79" fillId="45" borderId="0" applyNumberFormat="0" applyBorder="0" applyAlignment="0" applyProtection="0"/>
    <xf numFmtId="0" fontId="34" fillId="17" borderId="0" applyNumberFormat="0" applyBorder="0" applyAlignment="0" applyProtection="0"/>
    <xf numFmtId="0" fontId="79" fillId="46" borderId="0" applyNumberFormat="0" applyBorder="0" applyAlignment="0" applyProtection="0"/>
    <xf numFmtId="0" fontId="34" fillId="18" borderId="0" applyNumberFormat="0" applyBorder="0" applyAlignment="0" applyProtection="0"/>
    <xf numFmtId="0" fontId="79" fillId="47" borderId="0" applyNumberFormat="0" applyBorder="0" applyAlignment="0" applyProtection="0"/>
    <xf numFmtId="0" fontId="34" fillId="13" borderId="0" applyNumberFormat="0" applyBorder="0" applyAlignment="0" applyProtection="0"/>
    <xf numFmtId="0" fontId="79" fillId="48" borderId="0" applyNumberFormat="0" applyBorder="0" applyAlignment="0" applyProtection="0"/>
    <xf numFmtId="0" fontId="34" fillId="14" borderId="0" applyNumberFormat="0" applyBorder="0" applyAlignment="0" applyProtection="0"/>
    <xf numFmtId="0" fontId="79" fillId="49" borderId="0" applyNumberFormat="0" applyBorder="0" applyAlignment="0" applyProtection="0"/>
    <xf numFmtId="0" fontId="34" fillId="19" borderId="0" applyNumberFormat="0" applyBorder="0" applyAlignment="0" applyProtection="0"/>
    <xf numFmtId="0" fontId="79" fillId="50" borderId="0" applyNumberFormat="0" applyBorder="0" applyAlignment="0" applyProtection="0"/>
    <xf numFmtId="205" fontId="68" fillId="0" borderId="0">
      <alignment vertical="center"/>
      <protection locked="0"/>
    </xf>
    <xf numFmtId="0" fontId="35" fillId="3" borderId="0" applyNumberFormat="0" applyBorder="0" applyAlignment="0" applyProtection="0"/>
    <xf numFmtId="0" fontId="80" fillId="51" borderId="0" applyNumberFormat="0" applyBorder="0" applyAlignment="0" applyProtection="0"/>
    <xf numFmtId="0" fontId="36" fillId="20" borderId="1" applyNumberFormat="0" applyAlignment="0" applyProtection="0"/>
    <xf numFmtId="0" fontId="81" fillId="52" borderId="104" applyNumberFormat="0" applyAlignment="0" applyProtection="0"/>
    <xf numFmtId="0" fontId="37" fillId="21" borderId="2" applyNumberFormat="0" applyAlignment="0" applyProtection="0"/>
    <xf numFmtId="0" fontId="82" fillId="53" borderId="105" applyNumberFormat="0" applyAlignment="0" applyProtection="0"/>
    <xf numFmtId="43" fontId="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184" fontId="14" fillId="0" borderId="0" applyFill="0" applyBorder="0" applyAlignment="0" applyProtection="0"/>
    <xf numFmtId="43" fontId="5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83" fontId="53" fillId="0" borderId="0"/>
    <xf numFmtId="0" fontId="39" fillId="4" borderId="0" applyNumberFormat="0" applyBorder="0" applyAlignment="0" applyProtection="0"/>
    <xf numFmtId="0" fontId="85" fillId="54" borderId="0" applyNumberFormat="0" applyBorder="0" applyAlignment="0" applyProtection="0"/>
    <xf numFmtId="0" fontId="40" fillId="0" borderId="3" applyNumberFormat="0" applyFill="0" applyAlignment="0" applyProtection="0"/>
    <xf numFmtId="0" fontId="86" fillId="0" borderId="106" applyNumberFormat="0" applyFill="0" applyAlignment="0" applyProtection="0"/>
    <xf numFmtId="0" fontId="41" fillId="0" borderId="4" applyNumberFormat="0" applyFill="0" applyAlignment="0" applyProtection="0"/>
    <xf numFmtId="0" fontId="87" fillId="0" borderId="107" applyNumberFormat="0" applyFill="0" applyAlignment="0" applyProtection="0"/>
    <xf numFmtId="0" fontId="42" fillId="0" borderId="5" applyNumberFormat="0" applyFill="0" applyAlignment="0" applyProtection="0"/>
    <xf numFmtId="0" fontId="88" fillId="0" borderId="108" applyNumberFormat="0" applyFill="0" applyAlignment="0" applyProtection="0"/>
    <xf numFmtId="0" fontId="4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3" fillId="7" borderId="1" applyNumberFormat="0" applyAlignment="0" applyProtection="0"/>
    <xf numFmtId="0" fontId="89" fillId="55" borderId="104" applyNumberFormat="0" applyAlignment="0" applyProtection="0"/>
    <xf numFmtId="0" fontId="44" fillId="0" borderId="6" applyNumberFormat="0" applyFill="0" applyAlignment="0" applyProtection="0"/>
    <xf numFmtId="0" fontId="90" fillId="0" borderId="109" applyNumberFormat="0" applyFill="0" applyAlignment="0" applyProtection="0"/>
    <xf numFmtId="0" fontId="45" fillId="22" borderId="0" applyNumberFormat="0" applyBorder="0" applyAlignment="0" applyProtection="0"/>
    <xf numFmtId="0" fontId="91" fillId="56" borderId="0" applyNumberFormat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78" fillId="0" borderId="0"/>
    <xf numFmtId="0" fontId="83" fillId="0" borderId="0"/>
    <xf numFmtId="0" fontId="78" fillId="0" borderId="0"/>
    <xf numFmtId="0" fontId="14" fillId="0" borderId="0"/>
    <xf numFmtId="0" fontId="14" fillId="0" borderId="0"/>
    <xf numFmtId="0" fontId="78" fillId="0" borderId="0"/>
    <xf numFmtId="0" fontId="14" fillId="0" borderId="0"/>
    <xf numFmtId="0" fontId="52" fillId="0" borderId="0"/>
    <xf numFmtId="0" fontId="78" fillId="0" borderId="0"/>
    <xf numFmtId="0" fontId="92" fillId="0" borderId="0"/>
    <xf numFmtId="0" fontId="14" fillId="0" borderId="0"/>
    <xf numFmtId="0" fontId="78" fillId="0" borderId="0"/>
    <xf numFmtId="0" fontId="52" fillId="0" borderId="0"/>
    <xf numFmtId="0" fontId="78" fillId="0" borderId="0"/>
    <xf numFmtId="0" fontId="78" fillId="0" borderId="0"/>
    <xf numFmtId="0" fontId="78" fillId="0" borderId="0"/>
    <xf numFmtId="0" fontId="83" fillId="0" borderId="0"/>
    <xf numFmtId="0" fontId="78" fillId="0" borderId="0"/>
    <xf numFmtId="0" fontId="54" fillId="0" borderId="0"/>
    <xf numFmtId="165" fontId="5" fillId="0" borderId="0"/>
    <xf numFmtId="166" fontId="5" fillId="0" borderId="0"/>
    <xf numFmtId="0" fontId="33" fillId="23" borderId="7" applyNumberFormat="0" applyFont="0" applyAlignment="0" applyProtection="0"/>
    <xf numFmtId="0" fontId="78" fillId="57" borderId="110" applyNumberFormat="0" applyFont="0" applyAlignment="0" applyProtection="0"/>
    <xf numFmtId="0" fontId="46" fillId="20" borderId="8" applyNumberFormat="0" applyAlignment="0" applyProtection="0"/>
    <xf numFmtId="0" fontId="93" fillId="52" borderId="111" applyNumberFormat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52" fillId="0" borderId="0" applyNumberFormat="0" applyBorder="0" applyAlignment="0"/>
    <xf numFmtId="0" fontId="52" fillId="0" borderId="0" applyNumberFormat="0" applyBorder="0" applyAlignment="0"/>
    <xf numFmtId="0" fontId="55" fillId="0" borderId="0" applyNumberFormat="0" applyBorder="0" applyAlignment="0"/>
    <xf numFmtId="0" fontId="55" fillId="0" borderId="0" applyNumberFormat="0" applyBorder="0" applyAlignment="0"/>
    <xf numFmtId="0" fontId="55" fillId="0" borderId="0" applyNumberFormat="0" applyBorder="0" applyAlignment="0"/>
    <xf numFmtId="0" fontId="47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95" fillId="0" borderId="112" applyNumberFormat="0" applyFill="0" applyAlignment="0" applyProtection="0"/>
    <xf numFmtId="0" fontId="49" fillId="0" borderId="0" applyNumberFormat="0" applyFill="0" applyBorder="0" applyAlignment="0" applyProtection="0"/>
    <xf numFmtId="0" fontId="96" fillId="0" borderId="0" applyNumberFormat="0" applyFill="0" applyBorder="0" applyAlignment="0" applyProtection="0"/>
  </cellStyleXfs>
  <cellXfs count="1570">
    <xf numFmtId="0" fontId="0" fillId="0" borderId="0" xfId="0"/>
    <xf numFmtId="166" fontId="6" fillId="24" borderId="10" xfId="129" applyFont="1" applyFill="1" applyBorder="1" applyAlignment="1" applyProtection="1">
      <alignment horizontal="center"/>
    </xf>
    <xf numFmtId="164" fontId="6" fillId="24" borderId="10" xfId="56" applyNumberFormat="1" applyFont="1" applyFill="1" applyBorder="1" applyAlignment="1" applyProtection="1">
      <alignment horizontal="center"/>
    </xf>
    <xf numFmtId="166" fontId="6" fillId="0" borderId="11" xfId="129" applyFont="1" applyBorder="1" applyAlignment="1" applyProtection="1">
      <alignment horizontal="center"/>
    </xf>
    <xf numFmtId="164" fontId="6" fillId="0" borderId="12" xfId="56" quotePrefix="1" applyNumberFormat="1" applyFont="1" applyBorder="1" applyAlignment="1" applyProtection="1">
      <alignment horizontal="center"/>
    </xf>
    <xf numFmtId="164" fontId="6" fillId="0" borderId="12" xfId="56" applyNumberFormat="1" applyFont="1" applyBorder="1" applyAlignment="1" applyProtection="1">
      <alignment horizontal="center"/>
    </xf>
    <xf numFmtId="166" fontId="6" fillId="0" borderId="12" xfId="129" applyFont="1" applyBorder="1" applyAlignment="1" applyProtection="1">
      <alignment horizontal="center"/>
    </xf>
    <xf numFmtId="166" fontId="6" fillId="24" borderId="13" xfId="129" applyFont="1" applyFill="1" applyBorder="1" applyAlignment="1" applyProtection="1">
      <alignment horizontal="left"/>
    </xf>
    <xf numFmtId="166" fontId="7" fillId="25" borderId="13" xfId="129" applyFont="1" applyFill="1" applyBorder="1" applyProtection="1"/>
    <xf numFmtId="164" fontId="7" fillId="25" borderId="13" xfId="56" applyNumberFormat="1" applyFont="1" applyFill="1" applyBorder="1" applyProtection="1"/>
    <xf numFmtId="166" fontId="7" fillId="26" borderId="13" xfId="129" applyFont="1" applyFill="1" applyBorder="1" applyAlignment="1" applyProtection="1">
      <alignment horizontal="left"/>
    </xf>
    <xf numFmtId="166" fontId="6" fillId="26" borderId="11" xfId="129" quotePrefix="1" applyFont="1" applyFill="1" applyBorder="1" applyAlignment="1" applyProtection="1">
      <alignment horizontal="left"/>
    </xf>
    <xf numFmtId="165" fontId="5" fillId="58" borderId="0" xfId="128" applyFill="1" applyProtection="1"/>
    <xf numFmtId="165" fontId="5" fillId="58" borderId="0" xfId="128" applyFill="1" applyBorder="1" applyProtection="1"/>
    <xf numFmtId="0" fontId="0" fillId="58" borderId="0" xfId="0" applyFill="1" applyProtection="1"/>
    <xf numFmtId="165" fontId="4" fillId="58" borderId="0" xfId="128" applyFont="1" applyFill="1" applyProtection="1"/>
    <xf numFmtId="166" fontId="9" fillId="58" borderId="0" xfId="129" applyFont="1" applyFill="1" applyProtection="1"/>
    <xf numFmtId="166" fontId="9" fillId="58" borderId="0" xfId="129" applyFont="1" applyFill="1" applyAlignment="1" applyProtection="1">
      <alignment horizontal="right"/>
    </xf>
    <xf numFmtId="166" fontId="10" fillId="58" borderId="0" xfId="129" applyFont="1" applyFill="1" applyProtection="1"/>
    <xf numFmtId="166" fontId="11" fillId="58" borderId="0" xfId="129" applyFont="1" applyFill="1" applyProtection="1"/>
    <xf numFmtId="164" fontId="11" fillId="58" borderId="0" xfId="56" applyNumberFormat="1" applyFont="1" applyFill="1" applyProtection="1"/>
    <xf numFmtId="166" fontId="11" fillId="58" borderId="0" xfId="129" applyFont="1" applyFill="1" applyAlignment="1" applyProtection="1">
      <alignment horizontal="right"/>
    </xf>
    <xf numFmtId="166" fontId="5" fillId="58" borderId="0" xfId="129" applyFill="1" applyProtection="1"/>
    <xf numFmtId="166" fontId="7" fillId="58" borderId="14" xfId="129" applyFont="1" applyFill="1" applyBorder="1" applyAlignment="1" applyProtection="1">
      <alignment horizontal="left"/>
    </xf>
    <xf numFmtId="166" fontId="7" fillId="58" borderId="0" xfId="129" applyFont="1" applyFill="1" applyBorder="1" applyAlignment="1" applyProtection="1">
      <alignment horizontal="left"/>
    </xf>
    <xf numFmtId="37" fontId="12" fillId="58" borderId="15" xfId="129" applyNumberFormat="1" applyFont="1" applyFill="1" applyBorder="1" applyAlignment="1" applyProtection="1">
      <protection locked="0"/>
    </xf>
    <xf numFmtId="166" fontId="7" fillId="58" borderId="0" xfId="129" quotePrefix="1" applyFont="1" applyFill="1" applyBorder="1" applyAlignment="1" applyProtection="1">
      <alignment horizontal="left"/>
    </xf>
    <xf numFmtId="0" fontId="13" fillId="58" borderId="0" xfId="0" applyFont="1" applyFill="1" applyBorder="1" applyProtection="1"/>
    <xf numFmtId="37" fontId="7" fillId="58" borderId="14" xfId="129" applyNumberFormat="1" applyFont="1" applyFill="1" applyBorder="1" applyProtection="1"/>
    <xf numFmtId="37" fontId="12" fillId="58" borderId="14" xfId="129" applyNumberFormat="1" applyFont="1" applyFill="1" applyBorder="1" applyProtection="1">
      <protection locked="0"/>
    </xf>
    <xf numFmtId="166" fontId="4" fillId="58" borderId="0" xfId="129" applyFont="1" applyFill="1" applyAlignment="1" applyProtection="1">
      <alignment horizontal="center"/>
    </xf>
    <xf numFmtId="164" fontId="5" fillId="58" borderId="0" xfId="56" applyNumberFormat="1" applyFont="1" applyFill="1" applyProtection="1"/>
    <xf numFmtId="165" fontId="4" fillId="58" borderId="0" xfId="128" applyFont="1" applyFill="1" applyBorder="1" applyAlignment="1" applyProtection="1">
      <alignment horizontal="left"/>
    </xf>
    <xf numFmtId="166" fontId="5" fillId="58" borderId="0" xfId="129" applyFill="1" applyBorder="1" applyProtection="1"/>
    <xf numFmtId="37" fontId="12" fillId="58" borderId="16" xfId="56" applyNumberFormat="1" applyFont="1" applyFill="1" applyBorder="1" applyAlignment="1" applyProtection="1">
      <protection locked="0"/>
    </xf>
    <xf numFmtId="37" fontId="7" fillId="58" borderId="16" xfId="56" applyNumberFormat="1" applyFont="1" applyFill="1" applyBorder="1" applyProtection="1"/>
    <xf numFmtId="37" fontId="7" fillId="58" borderId="15" xfId="56" applyNumberFormat="1" applyFont="1" applyFill="1" applyBorder="1" applyProtection="1"/>
    <xf numFmtId="37" fontId="12" fillId="58" borderId="17" xfId="56" applyNumberFormat="1" applyFont="1" applyFill="1" applyBorder="1" applyAlignment="1" applyProtection="1">
      <protection locked="0"/>
    </xf>
    <xf numFmtId="37" fontId="12" fillId="58" borderId="15" xfId="56" applyNumberFormat="1" applyFont="1" applyFill="1" applyBorder="1" applyAlignment="1" applyProtection="1">
      <protection locked="0"/>
    </xf>
    <xf numFmtId="37" fontId="12" fillId="58" borderId="14" xfId="56" applyNumberFormat="1" applyFont="1" applyFill="1" applyBorder="1" applyAlignment="1" applyProtection="1">
      <protection locked="0"/>
    </xf>
    <xf numFmtId="37" fontId="7" fillId="58" borderId="14" xfId="56" applyNumberFormat="1" applyFont="1" applyFill="1" applyBorder="1" applyProtection="1"/>
    <xf numFmtId="37" fontId="12" fillId="58" borderId="18" xfId="56" applyNumberFormat="1" applyFont="1" applyFill="1" applyBorder="1" applyAlignment="1" applyProtection="1">
      <protection locked="0"/>
    </xf>
    <xf numFmtId="165" fontId="5" fillId="58" borderId="0" xfId="128" applyFont="1" applyFill="1" applyBorder="1" applyAlignment="1" applyProtection="1">
      <alignment horizontal="left"/>
    </xf>
    <xf numFmtId="165" fontId="5" fillId="58" borderId="0" xfId="128" applyFill="1" applyBorder="1" applyAlignment="1" applyProtection="1">
      <alignment horizontal="left" vertical="top" wrapText="1"/>
      <protection locked="0"/>
    </xf>
    <xf numFmtId="165" fontId="4" fillId="58" borderId="0" xfId="128" applyFont="1" applyFill="1" applyBorder="1" applyAlignment="1" applyProtection="1"/>
    <xf numFmtId="165" fontId="16" fillId="58" borderId="0" xfId="128" applyFont="1" applyFill="1" applyBorder="1" applyAlignment="1" applyProtection="1">
      <alignment horizontal="left"/>
    </xf>
    <xf numFmtId="165" fontId="19" fillId="58" borderId="0" xfId="128" quotePrefix="1" applyFont="1" applyFill="1" applyBorder="1" applyAlignment="1" applyProtection="1">
      <alignment horizontal="left"/>
    </xf>
    <xf numFmtId="165" fontId="19" fillId="58" borderId="0" xfId="128" applyFont="1" applyFill="1" applyBorder="1" applyAlignment="1" applyProtection="1">
      <alignment horizontal="left"/>
    </xf>
    <xf numFmtId="165" fontId="19" fillId="58" borderId="0" xfId="128" quotePrefix="1" applyFont="1" applyFill="1" applyAlignment="1" applyProtection="1">
      <alignment horizontal="right"/>
    </xf>
    <xf numFmtId="165" fontId="16" fillId="58" borderId="0" xfId="128" applyFont="1" applyFill="1" applyBorder="1" applyAlignment="1" applyProtection="1">
      <protection locked="0"/>
    </xf>
    <xf numFmtId="14" fontId="16" fillId="58" borderId="19" xfId="128" applyNumberFormat="1" applyFont="1" applyFill="1" applyBorder="1" applyAlignment="1" applyProtection="1">
      <alignment horizontal="right"/>
      <protection locked="0"/>
    </xf>
    <xf numFmtId="165" fontId="16" fillId="58" borderId="0" xfId="128" applyFont="1" applyFill="1" applyBorder="1" applyAlignment="1" applyProtection="1">
      <alignment horizontal="center"/>
      <protection locked="0"/>
    </xf>
    <xf numFmtId="14" fontId="16" fillId="58" borderId="0" xfId="128" applyNumberFormat="1" applyFont="1" applyFill="1" applyBorder="1" applyAlignment="1" applyProtection="1">
      <alignment horizontal="right"/>
      <protection locked="0"/>
    </xf>
    <xf numFmtId="165" fontId="19" fillId="58" borderId="19" xfId="128" applyFont="1" applyFill="1" applyBorder="1" applyAlignment="1" applyProtection="1">
      <alignment horizontal="left"/>
      <protection locked="0"/>
    </xf>
    <xf numFmtId="165" fontId="16" fillId="58" borderId="19" xfId="128" applyFont="1" applyFill="1" applyBorder="1" applyAlignment="1" applyProtection="1">
      <alignment horizontal="left"/>
      <protection locked="0"/>
    </xf>
    <xf numFmtId="165" fontId="19" fillId="59" borderId="20" xfId="128" applyFont="1" applyFill="1" applyBorder="1" applyProtection="1"/>
    <xf numFmtId="165" fontId="19" fillId="58" borderId="21" xfId="128" applyFont="1" applyFill="1" applyBorder="1" applyAlignment="1" applyProtection="1">
      <alignment horizontal="left"/>
    </xf>
    <xf numFmtId="165" fontId="19" fillId="58" borderId="22" xfId="128" applyFont="1" applyFill="1" applyBorder="1" applyAlignment="1" applyProtection="1">
      <alignment horizontal="left"/>
    </xf>
    <xf numFmtId="165" fontId="19" fillId="58" borderId="23" xfId="128" applyFont="1" applyFill="1" applyBorder="1" applyAlignment="1" applyProtection="1"/>
    <xf numFmtId="165" fontId="19" fillId="58" borderId="24" xfId="128" applyFont="1" applyFill="1" applyBorder="1" applyAlignment="1" applyProtection="1">
      <alignment horizontal="left"/>
    </xf>
    <xf numFmtId="165" fontId="16" fillId="58" borderId="0" xfId="128" applyFont="1" applyFill="1" applyBorder="1" applyAlignment="1" applyProtection="1">
      <alignment horizontal="right"/>
    </xf>
    <xf numFmtId="0" fontId="24" fillId="58" borderId="0" xfId="0" applyFont="1" applyFill="1" applyBorder="1" applyAlignment="1" applyProtection="1">
      <alignment horizontal="right"/>
    </xf>
    <xf numFmtId="14" fontId="16" fillId="58" borderId="25" xfId="128" applyNumberFormat="1" applyFont="1" applyFill="1" applyBorder="1" applyAlignment="1" applyProtection="1">
      <alignment horizontal="right"/>
      <protection locked="0"/>
    </xf>
    <xf numFmtId="14" fontId="16" fillId="58" borderId="26" xfId="128" applyNumberFormat="1" applyFont="1" applyFill="1" applyBorder="1" applyAlignment="1" applyProtection="1">
      <alignment horizontal="right"/>
      <protection locked="0"/>
    </xf>
    <xf numFmtId="165" fontId="19" fillId="58" borderId="23" xfId="128" applyFont="1" applyFill="1" applyBorder="1" applyAlignment="1" applyProtection="1">
      <alignment horizontal="left"/>
    </xf>
    <xf numFmtId="165" fontId="19" fillId="58" borderId="0" xfId="128" applyFont="1" applyFill="1" applyBorder="1" applyProtection="1"/>
    <xf numFmtId="165" fontId="19" fillId="58" borderId="26" xfId="128" applyFont="1" applyFill="1" applyBorder="1" applyProtection="1"/>
    <xf numFmtId="165" fontId="16" fillId="58" borderId="0" xfId="128" applyFont="1" applyFill="1" applyBorder="1" applyAlignment="1" applyProtection="1"/>
    <xf numFmtId="0" fontId="24" fillId="58" borderId="0" xfId="0" applyFont="1" applyFill="1" applyBorder="1" applyAlignment="1" applyProtection="1"/>
    <xf numFmtId="165" fontId="22" fillId="24" borderId="21" xfId="128" applyFont="1" applyFill="1" applyBorder="1" applyAlignment="1" applyProtection="1">
      <alignment horizontal="centerContinuous"/>
    </xf>
    <xf numFmtId="165" fontId="22" fillId="24" borderId="22" xfId="128" applyFont="1" applyFill="1" applyBorder="1" applyAlignment="1" applyProtection="1">
      <alignment horizontal="centerContinuous"/>
    </xf>
    <xf numFmtId="165" fontId="19" fillId="24" borderId="22" xfId="128" applyFont="1" applyFill="1" applyBorder="1" applyAlignment="1" applyProtection="1">
      <alignment horizontal="centerContinuous"/>
    </xf>
    <xf numFmtId="165" fontId="19" fillId="24" borderId="27" xfId="128" applyFont="1" applyFill="1" applyBorder="1" applyAlignment="1" applyProtection="1">
      <alignment horizontal="centerContinuous"/>
    </xf>
    <xf numFmtId="165" fontId="18" fillId="58" borderId="0" xfId="128" applyFont="1" applyFill="1" applyBorder="1" applyAlignment="1" applyProtection="1"/>
    <xf numFmtId="165" fontId="19" fillId="58" borderId="21" xfId="128" applyFont="1" applyFill="1" applyBorder="1" applyAlignment="1" applyProtection="1"/>
    <xf numFmtId="165" fontId="21" fillId="58" borderId="0" xfId="128" applyFont="1" applyFill="1" applyBorder="1" applyAlignment="1" applyProtection="1"/>
    <xf numFmtId="165" fontId="21" fillId="58" borderId="0" xfId="128" applyFont="1" applyFill="1" applyBorder="1" applyAlignment="1" applyProtection="1">
      <alignment horizontal="center"/>
    </xf>
    <xf numFmtId="165" fontId="4" fillId="58" borderId="22" xfId="128" applyFont="1" applyFill="1" applyBorder="1" applyAlignment="1" applyProtection="1">
      <alignment horizontal="left"/>
    </xf>
    <xf numFmtId="165" fontId="4" fillId="58" borderId="22" xfId="128" applyFont="1" applyFill="1" applyBorder="1" applyAlignment="1" applyProtection="1">
      <alignment horizontal="right"/>
    </xf>
    <xf numFmtId="165" fontId="5" fillId="58" borderId="22" xfId="128" applyFill="1" applyBorder="1" applyProtection="1"/>
    <xf numFmtId="165" fontId="4" fillId="58" borderId="27" xfId="128" applyFont="1" applyFill="1" applyBorder="1" applyAlignment="1" applyProtection="1">
      <alignment horizontal="left"/>
    </xf>
    <xf numFmtId="165" fontId="5" fillId="58" borderId="26" xfId="128" applyFill="1" applyBorder="1" applyProtection="1"/>
    <xf numFmtId="165" fontId="4" fillId="58" borderId="22" xfId="128" applyFont="1" applyFill="1" applyBorder="1" applyAlignment="1" applyProtection="1">
      <alignment horizontal="center"/>
    </xf>
    <xf numFmtId="165" fontId="5" fillId="58" borderId="23" xfId="128" applyFill="1" applyBorder="1" applyProtection="1"/>
    <xf numFmtId="165" fontId="4" fillId="58" borderId="20" xfId="128" applyFont="1" applyFill="1" applyBorder="1" applyAlignment="1" applyProtection="1">
      <alignment vertical="top"/>
    </xf>
    <xf numFmtId="165" fontId="21" fillId="58" borderId="0" xfId="128" applyFont="1" applyFill="1" applyBorder="1" applyAlignment="1" applyProtection="1">
      <alignment horizontal="center"/>
    </xf>
    <xf numFmtId="14" fontId="4" fillId="58" borderId="28" xfId="128" applyNumberFormat="1" applyFont="1" applyFill="1" applyBorder="1" applyAlignment="1" applyProtection="1">
      <alignment horizontal="center"/>
    </xf>
    <xf numFmtId="166" fontId="10" fillId="58" borderId="0" xfId="129" applyFont="1" applyFill="1" applyBorder="1" applyProtection="1"/>
    <xf numFmtId="165" fontId="4" fillId="58" borderId="0" xfId="128" applyFont="1" applyFill="1" applyBorder="1" applyAlignment="1" applyProtection="1">
      <alignment horizontal="right"/>
    </xf>
    <xf numFmtId="165" fontId="4" fillId="58" borderId="0" xfId="128" applyFont="1" applyFill="1" applyBorder="1" applyAlignment="1" applyProtection="1">
      <alignment horizontal="center"/>
    </xf>
    <xf numFmtId="165" fontId="5" fillId="58" borderId="0" xfId="128" applyFill="1" applyBorder="1" applyAlignment="1" applyProtection="1">
      <alignment vertical="top"/>
    </xf>
    <xf numFmtId="41" fontId="4" fillId="58" borderId="0" xfId="128" applyNumberFormat="1" applyFont="1" applyFill="1" applyBorder="1" applyAlignment="1" applyProtection="1">
      <alignment vertical="top"/>
      <protection locked="0"/>
    </xf>
    <xf numFmtId="14" fontId="4" fillId="58" borderId="0" xfId="128" applyNumberFormat="1" applyFont="1" applyFill="1" applyBorder="1" applyAlignment="1" applyProtection="1"/>
    <xf numFmtId="165" fontId="4" fillId="58" borderId="21" xfId="128" applyFont="1" applyFill="1" applyBorder="1" applyAlignment="1" applyProtection="1">
      <alignment horizontal="left"/>
    </xf>
    <xf numFmtId="14" fontId="4" fillId="58" borderId="28" xfId="128" applyNumberFormat="1" applyFont="1" applyFill="1" applyBorder="1" applyAlignment="1" applyProtection="1"/>
    <xf numFmtId="14" fontId="4" fillId="58" borderId="22" xfId="128" applyNumberFormat="1" applyFont="1" applyFill="1" applyBorder="1" applyAlignment="1" applyProtection="1">
      <alignment horizontal="right"/>
    </xf>
    <xf numFmtId="14" fontId="4" fillId="58" borderId="22" xfId="128" applyNumberFormat="1" applyFont="1" applyFill="1" applyBorder="1" applyAlignment="1" applyProtection="1"/>
    <xf numFmtId="165" fontId="4" fillId="58" borderId="29" xfId="128" applyFont="1" applyFill="1" applyBorder="1" applyAlignment="1" applyProtection="1">
      <alignment vertical="top"/>
    </xf>
    <xf numFmtId="41" fontId="4" fillId="58" borderId="20" xfId="128" applyNumberFormat="1" applyFont="1" applyFill="1" applyBorder="1" applyAlignment="1" applyProtection="1">
      <alignment vertical="top"/>
      <protection locked="0"/>
    </xf>
    <xf numFmtId="41" fontId="4" fillId="58" borderId="30" xfId="128" applyNumberFormat="1" applyFont="1" applyFill="1" applyBorder="1" applyAlignment="1" applyProtection="1">
      <alignment vertical="top"/>
      <protection locked="0"/>
    </xf>
    <xf numFmtId="166" fontId="7" fillId="25" borderId="31" xfId="129" applyFont="1" applyFill="1" applyBorder="1" applyProtection="1"/>
    <xf numFmtId="164" fontId="7" fillId="25" borderId="31" xfId="56" applyNumberFormat="1" applyFont="1" applyFill="1" applyBorder="1" applyProtection="1"/>
    <xf numFmtId="0" fontId="0" fillId="24" borderId="32" xfId="0" applyFill="1" applyBorder="1" applyProtection="1"/>
    <xf numFmtId="166" fontId="7" fillId="58" borderId="33" xfId="129" applyFont="1" applyFill="1" applyBorder="1" applyAlignment="1" applyProtection="1">
      <alignment horizontal="left"/>
    </xf>
    <xf numFmtId="37" fontId="12" fillId="58" borderId="34" xfId="56" applyNumberFormat="1" applyFont="1" applyFill="1" applyBorder="1" applyAlignment="1" applyProtection="1">
      <protection locked="0"/>
    </xf>
    <xf numFmtId="37" fontId="12" fillId="58" borderId="35" xfId="129" applyNumberFormat="1" applyFont="1" applyFill="1" applyBorder="1" applyProtection="1">
      <protection locked="0"/>
    </xf>
    <xf numFmtId="37" fontId="12" fillId="58" borderId="36" xfId="129" applyNumberFormat="1" applyFont="1" applyFill="1" applyBorder="1" applyAlignment="1" applyProtection="1">
      <protection locked="0"/>
    </xf>
    <xf numFmtId="166" fontId="7" fillId="26" borderId="19" xfId="129" applyFont="1" applyFill="1" applyBorder="1" applyAlignment="1" applyProtection="1">
      <alignment horizontal="left"/>
    </xf>
    <xf numFmtId="37" fontId="12" fillId="58" borderId="33" xfId="129" applyNumberFormat="1" applyFont="1" applyFill="1" applyBorder="1" applyAlignment="1" applyProtection="1">
      <protection locked="0"/>
    </xf>
    <xf numFmtId="37" fontId="7" fillId="26" borderId="13" xfId="129" applyNumberFormat="1" applyFont="1" applyFill="1" applyBorder="1" applyProtection="1"/>
    <xf numFmtId="37" fontId="12" fillId="58" borderId="37" xfId="129" applyNumberFormat="1" applyFont="1" applyFill="1" applyBorder="1" applyAlignment="1" applyProtection="1">
      <protection locked="0"/>
    </xf>
    <xf numFmtId="166" fontId="6" fillId="26" borderId="13" xfId="129" applyFont="1" applyFill="1" applyBorder="1" applyAlignment="1" applyProtection="1">
      <alignment horizontal="left"/>
    </xf>
    <xf numFmtId="166" fontId="27" fillId="58" borderId="0" xfId="129" applyFont="1" applyFill="1" applyAlignment="1" applyProtection="1">
      <alignment horizontal="right"/>
    </xf>
    <xf numFmtId="166" fontId="9" fillId="58" borderId="29" xfId="129" applyFont="1" applyFill="1" applyBorder="1" applyProtection="1"/>
    <xf numFmtId="166" fontId="11" fillId="58" borderId="20" xfId="129" applyFont="1" applyFill="1" applyBorder="1" applyProtection="1"/>
    <xf numFmtId="164" fontId="11" fillId="58" borderId="20" xfId="56" applyNumberFormat="1" applyFont="1" applyFill="1" applyBorder="1" applyProtection="1"/>
    <xf numFmtId="166" fontId="11" fillId="58" borderId="30" xfId="129" applyFont="1" applyFill="1" applyBorder="1" applyProtection="1"/>
    <xf numFmtId="166" fontId="6" fillId="24" borderId="21" xfId="129" applyFont="1" applyFill="1" applyBorder="1" applyAlignment="1" applyProtection="1">
      <alignment horizontal="center"/>
    </xf>
    <xf numFmtId="166" fontId="6" fillId="24" borderId="22" xfId="129" applyFont="1" applyFill="1" applyBorder="1" applyAlignment="1" applyProtection="1">
      <alignment horizontal="center"/>
    </xf>
    <xf numFmtId="166" fontId="6" fillId="24" borderId="27" xfId="129" applyFont="1" applyFill="1" applyBorder="1" applyAlignment="1" applyProtection="1">
      <alignment horizontal="center"/>
    </xf>
    <xf numFmtId="166" fontId="7" fillId="24" borderId="29" xfId="129" applyFont="1" applyFill="1" applyBorder="1" applyProtection="1"/>
    <xf numFmtId="166" fontId="7" fillId="24" borderId="20" xfId="129" applyFont="1" applyFill="1" applyBorder="1" applyProtection="1"/>
    <xf numFmtId="166" fontId="7" fillId="24" borderId="30" xfId="129" applyFont="1" applyFill="1" applyBorder="1" applyProtection="1"/>
    <xf numFmtId="165" fontId="4" fillId="58" borderId="23" xfId="128" applyFont="1" applyFill="1" applyBorder="1" applyAlignment="1" applyProtection="1">
      <alignment horizontal="left"/>
    </xf>
    <xf numFmtId="165" fontId="4" fillId="58" borderId="23" xfId="128" applyFont="1" applyFill="1" applyBorder="1" applyAlignment="1" applyProtection="1">
      <alignment vertical="top"/>
    </xf>
    <xf numFmtId="166" fontId="5" fillId="58" borderId="0" xfId="129" applyFill="1" applyAlignment="1" applyProtection="1">
      <alignment horizontal="right"/>
    </xf>
    <xf numFmtId="166" fontId="4" fillId="58" borderId="0" xfId="129" applyFont="1" applyFill="1" applyProtection="1"/>
    <xf numFmtId="166" fontId="6" fillId="26" borderId="19" xfId="129" applyFont="1" applyFill="1" applyBorder="1" applyAlignment="1" applyProtection="1">
      <alignment horizontal="left"/>
    </xf>
    <xf numFmtId="37" fontId="6" fillId="26" borderId="38" xfId="129" applyNumberFormat="1" applyFont="1" applyFill="1" applyBorder="1" applyProtection="1"/>
    <xf numFmtId="37" fontId="6" fillId="26" borderId="11" xfId="129" applyNumberFormat="1" applyFont="1" applyFill="1" applyBorder="1" applyProtection="1"/>
    <xf numFmtId="166" fontId="6" fillId="26" borderId="39" xfId="129" quotePrefix="1" applyFont="1" applyFill="1" applyBorder="1" applyAlignment="1" applyProtection="1">
      <alignment horizontal="left"/>
    </xf>
    <xf numFmtId="37" fontId="7" fillId="26" borderId="39" xfId="129" applyNumberFormat="1" applyFont="1" applyFill="1" applyBorder="1" applyProtection="1"/>
    <xf numFmtId="166" fontId="7" fillId="25" borderId="19" xfId="129" applyFont="1" applyFill="1" applyBorder="1" applyProtection="1"/>
    <xf numFmtId="164" fontId="7" fillId="25" borderId="19" xfId="56" applyNumberFormat="1" applyFont="1" applyFill="1" applyBorder="1" applyProtection="1"/>
    <xf numFmtId="166" fontId="7" fillId="58" borderId="0" xfId="129" applyFont="1" applyFill="1" applyBorder="1" applyAlignment="1" applyProtection="1">
      <alignment horizontal="right"/>
    </xf>
    <xf numFmtId="37" fontId="12" fillId="58" borderId="0" xfId="129" applyNumberFormat="1" applyFont="1" applyFill="1" applyBorder="1" applyProtection="1">
      <protection locked="0"/>
    </xf>
    <xf numFmtId="37" fontId="7" fillId="58" borderId="0" xfId="129" applyNumberFormat="1" applyFont="1" applyFill="1" applyBorder="1" applyProtection="1"/>
    <xf numFmtId="166" fontId="7" fillId="58" borderId="0" xfId="129" applyFont="1" applyFill="1" applyBorder="1" applyAlignment="1" applyProtection="1">
      <alignment horizontal="left"/>
    </xf>
    <xf numFmtId="37" fontId="12" fillId="58" borderId="17" xfId="129" applyNumberFormat="1" applyFont="1" applyFill="1" applyBorder="1" applyProtection="1">
      <protection locked="0"/>
    </xf>
    <xf numFmtId="37" fontId="12" fillId="58" borderId="0" xfId="56" applyNumberFormat="1" applyFont="1" applyFill="1" applyBorder="1" applyAlignment="1" applyProtection="1">
      <protection locked="0"/>
    </xf>
    <xf numFmtId="166" fontId="7" fillId="0" borderId="0" xfId="129" applyFont="1" applyFill="1" applyBorder="1" applyProtection="1"/>
    <xf numFmtId="164" fontId="7" fillId="0" borderId="0" xfId="56" applyNumberFormat="1" applyFont="1" applyFill="1" applyBorder="1" applyProtection="1"/>
    <xf numFmtId="166" fontId="5" fillId="0" borderId="0" xfId="129" applyFill="1" applyProtection="1"/>
    <xf numFmtId="0" fontId="2" fillId="0" borderId="32" xfId="0" applyFont="1" applyBorder="1" applyAlignment="1" applyProtection="1">
      <alignment horizontal="center"/>
    </xf>
    <xf numFmtId="0" fontId="2" fillId="0" borderId="32" xfId="0" quotePrefix="1" applyFont="1" applyBorder="1" applyAlignment="1" applyProtection="1">
      <alignment horizontal="center"/>
    </xf>
    <xf numFmtId="41" fontId="4" fillId="58" borderId="0" xfId="128" applyNumberFormat="1" applyFont="1" applyFill="1" applyBorder="1" applyAlignment="1" applyProtection="1">
      <alignment horizontal="left" vertical="top"/>
      <protection locked="0"/>
    </xf>
    <xf numFmtId="0" fontId="0" fillId="58" borderId="0" xfId="0" applyFill="1" applyBorder="1" applyProtection="1"/>
    <xf numFmtId="14" fontId="4" fillId="58" borderId="0" xfId="128" applyNumberFormat="1" applyFont="1" applyFill="1" applyBorder="1" applyAlignment="1" applyProtection="1">
      <alignment horizontal="center"/>
    </xf>
    <xf numFmtId="165" fontId="21" fillId="58" borderId="22" xfId="128" applyFont="1" applyFill="1" applyBorder="1" applyAlignment="1" applyProtection="1">
      <alignment horizontal="center"/>
    </xf>
    <xf numFmtId="0" fontId="2" fillId="58" borderId="0" xfId="0" applyFont="1" applyFill="1" applyProtection="1"/>
    <xf numFmtId="0" fontId="14" fillId="0" borderId="0" xfId="0" applyFont="1" applyBorder="1" applyAlignment="1" applyProtection="1">
      <alignment horizontal="left"/>
    </xf>
    <xf numFmtId="165" fontId="5" fillId="58" borderId="0" xfId="128" applyFill="1" applyAlignment="1" applyProtection="1">
      <alignment horizontal="right"/>
    </xf>
    <xf numFmtId="165" fontId="4" fillId="58" borderId="21" xfId="128" applyFont="1" applyFill="1" applyBorder="1" applyAlignment="1" applyProtection="1">
      <alignment horizontal="right"/>
    </xf>
    <xf numFmtId="165" fontId="4" fillId="58" borderId="23" xfId="128" applyFont="1" applyFill="1" applyBorder="1" applyAlignment="1" applyProtection="1">
      <alignment horizontal="right"/>
    </xf>
    <xf numFmtId="165" fontId="4" fillId="58" borderId="29" xfId="128" applyFont="1" applyFill="1" applyBorder="1" applyAlignment="1" applyProtection="1">
      <alignment horizontal="right" vertical="top"/>
    </xf>
    <xf numFmtId="0" fontId="0" fillId="58" borderId="0" xfId="0" applyFill="1" applyAlignment="1" applyProtection="1">
      <alignment horizontal="right"/>
    </xf>
    <xf numFmtId="0" fontId="0" fillId="58" borderId="0" xfId="0" applyFill="1" applyBorder="1" applyAlignment="1" applyProtection="1">
      <alignment horizontal="right"/>
    </xf>
    <xf numFmtId="165" fontId="17" fillId="58" borderId="0" xfId="128" applyFont="1" applyFill="1" applyBorder="1" applyAlignment="1" applyProtection="1">
      <alignment horizontal="left"/>
    </xf>
    <xf numFmtId="165" fontId="4" fillId="58" borderId="0" xfId="128" applyFont="1" applyFill="1" applyBorder="1" applyProtection="1"/>
    <xf numFmtId="165" fontId="4" fillId="58" borderId="0" xfId="128" applyFont="1" applyFill="1" applyBorder="1" applyAlignment="1" applyProtection="1">
      <alignment wrapText="1"/>
    </xf>
    <xf numFmtId="165" fontId="26" fillId="58" borderId="0" xfId="128" applyFont="1" applyFill="1" applyBorder="1" applyAlignment="1" applyProtection="1">
      <alignment wrapText="1"/>
    </xf>
    <xf numFmtId="165" fontId="5" fillId="58" borderId="0" xfId="128" applyFont="1" applyFill="1" applyBorder="1" applyAlignment="1" applyProtection="1">
      <alignment vertical="top" wrapText="1"/>
    </xf>
    <xf numFmtId="165" fontId="4" fillId="58" borderId="0" xfId="128" applyFont="1" applyFill="1" applyBorder="1" applyAlignment="1" applyProtection="1">
      <alignment horizontal="left" wrapText="1"/>
    </xf>
    <xf numFmtId="165" fontId="4" fillId="58" borderId="0" xfId="128" quotePrefix="1" applyFont="1" applyFill="1" applyBorder="1" applyAlignment="1" applyProtection="1">
      <alignment wrapText="1"/>
    </xf>
    <xf numFmtId="165" fontId="4" fillId="58" borderId="0" xfId="128" quotePrefix="1" applyFont="1" applyFill="1" applyBorder="1" applyAlignment="1" applyProtection="1">
      <alignment horizontal="right" wrapText="1"/>
    </xf>
    <xf numFmtId="165" fontId="4" fillId="0" borderId="0" xfId="128" applyFont="1" applyFill="1" applyBorder="1" applyProtection="1"/>
    <xf numFmtId="165" fontId="4" fillId="0" borderId="0" xfId="128" applyFont="1" applyFill="1" applyProtection="1"/>
    <xf numFmtId="165" fontId="5" fillId="0" borderId="0" xfId="128" applyFill="1" applyBorder="1" applyProtection="1"/>
    <xf numFmtId="165" fontId="5" fillId="0" borderId="0" xfId="128" applyFill="1" applyProtection="1"/>
    <xf numFmtId="0" fontId="2" fillId="24" borderId="40" xfId="0" applyFont="1" applyFill="1" applyBorder="1" applyAlignment="1" applyProtection="1">
      <alignment horizontal="center"/>
    </xf>
    <xf numFmtId="0" fontId="2" fillId="24" borderId="33" xfId="0" applyFont="1" applyFill="1" applyBorder="1" applyAlignment="1" applyProtection="1">
      <alignment horizontal="center"/>
    </xf>
    <xf numFmtId="0" fontId="2" fillId="24" borderId="32" xfId="0" applyFont="1" applyFill="1" applyBorder="1" applyAlignment="1" applyProtection="1">
      <alignment horizontal="center" wrapText="1"/>
    </xf>
    <xf numFmtId="0" fontId="2" fillId="24" borderId="32" xfId="0" applyFont="1" applyFill="1" applyBorder="1" applyAlignment="1" applyProtection="1">
      <alignment horizontal="center"/>
    </xf>
    <xf numFmtId="0" fontId="14" fillId="0" borderId="41" xfId="0" applyFont="1" applyBorder="1" applyAlignment="1" applyProtection="1">
      <alignment horizontal="left"/>
    </xf>
    <xf numFmtId="0" fontId="14" fillId="0" borderId="42" xfId="0" applyFont="1" applyBorder="1" applyAlignment="1" applyProtection="1">
      <alignment horizontal="left"/>
    </xf>
    <xf numFmtId="165" fontId="4" fillId="58" borderId="43" xfId="128" applyFont="1" applyFill="1" applyBorder="1" applyAlignment="1" applyProtection="1">
      <alignment horizontal="center"/>
    </xf>
    <xf numFmtId="165" fontId="4" fillId="58" borderId="35" xfId="128" applyFont="1" applyFill="1" applyBorder="1" applyAlignment="1" applyProtection="1">
      <alignment wrapText="1"/>
    </xf>
    <xf numFmtId="165" fontId="4" fillId="58" borderId="23" xfId="128" applyFont="1" applyFill="1" applyBorder="1" applyAlignment="1" applyProtection="1">
      <alignment wrapText="1"/>
    </xf>
    <xf numFmtId="165" fontId="26" fillId="58" borderId="23" xfId="128" applyFont="1" applyFill="1" applyBorder="1" applyAlignment="1" applyProtection="1">
      <alignment wrapText="1"/>
    </xf>
    <xf numFmtId="165" fontId="5" fillId="58" borderId="23" xfId="128" applyFont="1" applyFill="1" applyBorder="1" applyAlignment="1" applyProtection="1">
      <alignment vertical="top"/>
      <protection locked="0"/>
    </xf>
    <xf numFmtId="165" fontId="5" fillId="58" borderId="23" xfId="128" applyFont="1" applyFill="1" applyBorder="1" applyAlignment="1" applyProtection="1">
      <alignment vertical="top" wrapText="1"/>
    </xf>
    <xf numFmtId="165" fontId="5" fillId="58" borderId="29" xfId="128" applyFill="1" applyBorder="1" applyProtection="1"/>
    <xf numFmtId="165" fontId="5" fillId="58" borderId="20" xfId="128" applyFill="1" applyBorder="1" applyProtection="1"/>
    <xf numFmtId="165" fontId="5" fillId="58" borderId="30" xfId="128" applyFill="1" applyBorder="1" applyProtection="1"/>
    <xf numFmtId="165" fontId="4" fillId="58" borderId="44" xfId="128" applyFont="1" applyFill="1" applyBorder="1" applyAlignment="1" applyProtection="1">
      <alignment horizontal="center"/>
    </xf>
    <xf numFmtId="165" fontId="4" fillId="58" borderId="20" xfId="128" applyFont="1" applyFill="1" applyBorder="1" applyAlignment="1" applyProtection="1">
      <alignment wrapText="1"/>
    </xf>
    <xf numFmtId="165" fontId="4" fillId="58" borderId="45" xfId="128" applyFont="1" applyFill="1" applyBorder="1" applyAlignment="1" applyProtection="1">
      <alignment wrapText="1"/>
    </xf>
    <xf numFmtId="165" fontId="5" fillId="58" borderId="23" xfId="128" applyFont="1" applyFill="1" applyBorder="1" applyAlignment="1" applyProtection="1">
      <alignment horizontal="center" wrapText="1"/>
    </xf>
    <xf numFmtId="165" fontId="4" fillId="58" borderId="0" xfId="128" quotePrefix="1" applyFont="1" applyFill="1" applyBorder="1" applyAlignment="1" applyProtection="1">
      <alignment vertical="top" wrapText="1"/>
    </xf>
    <xf numFmtId="166" fontId="4" fillId="58" borderId="19" xfId="129" applyFont="1" applyFill="1" applyBorder="1" applyAlignment="1" applyProtection="1">
      <alignment horizontal="center"/>
    </xf>
    <xf numFmtId="166" fontId="7" fillId="59" borderId="31" xfId="129" applyFont="1" applyFill="1" applyBorder="1" applyProtection="1"/>
    <xf numFmtId="164" fontId="7" fillId="59" borderId="31" xfId="56" applyNumberFormat="1" applyFont="1" applyFill="1" applyBorder="1" applyProtection="1"/>
    <xf numFmtId="166" fontId="7" fillId="59" borderId="13" xfId="129" applyFont="1" applyFill="1" applyBorder="1" applyProtection="1"/>
    <xf numFmtId="165" fontId="4" fillId="58" borderId="23" xfId="128" applyFont="1" applyFill="1" applyBorder="1" applyAlignment="1" applyProtection="1">
      <alignment horizontal="center"/>
    </xf>
    <xf numFmtId="165" fontId="4" fillId="58" borderId="26" xfId="128" applyFont="1" applyFill="1" applyBorder="1" applyAlignment="1" applyProtection="1">
      <alignment horizontal="center"/>
    </xf>
    <xf numFmtId="165" fontId="4" fillId="58" borderId="20" xfId="128" quotePrefix="1" applyFont="1" applyFill="1" applyBorder="1" applyAlignment="1" applyProtection="1">
      <alignment horizontal="right" wrapText="1"/>
    </xf>
    <xf numFmtId="165" fontId="4" fillId="58" borderId="20" xfId="128" applyFont="1" applyFill="1" applyBorder="1" applyAlignment="1" applyProtection="1">
      <alignment horizontal="left" wrapText="1"/>
    </xf>
    <xf numFmtId="165" fontId="19" fillId="58" borderId="0" xfId="128" applyFont="1" applyFill="1" applyBorder="1" applyAlignment="1" applyProtection="1">
      <alignment horizontal="right"/>
    </xf>
    <xf numFmtId="165" fontId="19" fillId="58" borderId="0" xfId="128" applyFont="1" applyFill="1" applyBorder="1" applyAlignment="1" applyProtection="1"/>
    <xf numFmtId="165" fontId="5" fillId="58" borderId="21" xfId="128" applyFill="1" applyBorder="1" applyProtection="1"/>
    <xf numFmtId="165" fontId="5" fillId="58" borderId="20" xfId="128" applyFill="1" applyBorder="1" applyAlignment="1" applyProtection="1">
      <alignment vertical="top"/>
    </xf>
    <xf numFmtId="0" fontId="0" fillId="58" borderId="21" xfId="0" applyFill="1" applyBorder="1" applyAlignment="1" applyProtection="1">
      <alignment horizontal="right"/>
    </xf>
    <xf numFmtId="0" fontId="0" fillId="58" borderId="22" xfId="0" applyFill="1" applyBorder="1" applyProtection="1"/>
    <xf numFmtId="0" fontId="0" fillId="58" borderId="27" xfId="0" applyFill="1" applyBorder="1" applyProtection="1"/>
    <xf numFmtId="0" fontId="2" fillId="24" borderId="46" xfId="0" applyFont="1" applyFill="1" applyBorder="1" applyAlignment="1" applyProtection="1">
      <alignment horizontal="center"/>
    </xf>
    <xf numFmtId="0" fontId="2" fillId="24" borderId="47" xfId="0" applyFont="1" applyFill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0" fontId="2" fillId="24" borderId="49" xfId="0" applyFont="1" applyFill="1" applyBorder="1" applyAlignment="1" applyProtection="1">
      <alignment horizontal="right" wrapText="1"/>
    </xf>
    <xf numFmtId="0" fontId="2" fillId="24" borderId="50" xfId="0" applyFont="1" applyFill="1" applyBorder="1" applyAlignment="1" applyProtection="1">
      <alignment horizontal="right" wrapText="1"/>
    </xf>
    <xf numFmtId="0" fontId="0" fillId="58" borderId="29" xfId="0" applyFill="1" applyBorder="1" applyAlignment="1" applyProtection="1">
      <alignment horizontal="right"/>
    </xf>
    <xf numFmtId="0" fontId="0" fillId="58" borderId="20" xfId="0" applyFill="1" applyBorder="1" applyProtection="1"/>
    <xf numFmtId="0" fontId="0" fillId="58" borderId="30" xfId="0" applyFill="1" applyBorder="1" applyProtection="1"/>
    <xf numFmtId="166" fontId="6" fillId="24" borderId="26" xfId="129" applyFont="1" applyFill="1" applyBorder="1" applyAlignment="1" applyProtection="1">
      <alignment horizontal="center"/>
    </xf>
    <xf numFmtId="166" fontId="4" fillId="24" borderId="51" xfId="129" applyFont="1" applyFill="1" applyBorder="1" applyAlignment="1" applyProtection="1">
      <alignment horizontal="right"/>
    </xf>
    <xf numFmtId="166" fontId="4" fillId="24" borderId="52" xfId="129" applyFont="1" applyFill="1" applyBorder="1" applyAlignment="1" applyProtection="1">
      <alignment horizontal="right"/>
    </xf>
    <xf numFmtId="166" fontId="7" fillId="25" borderId="53" xfId="129" applyFont="1" applyFill="1" applyBorder="1" applyProtection="1"/>
    <xf numFmtId="0" fontId="14" fillId="24" borderId="49" xfId="0" quotePrefix="1" applyFont="1" applyFill="1" applyBorder="1" applyAlignment="1" applyProtection="1">
      <alignment horizontal="right"/>
    </xf>
    <xf numFmtId="166" fontId="7" fillId="25" borderId="54" xfId="129" applyFont="1" applyFill="1" applyBorder="1" applyProtection="1"/>
    <xf numFmtId="166" fontId="7" fillId="58" borderId="55" xfId="129" applyFont="1" applyFill="1" applyBorder="1" applyAlignment="1" applyProtection="1">
      <alignment horizontal="right"/>
    </xf>
    <xf numFmtId="37" fontId="7" fillId="58" borderId="54" xfId="56" applyNumberFormat="1" applyFont="1" applyFill="1" applyBorder="1" applyProtection="1"/>
    <xf numFmtId="166" fontId="7" fillId="58" borderId="56" xfId="129" applyFont="1" applyFill="1" applyBorder="1" applyAlignment="1" applyProtection="1">
      <alignment horizontal="right"/>
    </xf>
    <xf numFmtId="37" fontId="7" fillId="58" borderId="26" xfId="56" applyNumberFormat="1" applyFont="1" applyFill="1" applyBorder="1" applyProtection="1"/>
    <xf numFmtId="37" fontId="7" fillId="58" borderId="57" xfId="56" applyNumberFormat="1" applyFont="1" applyFill="1" applyBorder="1" applyProtection="1"/>
    <xf numFmtId="167" fontId="7" fillId="58" borderId="56" xfId="129" applyNumberFormat="1" applyFont="1" applyFill="1" applyBorder="1" applyAlignment="1" applyProtection="1">
      <alignment horizontal="right"/>
    </xf>
    <xf numFmtId="166" fontId="6" fillId="26" borderId="58" xfId="129" applyFont="1" applyFill="1" applyBorder="1" applyAlignment="1" applyProtection="1">
      <alignment horizontal="right"/>
    </xf>
    <xf numFmtId="37" fontId="6" fillId="26" borderId="59" xfId="129" applyNumberFormat="1" applyFont="1" applyFill="1" applyBorder="1" applyProtection="1"/>
    <xf numFmtId="0" fontId="2" fillId="24" borderId="52" xfId="0" quotePrefix="1" applyFont="1" applyFill="1" applyBorder="1" applyAlignment="1" applyProtection="1">
      <alignment horizontal="right"/>
    </xf>
    <xf numFmtId="37" fontId="7" fillId="58" borderId="57" xfId="129" applyNumberFormat="1" applyFont="1" applyFill="1" applyBorder="1" applyProtection="1"/>
    <xf numFmtId="166" fontId="6" fillId="26" borderId="60" xfId="129" applyFont="1" applyFill="1" applyBorder="1" applyAlignment="1" applyProtection="1">
      <alignment horizontal="right"/>
    </xf>
    <xf numFmtId="37" fontId="6" fillId="26" borderId="61" xfId="129" applyNumberFormat="1" applyFont="1" applyFill="1" applyBorder="1" applyProtection="1"/>
    <xf numFmtId="166" fontId="7" fillId="26" borderId="52" xfId="129" applyFont="1" applyFill="1" applyBorder="1" applyAlignment="1" applyProtection="1">
      <alignment horizontal="right"/>
    </xf>
    <xf numFmtId="37" fontId="7" fillId="26" borderId="53" xfId="129" applyNumberFormat="1" applyFont="1" applyFill="1" applyBorder="1" applyProtection="1"/>
    <xf numFmtId="166" fontId="6" fillId="26" borderId="62" xfId="129" quotePrefix="1" applyFont="1" applyFill="1" applyBorder="1" applyAlignment="1" applyProtection="1">
      <alignment horizontal="right"/>
    </xf>
    <xf numFmtId="166" fontId="7" fillId="26" borderId="63" xfId="129" applyFont="1" applyFill="1" applyBorder="1" applyAlignment="1" applyProtection="1">
      <alignment horizontal="left"/>
    </xf>
    <xf numFmtId="166" fontId="6" fillId="26" borderId="20" xfId="129" quotePrefix="1" applyFont="1" applyFill="1" applyBorder="1" applyAlignment="1" applyProtection="1">
      <alignment horizontal="left"/>
    </xf>
    <xf numFmtId="37" fontId="7" fillId="26" borderId="20" xfId="129" applyNumberFormat="1" applyFont="1" applyFill="1" applyBorder="1" applyProtection="1"/>
    <xf numFmtId="166" fontId="5" fillId="58" borderId="30" xfId="129" applyFill="1" applyBorder="1" applyProtection="1"/>
    <xf numFmtId="37" fontId="7" fillId="26" borderId="30" xfId="129" applyNumberFormat="1" applyFont="1" applyFill="1" applyBorder="1" applyProtection="1"/>
    <xf numFmtId="165" fontId="5" fillId="58" borderId="23" xfId="128" applyFill="1" applyBorder="1" applyAlignment="1" applyProtection="1">
      <alignment horizontal="right"/>
    </xf>
    <xf numFmtId="166" fontId="9" fillId="58" borderId="29" xfId="129" applyFont="1" applyFill="1" applyBorder="1" applyAlignment="1" applyProtection="1">
      <alignment horizontal="right"/>
    </xf>
    <xf numFmtId="166" fontId="6" fillId="24" borderId="21" xfId="129" applyFont="1" applyFill="1" applyBorder="1" applyAlignment="1" applyProtection="1">
      <alignment horizontal="right"/>
    </xf>
    <xf numFmtId="166" fontId="7" fillId="24" borderId="29" xfId="129" applyFont="1" applyFill="1" applyBorder="1" applyAlignment="1" applyProtection="1">
      <alignment horizontal="right"/>
    </xf>
    <xf numFmtId="166" fontId="6" fillId="26" borderId="62" xfId="129" applyFont="1" applyFill="1" applyBorder="1" applyAlignment="1" applyProtection="1">
      <alignment horizontal="right"/>
    </xf>
    <xf numFmtId="166" fontId="7" fillId="26" borderId="63" xfId="129" applyFont="1" applyFill="1" applyBorder="1" applyAlignment="1" applyProtection="1">
      <alignment horizontal="right"/>
    </xf>
    <xf numFmtId="0" fontId="2" fillId="24" borderId="49" xfId="0" quotePrefix="1" applyFont="1" applyFill="1" applyBorder="1" applyAlignment="1" applyProtection="1">
      <alignment horizontal="right"/>
    </xf>
    <xf numFmtId="0" fontId="2" fillId="24" borderId="52" xfId="0" applyFont="1" applyFill="1" applyBorder="1" applyAlignment="1" applyProtection="1">
      <alignment horizontal="right"/>
    </xf>
    <xf numFmtId="37" fontId="7" fillId="26" borderId="64" xfId="129" applyNumberFormat="1" applyFont="1" applyFill="1" applyBorder="1" applyProtection="1"/>
    <xf numFmtId="166" fontId="4" fillId="24" borderId="65" xfId="129" applyFont="1" applyFill="1" applyBorder="1" applyAlignment="1" applyProtection="1">
      <alignment horizontal="center"/>
    </xf>
    <xf numFmtId="166" fontId="5" fillId="58" borderId="29" xfId="129" applyFill="1" applyBorder="1" applyAlignment="1" applyProtection="1">
      <alignment horizontal="right"/>
    </xf>
    <xf numFmtId="166" fontId="5" fillId="58" borderId="20" xfId="129" applyFill="1" applyBorder="1" applyProtection="1"/>
    <xf numFmtId="164" fontId="5" fillId="58" borderId="20" xfId="56" applyNumberFormat="1" applyFont="1" applyFill="1" applyBorder="1" applyProtection="1"/>
    <xf numFmtId="0" fontId="2" fillId="24" borderId="48" xfId="0" applyFont="1" applyFill="1" applyBorder="1" applyAlignment="1" applyProtection="1">
      <alignment horizontal="center" wrapText="1"/>
    </xf>
    <xf numFmtId="0" fontId="14" fillId="0" borderId="56" xfId="0" quotePrefix="1" applyFont="1" applyBorder="1" applyAlignment="1" applyProtection="1">
      <alignment horizontal="right"/>
    </xf>
    <xf numFmtId="0" fontId="14" fillId="0" borderId="23" xfId="0" quotePrefix="1" applyFont="1" applyBorder="1" applyAlignment="1" applyProtection="1">
      <alignment horizontal="right"/>
    </xf>
    <xf numFmtId="166" fontId="7" fillId="25" borderId="25" xfId="129" applyFont="1" applyFill="1" applyBorder="1" applyProtection="1"/>
    <xf numFmtId="166" fontId="4" fillId="58" borderId="51" xfId="129" applyFont="1" applyFill="1" applyBorder="1" applyAlignment="1" applyProtection="1">
      <alignment horizontal="right"/>
    </xf>
    <xf numFmtId="166" fontId="7" fillId="59" borderId="54" xfId="129" applyFont="1" applyFill="1" applyBorder="1" applyProtection="1"/>
    <xf numFmtId="166" fontId="4" fillId="24" borderId="65" xfId="129" applyFont="1" applyFill="1" applyBorder="1" applyAlignment="1" applyProtection="1">
      <alignment horizontal="right"/>
    </xf>
    <xf numFmtId="166" fontId="7" fillId="58" borderId="23" xfId="129" applyFont="1" applyFill="1" applyBorder="1" applyAlignment="1" applyProtection="1">
      <alignment horizontal="right"/>
    </xf>
    <xf numFmtId="166" fontId="4" fillId="24" borderId="50" xfId="129" applyFont="1" applyFill="1" applyBorder="1" applyAlignment="1" applyProtection="1">
      <alignment horizontal="right"/>
    </xf>
    <xf numFmtId="166" fontId="4" fillId="0" borderId="23" xfId="129" applyFont="1" applyFill="1" applyBorder="1" applyAlignment="1" applyProtection="1">
      <alignment horizontal="right"/>
    </xf>
    <xf numFmtId="166" fontId="7" fillId="0" borderId="26" xfId="129" applyFont="1" applyFill="1" applyBorder="1" applyProtection="1"/>
    <xf numFmtId="166" fontId="7" fillId="58" borderId="29" xfId="129" applyFont="1" applyFill="1" applyBorder="1" applyAlignment="1" applyProtection="1">
      <alignment horizontal="right"/>
    </xf>
    <xf numFmtId="166" fontId="7" fillId="58" borderId="20" xfId="129" applyFont="1" applyFill="1" applyBorder="1" applyAlignment="1" applyProtection="1">
      <alignment horizontal="left"/>
    </xf>
    <xf numFmtId="37" fontId="12" fillId="58" borderId="20" xfId="129" applyNumberFormat="1" applyFont="1" applyFill="1" applyBorder="1" applyProtection="1">
      <protection locked="0"/>
    </xf>
    <xf numFmtId="37" fontId="7" fillId="58" borderId="20" xfId="129" applyNumberFormat="1" applyFont="1" applyFill="1" applyBorder="1" applyProtection="1"/>
    <xf numFmtId="37" fontId="7" fillId="58" borderId="30" xfId="129" applyNumberFormat="1" applyFont="1" applyFill="1" applyBorder="1" applyProtection="1"/>
    <xf numFmtId="165" fontId="5" fillId="58" borderId="0" xfId="128" applyFont="1" applyFill="1" applyBorder="1" applyAlignment="1" applyProtection="1">
      <alignment horizontal="right"/>
    </xf>
    <xf numFmtId="165" fontId="5" fillId="58" borderId="26" xfId="128" applyFont="1" applyFill="1" applyBorder="1" applyAlignment="1" applyProtection="1">
      <alignment horizontal="right"/>
    </xf>
    <xf numFmtId="165" fontId="5" fillId="58" borderId="20" xfId="128" applyFont="1" applyFill="1" applyBorder="1" applyAlignment="1" applyProtection="1">
      <alignment horizontal="right"/>
    </xf>
    <xf numFmtId="165" fontId="5" fillId="58" borderId="30" xfId="128" applyFont="1" applyFill="1" applyBorder="1" applyAlignment="1" applyProtection="1">
      <alignment horizontal="right"/>
    </xf>
    <xf numFmtId="165" fontId="5" fillId="58" borderId="0" xfId="128" applyFont="1" applyFill="1" applyProtection="1"/>
    <xf numFmtId="14" fontId="19" fillId="58" borderId="19" xfId="128" applyNumberFormat="1" applyFont="1" applyFill="1" applyBorder="1" applyAlignment="1" applyProtection="1">
      <protection locked="0"/>
    </xf>
    <xf numFmtId="14" fontId="19" fillId="58" borderId="19" xfId="128" applyNumberFormat="1" applyFont="1" applyFill="1" applyBorder="1" applyAlignment="1" applyProtection="1"/>
    <xf numFmtId="165" fontId="19" fillId="58" borderId="22" xfId="128" applyFont="1" applyFill="1" applyBorder="1" applyAlignment="1" applyProtection="1"/>
    <xf numFmtId="165" fontId="19" fillId="58" borderId="29" xfId="128" applyFont="1" applyFill="1" applyBorder="1" applyAlignment="1" applyProtection="1">
      <alignment vertical="top"/>
    </xf>
    <xf numFmtId="165" fontId="19" fillId="58" borderId="20" xfId="128" applyFont="1" applyFill="1" applyBorder="1" applyAlignment="1" applyProtection="1">
      <alignment vertical="top"/>
    </xf>
    <xf numFmtId="165" fontId="19" fillId="58" borderId="30" xfId="128" applyFont="1" applyFill="1" applyBorder="1" applyAlignment="1" applyProtection="1">
      <alignment vertical="top"/>
    </xf>
    <xf numFmtId="165" fontId="19" fillId="58" borderId="22" xfId="128" applyFont="1" applyFill="1" applyBorder="1" applyProtection="1"/>
    <xf numFmtId="0" fontId="3" fillId="58" borderId="22" xfId="0" applyFont="1" applyFill="1" applyBorder="1" applyProtection="1"/>
    <xf numFmtId="0" fontId="3" fillId="58" borderId="27" xfId="0" applyFont="1" applyFill="1" applyBorder="1" applyProtection="1"/>
    <xf numFmtId="165" fontId="16" fillId="58" borderId="66" xfId="128" applyFont="1" applyFill="1" applyBorder="1" applyAlignment="1" applyProtection="1">
      <alignment horizontal="left"/>
    </xf>
    <xf numFmtId="165" fontId="19" fillId="58" borderId="15" xfId="128" applyFont="1" applyFill="1" applyBorder="1" applyAlignment="1" applyProtection="1">
      <alignment horizontal="left"/>
    </xf>
    <xf numFmtId="0" fontId="3" fillId="58" borderId="0" xfId="0" applyFont="1" applyFill="1" applyBorder="1" applyAlignment="1" applyProtection="1">
      <alignment horizontal="right"/>
    </xf>
    <xf numFmtId="0" fontId="3" fillId="58" borderId="26" xfId="0" applyFont="1" applyFill="1" applyBorder="1" applyProtection="1"/>
    <xf numFmtId="165" fontId="19" fillId="59" borderId="29" xfId="128" applyFont="1" applyFill="1" applyBorder="1" applyProtection="1"/>
    <xf numFmtId="165" fontId="19" fillId="59" borderId="67" xfId="128" applyFont="1" applyFill="1" applyBorder="1" applyProtection="1"/>
    <xf numFmtId="165" fontId="19" fillId="59" borderId="30" xfId="128" applyFont="1" applyFill="1" applyBorder="1" applyProtection="1"/>
    <xf numFmtId="165" fontId="19" fillId="58" borderId="27" xfId="128" applyFont="1" applyFill="1" applyBorder="1" applyProtection="1"/>
    <xf numFmtId="165" fontId="19" fillId="58" borderId="23" xfId="128" applyFont="1" applyFill="1" applyBorder="1" applyProtection="1"/>
    <xf numFmtId="165" fontId="19" fillId="58" borderId="23" xfId="128" quotePrefix="1" applyFont="1" applyFill="1" applyBorder="1" applyAlignment="1" applyProtection="1">
      <alignment horizontal="left"/>
    </xf>
    <xf numFmtId="165" fontId="19" fillId="58" borderId="0" xfId="128" applyFont="1" applyFill="1" applyProtection="1"/>
    <xf numFmtId="0" fontId="14" fillId="24" borderId="68" xfId="0" applyFont="1" applyFill="1" applyBorder="1" applyAlignment="1" applyProtection="1">
      <alignment horizontal="center"/>
    </xf>
    <xf numFmtId="0" fontId="14" fillId="0" borderId="23" xfId="0" applyFont="1" applyBorder="1" applyAlignment="1" applyProtection="1">
      <alignment horizontal="right"/>
    </xf>
    <xf numFmtId="0" fontId="97" fillId="58" borderId="0" xfId="0" applyFont="1" applyFill="1" applyBorder="1" applyProtection="1"/>
    <xf numFmtId="164" fontId="32" fillId="58" borderId="0" xfId="56" applyNumberFormat="1" applyFont="1" applyFill="1" applyBorder="1" applyProtection="1"/>
    <xf numFmtId="0" fontId="2" fillId="58" borderId="0" xfId="0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60" borderId="52" xfId="0" applyFont="1" applyFill="1" applyBorder="1" applyAlignment="1" applyProtection="1">
      <alignment horizontal="right" wrapText="1"/>
    </xf>
    <xf numFmtId="0" fontId="14" fillId="24" borderId="47" xfId="0" applyFont="1" applyFill="1" applyBorder="1" applyAlignment="1" applyProtection="1">
      <alignment horizontal="center"/>
    </xf>
    <xf numFmtId="164" fontId="0" fillId="0" borderId="26" xfId="56" applyNumberFormat="1" applyFont="1" applyFill="1" applyBorder="1" applyProtection="1"/>
    <xf numFmtId="0" fontId="14" fillId="0" borderId="29" xfId="0" applyFont="1" applyBorder="1" applyAlignment="1" applyProtection="1">
      <alignment horizontal="right"/>
    </xf>
    <xf numFmtId="0" fontId="97" fillId="58" borderId="69" xfId="0" applyFont="1" applyFill="1" applyBorder="1" applyProtection="1"/>
    <xf numFmtId="164" fontId="32" fillId="58" borderId="69" xfId="56" applyNumberFormat="1" applyFont="1" applyFill="1" applyBorder="1" applyProtection="1"/>
    <xf numFmtId="0" fontId="2" fillId="60" borderId="70" xfId="0" applyFont="1" applyFill="1" applyBorder="1" applyAlignment="1" applyProtection="1">
      <alignment horizontal="right" wrapText="1"/>
    </xf>
    <xf numFmtId="0" fontId="2" fillId="24" borderId="21" xfId="0" applyFont="1" applyFill="1" applyBorder="1" applyAlignment="1" applyProtection="1">
      <alignment horizontal="right" wrapText="1"/>
    </xf>
    <xf numFmtId="0" fontId="0" fillId="24" borderId="71" xfId="0" applyFill="1" applyBorder="1" applyProtection="1"/>
    <xf numFmtId="0" fontId="14" fillId="24" borderId="71" xfId="0" applyFont="1" applyFill="1" applyBorder="1" applyAlignment="1" applyProtection="1">
      <alignment horizontal="center"/>
    </xf>
    <xf numFmtId="0" fontId="14" fillId="24" borderId="72" xfId="0" applyFont="1" applyFill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164" fontId="0" fillId="0" borderId="20" xfId="56" applyNumberFormat="1" applyFont="1" applyFill="1" applyBorder="1" applyProtection="1">
      <protection locked="0"/>
    </xf>
    <xf numFmtId="0" fontId="97" fillId="58" borderId="20" xfId="0" applyFont="1" applyFill="1" applyBorder="1" applyProtection="1"/>
    <xf numFmtId="164" fontId="32" fillId="58" borderId="20" xfId="56" applyNumberFormat="1" applyFont="1" applyFill="1" applyBorder="1" applyProtection="1"/>
    <xf numFmtId="164" fontId="0" fillId="0" borderId="30" xfId="56" applyNumberFormat="1" applyFont="1" applyFill="1" applyBorder="1" applyProtection="1"/>
    <xf numFmtId="165" fontId="21" fillId="58" borderId="0" xfId="128" applyFont="1" applyFill="1" applyBorder="1" applyAlignment="1" applyProtection="1">
      <alignment horizontal="center"/>
    </xf>
    <xf numFmtId="165" fontId="5" fillId="58" borderId="0" xfId="128" applyFill="1" applyBorder="1" applyAlignment="1" applyProtection="1">
      <alignment horizontal="left" vertical="top" wrapText="1"/>
      <protection locked="0"/>
    </xf>
    <xf numFmtId="165" fontId="4" fillId="58" borderId="0" xfId="128" applyFont="1" applyFill="1" applyBorder="1" applyAlignment="1" applyProtection="1">
      <alignment horizontal="right"/>
    </xf>
    <xf numFmtId="41" fontId="4" fillId="58" borderId="0" xfId="128" applyNumberFormat="1" applyFont="1" applyFill="1" applyBorder="1" applyAlignment="1" applyProtection="1">
      <alignment horizontal="left" vertical="top"/>
      <protection locked="0"/>
    </xf>
    <xf numFmtId="165" fontId="4" fillId="58" borderId="0" xfId="128" applyFont="1" applyFill="1" applyBorder="1" applyAlignment="1" applyProtection="1">
      <alignment horizontal="left"/>
    </xf>
    <xf numFmtId="165" fontId="4" fillId="58" borderId="0" xfId="128" applyFont="1" applyFill="1" applyBorder="1" applyAlignment="1" applyProtection="1">
      <alignment horizontal="center"/>
    </xf>
    <xf numFmtId="37" fontId="7" fillId="26" borderId="73" xfId="129" applyNumberFormat="1" applyFont="1" applyFill="1" applyBorder="1" applyProtection="1"/>
    <xf numFmtId="37" fontId="12" fillId="58" borderId="36" xfId="56" applyNumberFormat="1" applyFont="1" applyFill="1" applyBorder="1" applyAlignment="1" applyProtection="1">
      <protection locked="0"/>
    </xf>
    <xf numFmtId="37" fontId="12" fillId="58" borderId="31" xfId="56" applyNumberFormat="1" applyFont="1" applyFill="1" applyBorder="1" applyAlignment="1" applyProtection="1">
      <protection locked="0"/>
    </xf>
    <xf numFmtId="37" fontId="12" fillId="58" borderId="74" xfId="56" applyNumberFormat="1" applyFont="1" applyFill="1" applyBorder="1" applyAlignment="1" applyProtection="1">
      <protection locked="0"/>
    </xf>
    <xf numFmtId="37" fontId="6" fillId="26" borderId="18" xfId="129" applyNumberFormat="1" applyFont="1" applyFill="1" applyBorder="1" applyProtection="1"/>
    <xf numFmtId="37" fontId="7" fillId="58" borderId="17" xfId="56" applyNumberFormat="1" applyFont="1" applyFill="1" applyBorder="1" applyProtection="1"/>
    <xf numFmtId="37" fontId="7" fillId="58" borderId="68" xfId="56" applyNumberFormat="1" applyFont="1" applyFill="1" applyBorder="1" applyProtection="1"/>
    <xf numFmtId="164" fontId="6" fillId="25" borderId="75" xfId="56" applyNumberFormat="1" applyFont="1" applyFill="1" applyBorder="1" applyProtection="1"/>
    <xf numFmtId="164" fontId="6" fillId="25" borderId="76" xfId="56" applyNumberFormat="1" applyFont="1" applyFill="1" applyBorder="1" applyProtection="1"/>
    <xf numFmtId="164" fontId="7" fillId="58" borderId="0" xfId="56" applyNumberFormat="1" applyFont="1" applyFill="1" applyBorder="1" applyProtection="1"/>
    <xf numFmtId="164" fontId="7" fillId="58" borderId="26" xfId="56" applyNumberFormat="1" applyFont="1" applyFill="1" applyBorder="1" applyProtection="1"/>
    <xf numFmtId="164" fontId="6" fillId="25" borderId="75" xfId="56" applyNumberFormat="1" applyFont="1" applyFill="1" applyBorder="1" applyAlignment="1" applyProtection="1">
      <alignment horizontal="right"/>
    </xf>
    <xf numFmtId="166" fontId="2" fillId="26" borderId="62" xfId="129" quotePrefix="1" applyFont="1" applyFill="1" applyBorder="1" applyAlignment="1" applyProtection="1">
      <alignment horizontal="right"/>
    </xf>
    <xf numFmtId="178" fontId="5" fillId="58" borderId="0" xfId="129" applyNumberFormat="1" applyFill="1" applyProtection="1"/>
    <xf numFmtId="165" fontId="19" fillId="58" borderId="77" xfId="128" applyFont="1" applyFill="1" applyBorder="1" applyAlignment="1" applyProtection="1"/>
    <xf numFmtId="0" fontId="2" fillId="24" borderId="78" xfId="0" quotePrefix="1" applyFont="1" applyFill="1" applyBorder="1" applyAlignment="1" applyProtection="1">
      <alignment horizontal="right"/>
    </xf>
    <xf numFmtId="165" fontId="4" fillId="58" borderId="0" xfId="128" applyFont="1" applyFill="1" applyBorder="1" applyAlignment="1" applyProtection="1">
      <alignment horizontal="right"/>
    </xf>
    <xf numFmtId="37" fontId="15" fillId="60" borderId="68" xfId="0" applyNumberFormat="1" applyFont="1" applyFill="1" applyBorder="1" applyAlignment="1" applyProtection="1"/>
    <xf numFmtId="37" fontId="0" fillId="24" borderId="32" xfId="0" applyNumberFormat="1" applyFill="1" applyBorder="1" applyProtection="1"/>
    <xf numFmtId="37" fontId="14" fillId="24" borderId="68" xfId="0" applyNumberFormat="1" applyFont="1" applyFill="1" applyBorder="1" applyAlignment="1" applyProtection="1">
      <alignment horizontal="center"/>
    </xf>
    <xf numFmtId="37" fontId="0" fillId="0" borderId="32" xfId="56" applyNumberFormat="1" applyFont="1" applyFill="1" applyBorder="1" applyProtection="1">
      <protection locked="0"/>
    </xf>
    <xf numFmtId="39" fontId="15" fillId="60" borderId="47" xfId="0" applyNumberFormat="1" applyFont="1" applyFill="1" applyBorder="1" applyAlignment="1" applyProtection="1"/>
    <xf numFmtId="39" fontId="14" fillId="24" borderId="47" xfId="0" applyNumberFormat="1" applyFont="1" applyFill="1" applyBorder="1" applyAlignment="1" applyProtection="1">
      <alignment horizontal="center"/>
    </xf>
    <xf numFmtId="39" fontId="0" fillId="0" borderId="48" xfId="56" applyNumberFormat="1" applyFont="1" applyFill="1" applyBorder="1" applyProtection="1"/>
    <xf numFmtId="39" fontId="0" fillId="0" borderId="76" xfId="56" applyNumberFormat="1" applyFont="1" applyFill="1" applyBorder="1" applyProtection="1"/>
    <xf numFmtId="37" fontId="0" fillId="0" borderId="68" xfId="56" applyNumberFormat="1" applyFont="1" applyFill="1" applyBorder="1" applyProtection="1">
      <protection locked="0"/>
    </xf>
    <xf numFmtId="39" fontId="0" fillId="0" borderId="47" xfId="56" applyNumberFormat="1" applyFont="1" applyFill="1" applyBorder="1" applyProtection="1"/>
    <xf numFmtId="37" fontId="15" fillId="60" borderId="14" xfId="0" applyNumberFormat="1" applyFont="1" applyFill="1" applyBorder="1" applyAlignment="1" applyProtection="1"/>
    <xf numFmtId="39" fontId="15" fillId="60" borderId="57" xfId="0" applyNumberFormat="1" applyFont="1" applyFill="1" applyBorder="1" applyAlignment="1" applyProtection="1"/>
    <xf numFmtId="37" fontId="0" fillId="0" borderId="14" xfId="56" applyNumberFormat="1" applyFont="1" applyFill="1" applyBorder="1" applyProtection="1">
      <protection locked="0"/>
    </xf>
    <xf numFmtId="37" fontId="0" fillId="0" borderId="57" xfId="56" applyNumberFormat="1" applyFont="1" applyFill="1" applyBorder="1" applyProtection="1"/>
    <xf numFmtId="37" fontId="0" fillId="0" borderId="35" xfId="56" applyNumberFormat="1" applyFont="1" applyFill="1" applyBorder="1" applyProtection="1">
      <protection locked="0"/>
    </xf>
    <xf numFmtId="37" fontId="0" fillId="0" borderId="75" xfId="56" applyNumberFormat="1" applyFont="1" applyFill="1" applyBorder="1" applyProtection="1"/>
    <xf numFmtId="37" fontId="0" fillId="0" borderId="76" xfId="56" applyNumberFormat="1" applyFont="1" applyFill="1" applyBorder="1" applyProtection="1"/>
    <xf numFmtId="37" fontId="0" fillId="0" borderId="35" xfId="56" applyNumberFormat="1" applyFont="1" applyFill="1" applyBorder="1" applyProtection="1"/>
    <xf numFmtId="37" fontId="0" fillId="0" borderId="14" xfId="56" applyNumberFormat="1" applyFont="1" applyFill="1" applyBorder="1" applyProtection="1"/>
    <xf numFmtId="37" fontId="2" fillId="58" borderId="0" xfId="56" applyNumberFormat="1" applyFont="1" applyFill="1" applyBorder="1" applyProtection="1"/>
    <xf numFmtId="37" fontId="98" fillId="58" borderId="0" xfId="0" applyNumberFormat="1" applyFont="1" applyFill="1" applyBorder="1" applyProtection="1"/>
    <xf numFmtId="37" fontId="2" fillId="58" borderId="26" xfId="56" applyNumberFormat="1" applyFont="1" applyFill="1" applyBorder="1" applyProtection="1"/>
    <xf numFmtId="37" fontId="0" fillId="24" borderId="75" xfId="0" applyNumberFormat="1" applyFill="1" applyBorder="1" applyProtection="1"/>
    <xf numFmtId="37" fontId="0" fillId="24" borderId="76" xfId="0" applyNumberFormat="1" applyFill="1" applyBorder="1" applyProtection="1"/>
    <xf numFmtId="37" fontId="5" fillId="58" borderId="0" xfId="128" applyNumberFormat="1" applyFill="1" applyBorder="1" applyAlignment="1" applyProtection="1"/>
    <xf numFmtId="37" fontId="5" fillId="58" borderId="26" xfId="128" applyNumberFormat="1" applyFill="1" applyBorder="1" applyAlignment="1" applyProtection="1"/>
    <xf numFmtId="0" fontId="14" fillId="0" borderId="37" xfId="0" applyFont="1" applyBorder="1" applyAlignment="1" applyProtection="1">
      <alignment horizontal="left"/>
    </xf>
    <xf numFmtId="0" fontId="2" fillId="24" borderId="15" xfId="0" applyFont="1" applyFill="1" applyBorder="1" applyAlignment="1" applyProtection="1">
      <alignment horizontal="center"/>
    </xf>
    <xf numFmtId="37" fontId="15" fillId="60" borderId="68" xfId="0" applyNumberFormat="1" applyFont="1" applyFill="1" applyBorder="1" applyProtection="1"/>
    <xf numFmtId="0" fontId="2" fillId="24" borderId="16" xfId="0" applyFont="1" applyFill="1" applyBorder="1" applyAlignment="1" applyProtection="1"/>
    <xf numFmtId="0" fontId="2" fillId="61" borderId="37" xfId="0" applyFont="1" applyFill="1" applyBorder="1" applyAlignment="1" applyProtection="1">
      <alignment horizontal="center"/>
    </xf>
    <xf numFmtId="164" fontId="32" fillId="58" borderId="0" xfId="56" applyNumberFormat="1" applyFont="1" applyFill="1" applyBorder="1" applyProtection="1">
      <protection locked="0"/>
    </xf>
    <xf numFmtId="0" fontId="2" fillId="61" borderId="17" xfId="0" applyFont="1" applyFill="1" applyBorder="1" applyAlignment="1" applyProtection="1">
      <alignment horizontal="center" wrapText="1"/>
    </xf>
    <xf numFmtId="0" fontId="2" fillId="61" borderId="14" xfId="0" applyFont="1" applyFill="1" applyBorder="1" applyAlignment="1" applyProtection="1">
      <alignment horizontal="center" wrapText="1"/>
    </xf>
    <xf numFmtId="0" fontId="2" fillId="61" borderId="68" xfId="0" applyFont="1" applyFill="1" applyBorder="1" applyAlignment="1" applyProtection="1">
      <alignment horizontal="center" wrapText="1"/>
    </xf>
    <xf numFmtId="0" fontId="15" fillId="60" borderId="68" xfId="0" applyFont="1" applyFill="1" applyBorder="1" applyAlignment="1" applyProtection="1">
      <alignment horizontal="left" wrapText="1"/>
    </xf>
    <xf numFmtId="39" fontId="32" fillId="58" borderId="48" xfId="56" applyNumberFormat="1" applyFont="1" applyFill="1" applyBorder="1" applyProtection="1"/>
    <xf numFmtId="164" fontId="32" fillId="58" borderId="26" xfId="56" applyNumberFormat="1" applyFont="1" applyFill="1" applyBorder="1" applyProtection="1"/>
    <xf numFmtId="0" fontId="2" fillId="58" borderId="0" xfId="0" applyFont="1" applyFill="1" applyBorder="1" applyAlignment="1" applyProtection="1">
      <alignment horizontal="center"/>
    </xf>
    <xf numFmtId="164" fontId="32" fillId="58" borderId="69" xfId="56" applyNumberFormat="1" applyFont="1" applyFill="1" applyBorder="1" applyProtection="1">
      <protection locked="0"/>
    </xf>
    <xf numFmtId="164" fontId="32" fillId="58" borderId="79" xfId="56" applyNumberFormat="1" applyFont="1" applyFill="1" applyBorder="1" applyProtection="1"/>
    <xf numFmtId="37" fontId="32" fillId="58" borderId="33" xfId="56" applyNumberFormat="1" applyFont="1" applyFill="1" applyBorder="1" applyProtection="1">
      <protection locked="0"/>
    </xf>
    <xf numFmtId="37" fontId="32" fillId="58" borderId="42" xfId="56" applyNumberFormat="1" applyFont="1" applyFill="1" applyBorder="1" applyProtection="1">
      <protection locked="0"/>
    </xf>
    <xf numFmtId="0" fontId="2" fillId="0" borderId="75" xfId="0" applyFont="1" applyBorder="1" applyAlignment="1" applyProtection="1">
      <alignment horizontal="center"/>
    </xf>
    <xf numFmtId="0" fontId="2" fillId="58" borderId="80" xfId="0" applyFont="1" applyFill="1" applyBorder="1" applyAlignment="1" applyProtection="1">
      <alignment horizontal="center"/>
    </xf>
    <xf numFmtId="0" fontId="2" fillId="58" borderId="81" xfId="0" applyFont="1" applyFill="1" applyBorder="1" applyAlignment="1" applyProtection="1">
      <alignment horizontal="center"/>
    </xf>
    <xf numFmtId="0" fontId="2" fillId="58" borderId="82" xfId="0" applyFont="1" applyFill="1" applyBorder="1" applyAlignment="1" applyProtection="1">
      <alignment horizontal="center"/>
    </xf>
    <xf numFmtId="165" fontId="4" fillId="58" borderId="0" xfId="128" applyFont="1" applyFill="1" applyBorder="1" applyAlignment="1" applyProtection="1"/>
    <xf numFmtId="165" fontId="4" fillId="58" borderId="0" xfId="128" applyFont="1" applyFill="1" applyBorder="1" applyAlignment="1" applyProtection="1">
      <alignment wrapText="1"/>
    </xf>
    <xf numFmtId="0" fontId="15" fillId="60" borderId="14" xfId="0" applyFont="1" applyFill="1" applyBorder="1" applyAlignment="1" applyProtection="1">
      <alignment horizontal="left" wrapText="1"/>
    </xf>
    <xf numFmtId="37" fontId="15" fillId="60" borderId="14" xfId="0" applyNumberFormat="1" applyFont="1" applyFill="1" applyBorder="1" applyProtection="1"/>
    <xf numFmtId="0" fontId="2" fillId="58" borderId="75" xfId="0" applyFont="1" applyFill="1" applyBorder="1" applyAlignment="1" applyProtection="1">
      <alignment horizontal="center"/>
    </xf>
    <xf numFmtId="0" fontId="2" fillId="24" borderId="32" xfId="0" applyFont="1" applyFill="1" applyBorder="1" applyAlignment="1" applyProtection="1">
      <alignment horizontal="right" wrapText="1"/>
    </xf>
    <xf numFmtId="37" fontId="14" fillId="24" borderId="32" xfId="0" applyNumberFormat="1" applyFont="1" applyFill="1" applyBorder="1" applyAlignment="1" applyProtection="1">
      <alignment horizontal="center"/>
    </xf>
    <xf numFmtId="39" fontId="14" fillId="24" borderId="48" xfId="0" applyNumberFormat="1" applyFont="1" applyFill="1" applyBorder="1" applyAlignment="1" applyProtection="1">
      <alignment horizontal="center"/>
    </xf>
    <xf numFmtId="37" fontId="32" fillId="58" borderId="68" xfId="56" applyNumberFormat="1" applyFont="1" applyFill="1" applyBorder="1" applyProtection="1">
      <protection locked="0"/>
    </xf>
    <xf numFmtId="39" fontId="32" fillId="58" borderId="47" xfId="56" applyNumberFormat="1" applyFont="1" applyFill="1" applyBorder="1" applyProtection="1"/>
    <xf numFmtId="37" fontId="32" fillId="58" borderId="32" xfId="56" applyNumberFormat="1" applyFont="1" applyFill="1" applyBorder="1" applyProtection="1">
      <protection locked="0"/>
    </xf>
    <xf numFmtId="39" fontId="32" fillId="58" borderId="76" xfId="56" applyNumberFormat="1" applyFont="1" applyFill="1" applyBorder="1" applyProtection="1"/>
    <xf numFmtId="164" fontId="32" fillId="58" borderId="26" xfId="56" applyNumberFormat="1" applyFont="1" applyFill="1" applyBorder="1" applyProtection="1"/>
    <xf numFmtId="0" fontId="14" fillId="58" borderId="83" xfId="0" applyFont="1" applyFill="1" applyBorder="1" applyAlignment="1" applyProtection="1">
      <alignment horizontal="center"/>
    </xf>
    <xf numFmtId="0" fontId="14" fillId="58" borderId="23" xfId="0" quotePrefix="1" applyFont="1" applyFill="1" applyBorder="1" applyAlignment="1" applyProtection="1">
      <alignment horizontal="right"/>
    </xf>
    <xf numFmtId="0" fontId="14" fillId="58" borderId="23" xfId="0" applyFont="1" applyFill="1" applyBorder="1" applyAlignment="1" applyProtection="1">
      <alignment horizontal="right"/>
    </xf>
    <xf numFmtId="0" fontId="14" fillId="58" borderId="29" xfId="0" applyFont="1" applyFill="1" applyBorder="1" applyAlignment="1" applyProtection="1">
      <alignment horizontal="right"/>
    </xf>
    <xf numFmtId="0" fontId="2" fillId="58" borderId="20" xfId="0" applyFont="1" applyFill="1" applyBorder="1" applyAlignment="1" applyProtection="1">
      <alignment horizontal="center"/>
    </xf>
    <xf numFmtId="164" fontId="32" fillId="58" borderId="30" xfId="56" applyNumberFormat="1" applyFont="1" applyFill="1" applyBorder="1" applyProtection="1"/>
    <xf numFmtId="165" fontId="5" fillId="58" borderId="23" xfId="128" applyFill="1" applyBorder="1" applyAlignment="1" applyProtection="1">
      <alignment vertical="top"/>
      <protection locked="0"/>
    </xf>
    <xf numFmtId="165" fontId="5" fillId="58" borderId="0" xfId="128" applyFill="1" applyBorder="1" applyAlignment="1" applyProtection="1">
      <alignment vertical="top"/>
      <protection locked="0"/>
    </xf>
    <xf numFmtId="165" fontId="5" fillId="58" borderId="29" xfId="128" applyFill="1" applyBorder="1" applyAlignment="1" applyProtection="1">
      <alignment vertical="top"/>
      <protection locked="0"/>
    </xf>
    <xf numFmtId="165" fontId="5" fillId="58" borderId="20" xfId="128" applyFill="1" applyBorder="1" applyAlignment="1" applyProtection="1">
      <alignment vertical="top"/>
      <protection locked="0"/>
    </xf>
    <xf numFmtId="165" fontId="5" fillId="58" borderId="20" xfId="128" applyFill="1" applyBorder="1" applyAlignment="1" applyProtection="1">
      <alignment horizontal="left" vertical="top"/>
      <protection locked="0"/>
    </xf>
    <xf numFmtId="165" fontId="4" fillId="58" borderId="20" xfId="128" applyFont="1" applyFill="1" applyBorder="1" applyAlignment="1" applyProtection="1">
      <alignment vertical="top"/>
      <protection locked="0"/>
    </xf>
    <xf numFmtId="165" fontId="4" fillId="58" borderId="30" xfId="128" applyFont="1" applyFill="1" applyBorder="1" applyAlignment="1" applyProtection="1">
      <alignment vertical="top"/>
      <protection locked="0"/>
    </xf>
    <xf numFmtId="165" fontId="5" fillId="58" borderId="0" xfId="128" applyFill="1" applyBorder="1" applyAlignment="1" applyProtection="1">
      <alignment horizontal="left" vertical="top"/>
      <protection locked="0"/>
    </xf>
    <xf numFmtId="37" fontId="15" fillId="60" borderId="37" xfId="0" applyNumberFormat="1" applyFont="1" applyFill="1" applyBorder="1" applyProtection="1"/>
    <xf numFmtId="37" fontId="0" fillId="24" borderId="41" xfId="0" applyNumberFormat="1" applyFill="1" applyBorder="1" applyProtection="1"/>
    <xf numFmtId="0" fontId="2" fillId="24" borderId="17" xfId="0" applyFont="1" applyFill="1" applyBorder="1" applyAlignment="1" applyProtection="1"/>
    <xf numFmtId="0" fontId="2" fillId="24" borderId="14" xfId="0" applyFont="1" applyFill="1" applyBorder="1" applyAlignment="1" applyProtection="1">
      <alignment horizontal="center"/>
    </xf>
    <xf numFmtId="0" fontId="2" fillId="61" borderId="68" xfId="0" applyFont="1" applyFill="1" applyBorder="1" applyAlignment="1" applyProtection="1">
      <alignment horizontal="center"/>
    </xf>
    <xf numFmtId="0" fontId="2" fillId="58" borderId="68" xfId="0" applyFont="1" applyFill="1" applyBorder="1" applyAlignment="1" applyProtection="1">
      <alignment horizontal="center" wrapText="1"/>
    </xf>
    <xf numFmtId="0" fontId="2" fillId="58" borderId="37" xfId="0" applyFont="1" applyFill="1" applyBorder="1" applyAlignment="1" applyProtection="1">
      <alignment horizontal="center"/>
    </xf>
    <xf numFmtId="0" fontId="2" fillId="58" borderId="68" xfId="0" applyFont="1" applyFill="1" applyBorder="1" applyAlignment="1" applyProtection="1">
      <alignment horizontal="center"/>
    </xf>
    <xf numFmtId="0" fontId="2" fillId="58" borderId="33" xfId="0" applyFont="1" applyFill="1" applyBorder="1" applyAlignment="1" applyProtection="1">
      <alignment horizontal="center"/>
    </xf>
    <xf numFmtId="0" fontId="2" fillId="58" borderId="47" xfId="0" applyFont="1" applyFill="1" applyBorder="1" applyAlignment="1" applyProtection="1">
      <alignment horizontal="center"/>
    </xf>
    <xf numFmtId="165" fontId="19" fillId="58" borderId="84" xfId="128" quotePrefix="1" applyFont="1" applyFill="1" applyBorder="1" applyAlignment="1" applyProtection="1">
      <alignment horizontal="right" vertical="top"/>
    </xf>
    <xf numFmtId="165" fontId="99" fillId="58" borderId="0" xfId="128" applyFont="1" applyFill="1" applyProtection="1"/>
    <xf numFmtId="165" fontId="5" fillId="58" borderId="0" xfId="128" applyFill="1" applyBorder="1" applyAlignment="1" applyProtection="1">
      <alignment horizontal="left" vertical="top" wrapText="1"/>
      <protection locked="0"/>
    </xf>
    <xf numFmtId="165" fontId="21" fillId="58" borderId="0" xfId="128" applyFont="1" applyFill="1" applyBorder="1" applyAlignment="1" applyProtection="1">
      <alignment horizontal="center"/>
    </xf>
    <xf numFmtId="0" fontId="14" fillId="0" borderId="13" xfId="0" applyFont="1" applyBorder="1" applyAlignment="1" applyProtection="1">
      <alignment horizontal="left"/>
    </xf>
    <xf numFmtId="165" fontId="4" fillId="58" borderId="0" xfId="128" applyFont="1" applyFill="1" applyBorder="1" applyAlignment="1" applyProtection="1">
      <alignment horizontal="right"/>
    </xf>
    <xf numFmtId="41" fontId="4" fillId="58" borderId="0" xfId="128" applyNumberFormat="1" applyFont="1" applyFill="1" applyBorder="1" applyAlignment="1" applyProtection="1">
      <alignment horizontal="left" vertical="top"/>
      <protection locked="0"/>
    </xf>
    <xf numFmtId="165" fontId="4" fillId="58" borderId="0" xfId="128" applyFont="1" applyFill="1" applyBorder="1" applyAlignment="1" applyProtection="1">
      <alignment horizontal="left"/>
    </xf>
    <xf numFmtId="165" fontId="4" fillId="58" borderId="0" xfId="128" applyFont="1" applyFill="1" applyBorder="1" applyAlignment="1" applyProtection="1">
      <alignment horizontal="center"/>
    </xf>
    <xf numFmtId="165" fontId="21" fillId="58" borderId="0" xfId="128" applyFont="1" applyFill="1" applyBorder="1" applyAlignment="1" applyProtection="1">
      <alignment horizontal="center"/>
    </xf>
    <xf numFmtId="166" fontId="7" fillId="58" borderId="0" xfId="129" applyFont="1" applyFill="1" applyBorder="1" applyAlignment="1" applyProtection="1">
      <alignment horizontal="left"/>
    </xf>
    <xf numFmtId="165" fontId="4" fillId="58" borderId="0" xfId="128" applyFont="1" applyFill="1" applyBorder="1" applyAlignment="1" applyProtection="1">
      <alignment horizontal="right"/>
    </xf>
    <xf numFmtId="165" fontId="4" fillId="58" borderId="0" xfId="128" applyFont="1" applyFill="1" applyBorder="1" applyAlignment="1" applyProtection="1">
      <alignment horizontal="left"/>
    </xf>
    <xf numFmtId="0" fontId="2" fillId="24" borderId="41" xfId="0" applyFont="1" applyFill="1" applyBorder="1" applyAlignment="1" applyProtection="1">
      <alignment horizontal="centerContinuous"/>
    </xf>
    <xf numFmtId="0" fontId="2" fillId="24" borderId="32" xfId="0" applyFont="1" applyFill="1" applyBorder="1" applyAlignment="1" applyProtection="1">
      <alignment horizontal="centerContinuous"/>
    </xf>
    <xf numFmtId="166" fontId="6" fillId="0" borderId="85" xfId="129" applyFont="1" applyBorder="1" applyAlignment="1" applyProtection="1">
      <alignment horizontal="center"/>
    </xf>
    <xf numFmtId="37" fontId="7" fillId="58" borderId="33" xfId="129" applyNumberFormat="1" applyFont="1" applyFill="1" applyBorder="1" applyAlignment="1" applyProtection="1">
      <protection locked="0"/>
    </xf>
    <xf numFmtId="165" fontId="21" fillId="58" borderId="0" xfId="128" applyFont="1" applyFill="1" applyBorder="1" applyAlignment="1" applyProtection="1">
      <alignment horizontal="center"/>
    </xf>
    <xf numFmtId="165" fontId="4" fillId="58" borderId="0" xfId="128" applyFont="1" applyFill="1" applyBorder="1" applyAlignment="1" applyProtection="1">
      <alignment horizontal="left"/>
    </xf>
    <xf numFmtId="165" fontId="21" fillId="58" borderId="0" xfId="128" applyFont="1" applyFill="1" applyBorder="1" applyAlignment="1" applyProtection="1">
      <alignment horizontal="center"/>
    </xf>
    <xf numFmtId="166" fontId="7" fillId="58" borderId="15" xfId="129" applyFont="1" applyFill="1" applyBorder="1" applyAlignment="1" applyProtection="1">
      <alignment horizontal="left"/>
    </xf>
    <xf numFmtId="166" fontId="7" fillId="58" borderId="35" xfId="129" applyFont="1" applyFill="1" applyBorder="1" applyAlignment="1" applyProtection="1">
      <alignment horizontal="left"/>
    </xf>
    <xf numFmtId="14" fontId="4" fillId="58" borderId="86" xfId="128" applyNumberFormat="1" applyFont="1" applyFill="1" applyBorder="1" applyAlignment="1" applyProtection="1">
      <alignment horizontal="center"/>
    </xf>
    <xf numFmtId="166" fontId="7" fillId="58" borderId="16" xfId="129" applyFont="1" applyFill="1" applyBorder="1" applyAlignment="1" applyProtection="1">
      <alignment horizontal="left"/>
    </xf>
    <xf numFmtId="165" fontId="4" fillId="58" borderId="20" xfId="128" applyFont="1" applyFill="1" applyBorder="1" applyAlignment="1" applyProtection="1">
      <alignment horizontal="left" vertical="top"/>
    </xf>
    <xf numFmtId="166" fontId="7" fillId="58" borderId="0" xfId="129" applyFont="1" applyFill="1" applyBorder="1" applyAlignment="1" applyProtection="1">
      <alignment horizontal="left"/>
    </xf>
    <xf numFmtId="0" fontId="2" fillId="61" borderId="19" xfId="0" applyFont="1" applyFill="1" applyBorder="1" applyAlignment="1" applyProtection="1">
      <alignment horizontal="center" wrapText="1"/>
    </xf>
    <xf numFmtId="0" fontId="14" fillId="58" borderId="41" xfId="0" applyFont="1" applyFill="1" applyBorder="1" applyAlignment="1" applyProtection="1">
      <alignment horizontal="left"/>
    </xf>
    <xf numFmtId="0" fontId="14" fillId="58" borderId="13" xfId="0" applyFont="1" applyFill="1" applyBorder="1" applyAlignment="1" applyProtection="1">
      <alignment horizontal="left"/>
    </xf>
    <xf numFmtId="0" fontId="14" fillId="58" borderId="42" xfId="0" applyFont="1" applyFill="1" applyBorder="1" applyAlignment="1" applyProtection="1">
      <alignment horizontal="left"/>
    </xf>
    <xf numFmtId="0" fontId="2" fillId="61" borderId="23" xfId="0" applyFont="1" applyFill="1" applyBorder="1" applyAlignment="1" applyProtection="1">
      <alignment horizontal="center" wrapText="1"/>
    </xf>
    <xf numFmtId="0" fontId="2" fillId="61" borderId="51" xfId="0" applyFont="1" applyFill="1" applyBorder="1" applyAlignment="1" applyProtection="1">
      <alignment horizontal="center" wrapText="1"/>
    </xf>
    <xf numFmtId="0" fontId="2" fillId="58" borderId="83" xfId="0" applyFont="1" applyFill="1" applyBorder="1" applyAlignment="1" applyProtection="1">
      <alignment horizontal="center"/>
    </xf>
    <xf numFmtId="0" fontId="14" fillId="58" borderId="0" xfId="0" applyFont="1" applyFill="1" applyBorder="1" applyAlignment="1" applyProtection="1">
      <alignment horizontal="center"/>
    </xf>
    <xf numFmtId="0" fontId="2" fillId="61" borderId="32" xfId="0" applyFont="1" applyFill="1" applyBorder="1" applyAlignment="1" applyProtection="1">
      <alignment horizontal="center" wrapText="1"/>
    </xf>
    <xf numFmtId="165" fontId="4" fillId="58" borderId="0" xfId="128" applyFont="1" applyFill="1" applyBorder="1" applyAlignment="1" applyProtection="1">
      <alignment horizontal="right"/>
    </xf>
    <xf numFmtId="165" fontId="4" fillId="58" borderId="0" xfId="128" applyFont="1" applyFill="1" applyBorder="1" applyAlignment="1" applyProtection="1">
      <alignment wrapText="1"/>
    </xf>
    <xf numFmtId="165" fontId="4" fillId="58" borderId="0" xfId="128" applyFont="1" applyFill="1" applyBorder="1" applyAlignment="1" applyProtection="1">
      <alignment horizontal="left"/>
    </xf>
    <xf numFmtId="165" fontId="4" fillId="58" borderId="87" xfId="128" applyFont="1" applyFill="1" applyBorder="1" applyAlignment="1" applyProtection="1">
      <alignment horizontal="center"/>
    </xf>
    <xf numFmtId="166" fontId="7" fillId="58" borderId="33" xfId="129" applyFont="1" applyFill="1" applyBorder="1" applyAlignment="1" applyProtection="1">
      <alignment horizontal="left"/>
      <protection locked="0"/>
    </xf>
    <xf numFmtId="166" fontId="7" fillId="58" borderId="42" xfId="129" quotePrefix="1" applyFont="1" applyFill="1" applyBorder="1" applyAlignment="1" applyProtection="1">
      <alignment horizontal="left"/>
      <protection locked="0"/>
    </xf>
    <xf numFmtId="166" fontId="7" fillId="58" borderId="42" xfId="129" applyFont="1" applyFill="1" applyBorder="1" applyAlignment="1" applyProtection="1">
      <alignment horizontal="left"/>
      <protection locked="0"/>
    </xf>
    <xf numFmtId="41" fontId="4" fillId="58" borderId="20" xfId="128" applyNumberFormat="1" applyFont="1" applyFill="1" applyBorder="1" applyAlignment="1" applyProtection="1">
      <alignment vertical="top"/>
    </xf>
    <xf numFmtId="41" fontId="4" fillId="58" borderId="30" xfId="128" applyNumberFormat="1" applyFont="1" applyFill="1" applyBorder="1" applyAlignment="1" applyProtection="1">
      <alignment vertical="top"/>
    </xf>
    <xf numFmtId="166" fontId="7" fillId="58" borderId="0" xfId="129" applyFont="1" applyFill="1" applyBorder="1" applyAlignment="1" applyProtection="1">
      <alignment horizontal="left"/>
      <protection locked="0"/>
    </xf>
    <xf numFmtId="166" fontId="7" fillId="58" borderId="0" xfId="129" quotePrefix="1" applyFont="1" applyFill="1" applyBorder="1" applyAlignment="1" applyProtection="1">
      <alignment horizontal="left"/>
      <protection locked="0"/>
    </xf>
    <xf numFmtId="164" fontId="12" fillId="58" borderId="0" xfId="56" applyNumberFormat="1" applyFont="1" applyFill="1" applyBorder="1" applyProtection="1"/>
    <xf numFmtId="37" fontId="28" fillId="58" borderId="20" xfId="129" applyNumberFormat="1" applyFont="1" applyFill="1" applyBorder="1" applyProtection="1"/>
    <xf numFmtId="37" fontId="12" fillId="58" borderId="20" xfId="129" applyNumberFormat="1" applyFont="1" applyFill="1" applyBorder="1" applyProtection="1"/>
    <xf numFmtId="166" fontId="7" fillId="58" borderId="33" xfId="129" quotePrefix="1" applyFont="1" applyFill="1" applyBorder="1" applyAlignment="1" applyProtection="1">
      <alignment horizontal="left"/>
      <protection locked="0"/>
    </xf>
    <xf numFmtId="165" fontId="5" fillId="58" borderId="0" xfId="128" applyFill="1" applyBorder="1" applyAlignment="1" applyProtection="1">
      <alignment horizontal="right" vertical="top" wrapText="1"/>
    </xf>
    <xf numFmtId="165" fontId="5" fillId="58" borderId="0" xfId="128" applyFill="1" applyBorder="1" applyAlignment="1" applyProtection="1">
      <alignment horizontal="left" vertical="top" wrapText="1"/>
    </xf>
    <xf numFmtId="37" fontId="32" fillId="58" borderId="75" xfId="56" applyNumberFormat="1" applyFont="1" applyFill="1" applyBorder="1" applyProtection="1"/>
    <xf numFmtId="0" fontId="14" fillId="0" borderId="23" xfId="0" quotePrefix="1" applyFont="1" applyBorder="1" applyAlignment="1" applyProtection="1">
      <alignment horizontal="right"/>
      <protection locked="0"/>
    </xf>
    <xf numFmtId="0" fontId="14" fillId="58" borderId="42" xfId="0" applyFont="1" applyFill="1" applyBorder="1" applyAlignment="1" applyProtection="1">
      <alignment horizontal="left"/>
      <protection locked="0"/>
    </xf>
    <xf numFmtId="37" fontId="14" fillId="58" borderId="32" xfId="56" applyNumberFormat="1" applyFont="1" applyFill="1" applyBorder="1" applyProtection="1">
      <protection locked="0"/>
    </xf>
    <xf numFmtId="37" fontId="14" fillId="58" borderId="32" xfId="0" applyNumberFormat="1" applyFont="1" applyFill="1" applyBorder="1" applyProtection="1">
      <protection locked="0"/>
    </xf>
    <xf numFmtId="0" fontId="14" fillId="0" borderId="42" xfId="0" applyFont="1" applyBorder="1" applyAlignment="1" applyProtection="1">
      <alignment horizontal="left"/>
      <protection locked="0"/>
    </xf>
    <xf numFmtId="0" fontId="14" fillId="58" borderId="33" xfId="0" applyFont="1" applyFill="1" applyBorder="1" applyAlignment="1" applyProtection="1">
      <alignment horizontal="left"/>
      <protection locked="0"/>
    </xf>
    <xf numFmtId="37" fontId="14" fillId="58" borderId="68" xfId="0" applyNumberFormat="1" applyFont="1" applyFill="1" applyBorder="1" applyProtection="1">
      <protection locked="0"/>
    </xf>
    <xf numFmtId="37" fontId="32" fillId="58" borderId="83" xfId="56" applyNumberFormat="1" applyFont="1" applyFill="1" applyBorder="1" applyProtection="1"/>
    <xf numFmtId="0" fontId="14" fillId="58" borderId="68" xfId="0" applyFont="1" applyFill="1" applyBorder="1" applyAlignment="1" applyProtection="1">
      <alignment horizontal="left"/>
      <protection locked="0"/>
    </xf>
    <xf numFmtId="0" fontId="14" fillId="58" borderId="32" xfId="0" applyFont="1" applyFill="1" applyBorder="1" applyAlignment="1" applyProtection="1">
      <alignment horizontal="left"/>
      <protection locked="0"/>
    </xf>
    <xf numFmtId="0" fontId="14" fillId="58" borderId="41" xfId="0" applyFont="1" applyFill="1" applyBorder="1" applyAlignment="1" applyProtection="1">
      <alignment horizontal="left"/>
      <protection locked="0"/>
    </xf>
    <xf numFmtId="0" fontId="14" fillId="58" borderId="13" xfId="0" applyFont="1" applyFill="1" applyBorder="1" applyAlignment="1" applyProtection="1">
      <alignment horizontal="left"/>
      <protection locked="0"/>
    </xf>
    <xf numFmtId="0" fontId="14" fillId="0" borderId="33" xfId="0" applyFont="1" applyBorder="1" applyAlignment="1" applyProtection="1">
      <alignment horizontal="left"/>
      <protection locked="0"/>
    </xf>
    <xf numFmtId="164" fontId="0" fillId="0" borderId="0" xfId="56" applyNumberFormat="1" applyFont="1" applyFill="1" applyBorder="1" applyProtection="1"/>
    <xf numFmtId="0" fontId="14" fillId="58" borderId="23" xfId="0" quotePrefix="1" applyFont="1" applyFill="1" applyBorder="1" applyAlignment="1" applyProtection="1">
      <alignment horizontal="right"/>
      <protection locked="0"/>
    </xf>
    <xf numFmtId="41" fontId="4" fillId="58" borderId="20" xfId="128" applyNumberFormat="1" applyFont="1" applyFill="1" applyBorder="1" applyAlignment="1" applyProtection="1">
      <alignment horizontal="left" vertical="top"/>
    </xf>
    <xf numFmtId="41" fontId="4" fillId="58" borderId="20" xfId="128" applyNumberFormat="1" applyFont="1" applyFill="1" applyBorder="1" applyAlignment="1" applyProtection="1">
      <alignment horizontal="center" vertical="top"/>
    </xf>
    <xf numFmtId="41" fontId="4" fillId="58" borderId="30" xfId="128" applyNumberFormat="1" applyFont="1" applyFill="1" applyBorder="1" applyAlignment="1" applyProtection="1">
      <alignment horizontal="center" vertical="top"/>
    </xf>
    <xf numFmtId="0" fontId="14" fillId="0" borderId="56" xfId="0" quotePrefix="1" applyFont="1" applyBorder="1" applyAlignment="1" applyProtection="1">
      <alignment horizontal="right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14" fillId="0" borderId="15" xfId="0" applyFont="1" applyBorder="1" applyProtection="1">
      <protection locked="0"/>
    </xf>
    <xf numFmtId="0" fontId="14" fillId="0" borderId="0" xfId="0" applyFont="1" applyBorder="1" applyProtection="1">
      <protection locked="0"/>
    </xf>
    <xf numFmtId="0" fontId="14" fillId="0" borderId="35" xfId="0" applyFont="1" applyBorder="1" applyAlignment="1" applyProtection="1">
      <alignment horizontal="left"/>
      <protection locked="0"/>
    </xf>
    <xf numFmtId="0" fontId="0" fillId="0" borderId="19" xfId="0" applyBorder="1" applyProtection="1">
      <protection locked="0"/>
    </xf>
    <xf numFmtId="0" fontId="0" fillId="0" borderId="13" xfId="0" applyBorder="1" applyProtection="1">
      <protection locked="0"/>
    </xf>
    <xf numFmtId="165" fontId="4" fillId="58" borderId="23" xfId="128" applyFont="1" applyFill="1" applyBorder="1" applyAlignment="1" applyProtection="1">
      <alignment wrapText="1"/>
      <protection locked="0"/>
    </xf>
    <xf numFmtId="165" fontId="4" fillId="58" borderId="0" xfId="128" quotePrefix="1" applyFont="1" applyFill="1" applyBorder="1" applyAlignment="1" applyProtection="1">
      <alignment wrapText="1"/>
      <protection locked="0"/>
    </xf>
    <xf numFmtId="165" fontId="4" fillId="58" borderId="35" xfId="128" applyFont="1" applyFill="1" applyBorder="1" applyAlignment="1" applyProtection="1">
      <alignment wrapText="1"/>
      <protection locked="0"/>
    </xf>
    <xf numFmtId="165" fontId="5" fillId="58" borderId="0" xfId="128" applyFill="1" applyBorder="1" applyProtection="1">
      <protection locked="0"/>
    </xf>
    <xf numFmtId="165" fontId="4" fillId="58" borderId="0" xfId="128" applyFont="1" applyFill="1" applyBorder="1" applyAlignment="1" applyProtection="1">
      <alignment wrapText="1"/>
      <protection locked="0"/>
    </xf>
    <xf numFmtId="165" fontId="26" fillId="58" borderId="23" xfId="128" applyFont="1" applyFill="1" applyBorder="1" applyAlignment="1" applyProtection="1">
      <alignment wrapText="1"/>
      <protection locked="0"/>
    </xf>
    <xf numFmtId="165" fontId="5" fillId="58" borderId="23" xfId="128" applyFont="1" applyFill="1" applyBorder="1" applyAlignment="1" applyProtection="1">
      <alignment vertical="top" wrapText="1"/>
      <protection locked="0"/>
    </xf>
    <xf numFmtId="165" fontId="5" fillId="58" borderId="23" xfId="128" applyFont="1" applyFill="1" applyBorder="1" applyAlignment="1" applyProtection="1">
      <alignment vertical="top"/>
    </xf>
    <xf numFmtId="165" fontId="5" fillId="58" borderId="0" xfId="128" applyFont="1" applyFill="1" applyBorder="1" applyAlignment="1" applyProtection="1">
      <alignment horizontal="center" wrapText="1"/>
      <protection locked="0"/>
    </xf>
    <xf numFmtId="165" fontId="5" fillId="58" borderId="26" xfId="128" applyFont="1" applyFill="1" applyBorder="1" applyAlignment="1" applyProtection="1">
      <alignment horizontal="center" wrapText="1"/>
      <protection locked="0"/>
    </xf>
    <xf numFmtId="165" fontId="19" fillId="58" borderId="84" xfId="128" quotePrefix="1" applyFont="1" applyFill="1" applyBorder="1" applyAlignment="1" applyProtection="1">
      <alignment horizontal="right" vertical="top"/>
      <protection locked="0"/>
    </xf>
    <xf numFmtId="165" fontId="16" fillId="61" borderId="88" xfId="128" quotePrefix="1" applyFont="1" applyFill="1" applyBorder="1" applyAlignment="1" applyProtection="1">
      <alignment vertical="top"/>
      <protection locked="0"/>
    </xf>
    <xf numFmtId="165" fontId="17" fillId="61" borderId="28" xfId="128" applyFont="1" applyFill="1" applyBorder="1" applyAlignment="1" applyProtection="1">
      <alignment horizontal="left" vertical="top" wrapText="1"/>
      <protection locked="0"/>
    </xf>
    <xf numFmtId="165" fontId="17" fillId="61" borderId="86" xfId="128" applyFont="1" applyFill="1" applyBorder="1" applyAlignment="1" applyProtection="1">
      <alignment horizontal="left" vertical="top" wrapText="1"/>
      <protection locked="0"/>
    </xf>
    <xf numFmtId="166" fontId="7" fillId="58" borderId="15" xfId="129" applyFont="1" applyFill="1" applyBorder="1" applyAlignment="1" applyProtection="1">
      <alignment horizontal="left"/>
      <protection locked="0"/>
    </xf>
    <xf numFmtId="165" fontId="21" fillId="58" borderId="0" xfId="128" applyFont="1" applyFill="1" applyBorder="1" applyAlignment="1" applyProtection="1">
      <alignment horizontal="center"/>
    </xf>
    <xf numFmtId="165" fontId="5" fillId="58" borderId="0" xfId="128" applyFill="1" applyBorder="1" applyAlignment="1" applyProtection="1">
      <alignment horizontal="left" vertical="top" wrapText="1"/>
    </xf>
    <xf numFmtId="14" fontId="4" fillId="58" borderId="86" xfId="128" applyNumberFormat="1" applyFont="1" applyFill="1" applyBorder="1" applyAlignment="1" applyProtection="1">
      <alignment horizontal="center"/>
    </xf>
    <xf numFmtId="0" fontId="14" fillId="0" borderId="13" xfId="0" applyFont="1" applyBorder="1" applyAlignment="1" applyProtection="1">
      <alignment horizontal="left"/>
      <protection locked="0"/>
    </xf>
    <xf numFmtId="0" fontId="2" fillId="61" borderId="23" xfId="0" applyFont="1" applyFill="1" applyBorder="1" applyAlignment="1" applyProtection="1">
      <alignment horizontal="center" wrapText="1"/>
    </xf>
    <xf numFmtId="0" fontId="2" fillId="61" borderId="51" xfId="0" applyFont="1" applyFill="1" applyBorder="1" applyAlignment="1" applyProtection="1">
      <alignment horizontal="center" wrapText="1"/>
    </xf>
    <xf numFmtId="0" fontId="2" fillId="61" borderId="19" xfId="0" applyFont="1" applyFill="1" applyBorder="1" applyAlignment="1" applyProtection="1">
      <alignment horizontal="center" wrapText="1"/>
    </xf>
    <xf numFmtId="0" fontId="14" fillId="58" borderId="42" xfId="0" applyFont="1" applyFill="1" applyBorder="1" applyAlignment="1" applyProtection="1">
      <alignment horizontal="left"/>
      <protection locked="0"/>
    </xf>
    <xf numFmtId="0" fontId="2" fillId="58" borderId="83" xfId="0" applyFont="1" applyFill="1" applyBorder="1" applyAlignment="1" applyProtection="1">
      <alignment horizontal="center"/>
    </xf>
    <xf numFmtId="0" fontId="14" fillId="58" borderId="0" xfId="0" applyFont="1" applyFill="1" applyBorder="1" applyAlignment="1" applyProtection="1">
      <alignment horizontal="center"/>
    </xf>
    <xf numFmtId="0" fontId="2" fillId="61" borderId="32" xfId="0" applyFont="1" applyFill="1" applyBorder="1" applyAlignment="1" applyProtection="1">
      <alignment horizontal="center" wrapText="1"/>
    </xf>
    <xf numFmtId="41" fontId="4" fillId="58" borderId="0" xfId="128" applyNumberFormat="1" applyFont="1" applyFill="1" applyBorder="1" applyAlignment="1" applyProtection="1">
      <alignment horizontal="left" vertical="top"/>
      <protection locked="0"/>
    </xf>
    <xf numFmtId="165" fontId="4" fillId="58" borderId="0" xfId="128" applyFont="1" applyFill="1" applyBorder="1" applyAlignment="1" applyProtection="1">
      <alignment horizontal="left"/>
    </xf>
    <xf numFmtId="165" fontId="5" fillId="58" borderId="0" xfId="128" applyFill="1" applyBorder="1" applyAlignment="1" applyProtection="1">
      <alignment horizontal="left" vertical="top" wrapText="1"/>
      <protection locked="0"/>
    </xf>
    <xf numFmtId="0" fontId="95" fillId="0" borderId="0" xfId="0" applyFont="1"/>
    <xf numFmtId="0" fontId="95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43" fontId="0" fillId="0" borderId="0" xfId="59" applyFont="1"/>
    <xf numFmtId="0" fontId="0" fillId="0" borderId="0" xfId="0" pivotButton="1"/>
    <xf numFmtId="0" fontId="2" fillId="0" borderId="0" xfId="0" applyFont="1"/>
    <xf numFmtId="0" fontId="100" fillId="0" borderId="0" xfId="0" applyFont="1" applyBorder="1"/>
    <xf numFmtId="0" fontId="14" fillId="0" borderId="0" xfId="0" applyFont="1"/>
    <xf numFmtId="164" fontId="0" fillId="0" borderId="0" xfId="0" applyNumberFormat="1"/>
    <xf numFmtId="164" fontId="14" fillId="0" borderId="0" xfId="0" applyNumberFormat="1" applyFont="1"/>
    <xf numFmtId="0" fontId="14" fillId="0" borderId="41" xfId="0" applyFont="1" applyBorder="1" applyAlignment="1" applyProtection="1">
      <protection locked="0"/>
    </xf>
    <xf numFmtId="0" fontId="14" fillId="0" borderId="13" xfId="0" applyFont="1" applyBorder="1" applyAlignment="1" applyProtection="1">
      <protection locked="0"/>
    </xf>
    <xf numFmtId="0" fontId="14" fillId="0" borderId="42" xfId="0" applyFont="1" applyBorder="1" applyAlignment="1" applyProtection="1">
      <protection locked="0"/>
    </xf>
    <xf numFmtId="0" fontId="14" fillId="58" borderId="13" xfId="0" applyFont="1" applyFill="1" applyBorder="1" applyAlignment="1" applyProtection="1">
      <protection locked="0"/>
    </xf>
    <xf numFmtId="0" fontId="14" fillId="58" borderId="42" xfId="0" applyFont="1" applyFill="1" applyBorder="1" applyAlignment="1" applyProtection="1">
      <protection locked="0"/>
    </xf>
    <xf numFmtId="43" fontId="50" fillId="58" borderId="0" xfId="56" applyFont="1" applyFill="1" applyProtection="1"/>
    <xf numFmtId="37" fontId="0" fillId="58" borderId="0" xfId="0" applyNumberFormat="1" applyFill="1" applyProtection="1"/>
    <xf numFmtId="0" fontId="100" fillId="62" borderId="0" xfId="0" applyFont="1" applyFill="1" applyBorder="1"/>
    <xf numFmtId="0" fontId="0" fillId="0" borderId="0" xfId="0" applyBorder="1"/>
    <xf numFmtId="43" fontId="0" fillId="0" borderId="0" xfId="0" applyNumberFormat="1" applyBorder="1"/>
    <xf numFmtId="43" fontId="100" fillId="62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100" fillId="0" borderId="0" xfId="0" applyFont="1" applyFill="1" applyBorder="1"/>
    <xf numFmtId="43" fontId="0" fillId="0" borderId="0" xfId="0" applyNumberFormat="1" applyFill="1" applyBorder="1"/>
    <xf numFmtId="43" fontId="100" fillId="0" borderId="0" xfId="0" applyNumberFormat="1" applyFont="1" applyFill="1" applyBorder="1"/>
    <xf numFmtId="164" fontId="0" fillId="0" borderId="0" xfId="56" applyNumberFormat="1" applyFont="1"/>
    <xf numFmtId="43" fontId="2" fillId="0" borderId="0" xfId="56" applyNumberFormat="1" applyFont="1"/>
    <xf numFmtId="43" fontId="100" fillId="62" borderId="0" xfId="56" applyNumberFormat="1" applyFont="1" applyFill="1" applyBorder="1"/>
    <xf numFmtId="43" fontId="0" fillId="0" borderId="0" xfId="56" applyNumberFormat="1" applyFont="1"/>
    <xf numFmtId="43" fontId="0" fillId="0" borderId="0" xfId="56" applyFont="1"/>
    <xf numFmtId="4" fontId="0" fillId="0" borderId="0" xfId="0" applyNumberFormat="1"/>
    <xf numFmtId="0" fontId="2" fillId="0" borderId="0" xfId="0" applyFont="1" applyAlignment="1">
      <alignment horizontal="left"/>
    </xf>
    <xf numFmtId="43" fontId="2" fillId="0" borderId="0" xfId="56" applyFont="1" applyBorder="1"/>
    <xf numFmtId="4" fontId="2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Border="1"/>
    <xf numFmtId="43" fontId="0" fillId="0" borderId="0" xfId="56" applyNumberFormat="1" applyFont="1" applyBorder="1"/>
    <xf numFmtId="0" fontId="14" fillId="58" borderId="42" xfId="0" applyFont="1" applyFill="1" applyBorder="1" applyAlignment="1" applyProtection="1">
      <alignment horizontal="left"/>
      <protection locked="0"/>
    </xf>
    <xf numFmtId="37" fontId="14" fillId="58" borderId="40" xfId="56" applyNumberFormat="1" applyFont="1" applyFill="1" applyBorder="1" applyProtection="1">
      <protection locked="0"/>
    </xf>
    <xf numFmtId="0" fontId="2" fillId="63" borderId="0" xfId="0" applyFont="1" applyFill="1"/>
    <xf numFmtId="43" fontId="0" fillId="0" borderId="0" xfId="56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43" fontId="2" fillId="0" borderId="0" xfId="0" applyNumberFormat="1" applyFont="1" applyBorder="1"/>
    <xf numFmtId="164" fontId="14" fillId="0" borderId="0" xfId="56" applyNumberFormat="1" applyFont="1" applyBorder="1"/>
    <xf numFmtId="164" fontId="0" fillId="0" borderId="0" xfId="56" applyNumberFormat="1" applyFont="1" applyBorder="1"/>
    <xf numFmtId="164" fontId="2" fillId="0" borderId="89" xfId="56" applyNumberFormat="1" applyFont="1" applyBorder="1"/>
    <xf numFmtId="164" fontId="2" fillId="0" borderId="90" xfId="56" applyNumberFormat="1" applyFont="1" applyBorder="1"/>
    <xf numFmtId="0" fontId="98" fillId="0" borderId="0" xfId="0" applyFont="1"/>
    <xf numFmtId="0" fontId="0" fillId="0" borderId="0" xfId="0" applyAlignment="1">
      <alignment horizontal="center"/>
    </xf>
    <xf numFmtId="4" fontId="0" fillId="0" borderId="0" xfId="0" applyNumberFormat="1" applyBorder="1"/>
    <xf numFmtId="4" fontId="14" fillId="0" borderId="0" xfId="0" applyNumberFormat="1" applyFont="1" applyBorder="1"/>
    <xf numFmtId="0" fontId="2" fillId="0" borderId="1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4" fillId="58" borderId="13" xfId="0" applyFont="1" applyFill="1" applyBorder="1" applyAlignment="1" applyProtection="1">
      <alignment horizontal="left"/>
      <protection locked="0"/>
    </xf>
    <xf numFmtId="0" fontId="14" fillId="58" borderId="42" xfId="0" applyFont="1" applyFill="1" applyBorder="1" applyAlignment="1" applyProtection="1">
      <alignment horizontal="left"/>
      <protection locked="0"/>
    </xf>
    <xf numFmtId="164" fontId="2" fillId="0" borderId="0" xfId="56" applyNumberFormat="1" applyFont="1"/>
    <xf numFmtId="43" fontId="0" fillId="0" borderId="0" xfId="59" applyFont="1" applyBorder="1"/>
    <xf numFmtId="0" fontId="14" fillId="0" borderId="0" xfId="0" applyFont="1" applyFill="1" applyBorder="1"/>
    <xf numFmtId="0" fontId="101" fillId="0" borderId="0" xfId="0" applyFont="1"/>
    <xf numFmtId="0" fontId="102" fillId="0" borderId="0" xfId="0" applyFont="1"/>
    <xf numFmtId="0" fontId="14" fillId="0" borderId="0" xfId="0" applyFont="1" applyAlignment="1">
      <alignment horizontal="left"/>
    </xf>
    <xf numFmtId="0" fontId="0" fillId="0" borderId="0" xfId="0" applyFont="1" applyFill="1" applyBorder="1" applyAlignment="1">
      <alignment horizontal="left"/>
    </xf>
    <xf numFmtId="41" fontId="56" fillId="58" borderId="20" xfId="128" applyNumberFormat="1" applyFont="1" applyFill="1" applyBorder="1" applyAlignment="1" applyProtection="1">
      <alignment vertical="top"/>
    </xf>
    <xf numFmtId="41" fontId="4" fillId="58" borderId="0" xfId="128" applyNumberFormat="1" applyFont="1" applyFill="1" applyBorder="1" applyAlignment="1" applyProtection="1">
      <alignment vertical="top"/>
    </xf>
    <xf numFmtId="0" fontId="0" fillId="0" borderId="0" xfId="0" applyAlignment="1">
      <alignment wrapText="1"/>
    </xf>
    <xf numFmtId="0" fontId="2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165" fontId="19" fillId="58" borderId="21" xfId="128" applyFont="1" applyFill="1" applyBorder="1" applyAlignment="1" applyProtection="1">
      <alignment vertical="top"/>
    </xf>
    <xf numFmtId="165" fontId="5" fillId="58" borderId="22" xfId="128" applyFill="1" applyBorder="1" applyAlignment="1" applyProtection="1">
      <alignment vertical="top"/>
    </xf>
    <xf numFmtId="165" fontId="19" fillId="58" borderId="22" xfId="128" applyFont="1" applyFill="1" applyBorder="1" applyAlignment="1" applyProtection="1">
      <alignment vertical="top"/>
    </xf>
    <xf numFmtId="41" fontId="56" fillId="58" borderId="22" xfId="128" applyNumberFormat="1" applyFont="1" applyFill="1" applyBorder="1" applyAlignment="1" applyProtection="1">
      <alignment vertical="top"/>
    </xf>
    <xf numFmtId="41" fontId="56" fillId="58" borderId="27" xfId="128" applyNumberFormat="1" applyFont="1" applyFill="1" applyBorder="1" applyAlignment="1" applyProtection="1">
      <alignment vertical="top"/>
    </xf>
    <xf numFmtId="0" fontId="2" fillId="0" borderId="29" xfId="0" applyFont="1" applyBorder="1" applyAlignment="1">
      <alignment horizontal="center"/>
    </xf>
    <xf numFmtId="0" fontId="0" fillId="0" borderId="20" xfId="0" applyBorder="1"/>
    <xf numFmtId="0" fontId="2" fillId="0" borderId="30" xfId="0" applyFont="1" applyBorder="1" applyAlignment="1">
      <alignment horizontal="center" wrapText="1"/>
    </xf>
    <xf numFmtId="0" fontId="3" fillId="0" borderId="0" xfId="0" applyFont="1"/>
    <xf numFmtId="0" fontId="95" fillId="63" borderId="0" xfId="0" applyFont="1" applyFill="1" applyBorder="1"/>
    <xf numFmtId="164" fontId="0" fillId="0" borderId="0" xfId="0" applyNumberFormat="1" applyBorder="1"/>
    <xf numFmtId="164" fontId="2" fillId="0" borderId="0" xfId="0" applyNumberFormat="1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63" borderId="0" xfId="0" applyFont="1" applyFill="1" applyAlignment="1">
      <alignment horizontal="center"/>
    </xf>
    <xf numFmtId="0" fontId="103" fillId="0" borderId="0" xfId="0" applyFont="1" applyFill="1" applyBorder="1"/>
    <xf numFmtId="3" fontId="2" fillId="0" borderId="0" xfId="0" applyNumberFormat="1" applyFont="1"/>
    <xf numFmtId="0" fontId="2" fillId="64" borderId="0" xfId="0" applyFont="1" applyFill="1"/>
    <xf numFmtId="0" fontId="0" fillId="0" borderId="0" xfId="0" applyAlignment="1">
      <alignment horizontal="left" indent="1"/>
    </xf>
    <xf numFmtId="0" fontId="14" fillId="58" borderId="40" xfId="0" applyFont="1" applyFill="1" applyBorder="1" applyAlignment="1" applyProtection="1">
      <alignment horizontal="left"/>
      <protection locked="0"/>
    </xf>
    <xf numFmtId="0" fontId="14" fillId="0" borderId="40" xfId="0" applyFont="1" applyBorder="1" applyAlignment="1" applyProtection="1">
      <protection locked="0"/>
    </xf>
    <xf numFmtId="0" fontId="2" fillId="0" borderId="0" xfId="0" applyFont="1" applyBorder="1" applyAlignment="1">
      <alignment horizontal="left"/>
    </xf>
    <xf numFmtId="0" fontId="58" fillId="0" borderId="0" xfId="0" applyFont="1"/>
    <xf numFmtId="37" fontId="2" fillId="58" borderId="75" xfId="56" applyNumberFormat="1" applyFont="1" applyFill="1" applyBorder="1" applyProtection="1"/>
    <xf numFmtId="39" fontId="2" fillId="58" borderId="76" xfId="56" applyNumberFormat="1" applyFont="1" applyFill="1" applyBorder="1" applyProtection="1"/>
    <xf numFmtId="0" fontId="14" fillId="58" borderId="13" xfId="0" applyFont="1" applyFill="1" applyBorder="1" applyAlignment="1" applyProtection="1">
      <alignment horizontal="left"/>
      <protection locked="0"/>
    </xf>
    <xf numFmtId="0" fontId="14" fillId="58" borderId="42" xfId="0" applyFont="1" applyFill="1" applyBorder="1" applyAlignment="1" applyProtection="1">
      <alignment horizontal="left"/>
      <protection locked="0"/>
    </xf>
    <xf numFmtId="164" fontId="0" fillId="0" borderId="32" xfId="0" applyNumberFormat="1" applyBorder="1"/>
    <xf numFmtId="164" fontId="0" fillId="0" borderId="0" xfId="0" applyNumberFormat="1" applyFill="1"/>
    <xf numFmtId="0" fontId="14" fillId="0" borderId="0" xfId="0" applyFont="1" applyFill="1"/>
    <xf numFmtId="39" fontId="32" fillId="0" borderId="47" xfId="56" applyNumberFormat="1" applyFont="1" applyFill="1" applyBorder="1" applyProtection="1"/>
    <xf numFmtId="0" fontId="0" fillId="0" borderId="0" xfId="0" applyFill="1" applyProtection="1"/>
    <xf numFmtId="0" fontId="14" fillId="0" borderId="13" xfId="0" applyFont="1" applyFill="1" applyBorder="1" applyAlignment="1" applyProtection="1">
      <alignment horizontal="left"/>
      <protection locked="0"/>
    </xf>
    <xf numFmtId="0" fontId="14" fillId="0" borderId="42" xfId="0" applyFont="1" applyFill="1" applyBorder="1" applyAlignment="1" applyProtection="1">
      <alignment horizontal="left"/>
      <protection locked="0"/>
    </xf>
    <xf numFmtId="0" fontId="14" fillId="0" borderId="13" xfId="0" applyFont="1" applyFill="1" applyBorder="1" applyAlignment="1" applyProtection="1">
      <protection locked="0"/>
    </xf>
    <xf numFmtId="0" fontId="14" fillId="0" borderId="42" xfId="0" applyFont="1" applyFill="1" applyBorder="1" applyAlignment="1" applyProtection="1">
      <protection locked="0"/>
    </xf>
    <xf numFmtId="0" fontId="14" fillId="0" borderId="31" xfId="0" applyFont="1" applyFill="1" applyBorder="1" applyAlignment="1" applyProtection="1">
      <protection locked="0"/>
    </xf>
    <xf numFmtId="0" fontId="14" fillId="0" borderId="40" xfId="0" applyFont="1" applyFill="1" applyBorder="1" applyAlignment="1" applyProtection="1">
      <protection locked="0"/>
    </xf>
    <xf numFmtId="0" fontId="14" fillId="58" borderId="13" xfId="0" applyFont="1" applyFill="1" applyBorder="1" applyAlignment="1" applyProtection="1">
      <alignment horizontal="left"/>
      <protection locked="0"/>
    </xf>
    <xf numFmtId="0" fontId="14" fillId="58" borderId="42" xfId="0" applyFont="1" applyFill="1" applyBorder="1" applyAlignment="1" applyProtection="1">
      <alignment horizontal="left"/>
      <protection locked="0"/>
    </xf>
    <xf numFmtId="0" fontId="14" fillId="58" borderId="19" xfId="0" applyFont="1" applyFill="1" applyBorder="1" applyAlignment="1" applyProtection="1">
      <alignment horizontal="left"/>
      <protection locked="0"/>
    </xf>
    <xf numFmtId="0" fontId="0" fillId="58" borderId="19" xfId="0" applyFill="1" applyBorder="1" applyProtection="1"/>
    <xf numFmtId="0" fontId="0" fillId="58" borderId="33" xfId="0" applyFill="1" applyBorder="1" applyProtection="1"/>
    <xf numFmtId="43" fontId="50" fillId="0" borderId="0" xfId="56" applyFont="1" applyFill="1" applyProtection="1"/>
    <xf numFmtId="39" fontId="32" fillId="0" borderId="48" xfId="56" applyNumberFormat="1" applyFont="1" applyFill="1" applyBorder="1" applyProtection="1"/>
    <xf numFmtId="0" fontId="14" fillId="0" borderId="41" xfId="0" applyFont="1" applyFill="1" applyBorder="1" applyAlignment="1" applyProtection="1">
      <protection locked="0"/>
    </xf>
    <xf numFmtId="39" fontId="59" fillId="0" borderId="48" xfId="56" applyNumberFormat="1" applyFont="1" applyFill="1" applyBorder="1" applyProtection="1"/>
    <xf numFmtId="0" fontId="0" fillId="58" borderId="13" xfId="0" applyFill="1" applyBorder="1" applyProtection="1"/>
    <xf numFmtId="0" fontId="0" fillId="58" borderId="42" xfId="0" applyFill="1" applyBorder="1" applyProtection="1"/>
    <xf numFmtId="164" fontId="0" fillId="0" borderId="0" xfId="56" applyNumberFormat="1" applyFont="1" applyFill="1" applyBorder="1"/>
    <xf numFmtId="0" fontId="0" fillId="0" borderId="0" xfId="0" applyFont="1" applyAlignment="1">
      <alignment horizontal="left"/>
    </xf>
    <xf numFmtId="37" fontId="14" fillId="58" borderId="32" xfId="58" applyNumberFormat="1" applyFont="1" applyFill="1" applyBorder="1" applyProtection="1">
      <protection locked="0"/>
    </xf>
    <xf numFmtId="39" fontId="14" fillId="58" borderId="47" xfId="58" applyNumberFormat="1" applyFont="1" applyFill="1" applyBorder="1" applyProtection="1"/>
    <xf numFmtId="164" fontId="0" fillId="0" borderId="32" xfId="59" applyNumberFormat="1" applyFont="1" applyBorder="1"/>
    <xf numFmtId="37" fontId="14" fillId="0" borderId="68" xfId="56" applyNumberFormat="1" applyFont="1" applyFill="1" applyBorder="1" applyProtection="1">
      <protection locked="0"/>
    </xf>
    <xf numFmtId="0" fontId="95" fillId="0" borderId="0" xfId="0" applyFont="1" applyBorder="1"/>
    <xf numFmtId="164" fontId="104" fillId="0" borderId="0" xfId="59" applyNumberFormat="1" applyFont="1" applyBorder="1"/>
    <xf numFmtId="175" fontId="0" fillId="0" borderId="0" xfId="134" applyNumberFormat="1" applyFont="1" applyBorder="1"/>
    <xf numFmtId="164" fontId="104" fillId="0" borderId="0" xfId="0" applyNumberFormat="1" applyFont="1" applyBorder="1"/>
    <xf numFmtId="9" fontId="0" fillId="0" borderId="0" xfId="134" applyFont="1" applyBorder="1"/>
    <xf numFmtId="0" fontId="104" fillId="0" borderId="0" xfId="0" applyFont="1" applyBorder="1"/>
    <xf numFmtId="0" fontId="14" fillId="58" borderId="13" xfId="0" applyFont="1" applyFill="1" applyBorder="1" applyAlignment="1" applyProtection="1">
      <alignment horizontal="left"/>
      <protection locked="0"/>
    </xf>
    <xf numFmtId="0" fontId="14" fillId="58" borderId="42" xfId="0" applyFont="1" applyFill="1" applyBorder="1" applyAlignment="1" applyProtection="1">
      <alignment horizontal="left"/>
      <protection locked="0"/>
    </xf>
    <xf numFmtId="164" fontId="2" fillId="0" borderId="0" xfId="56" applyNumberFormat="1" applyFont="1" applyBorder="1"/>
    <xf numFmtId="164" fontId="0" fillId="0" borderId="0" xfId="0" applyNumberFormat="1" applyFill="1" applyBorder="1"/>
    <xf numFmtId="164" fontId="2" fillId="0" borderId="89" xfId="0" applyNumberFormat="1" applyFont="1" applyFill="1" applyBorder="1"/>
    <xf numFmtId="10" fontId="2" fillId="0" borderId="0" xfId="134" applyNumberFormat="1" applyFont="1" applyBorder="1" applyAlignment="1">
      <alignment horizontal="center"/>
    </xf>
    <xf numFmtId="164" fontId="8" fillId="0" borderId="0" xfId="56" applyNumberFormat="1" applyFont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100" fillId="62" borderId="0" xfId="0" applyFont="1" applyFill="1" applyBorder="1" applyAlignment="1">
      <alignment horizontal="center"/>
    </xf>
    <xf numFmtId="164" fontId="14" fillId="0" borderId="0" xfId="0" applyNumberFormat="1" applyFont="1" applyFill="1"/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left" indent="1"/>
    </xf>
    <xf numFmtId="0" fontId="95" fillId="0" borderId="113" xfId="0" applyFont="1" applyFill="1" applyBorder="1"/>
    <xf numFmtId="0" fontId="0" fillId="0" borderId="0" xfId="0" applyFill="1" applyBorder="1" applyAlignment="1">
      <alignment horizontal="left" indent="1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0" fillId="0" borderId="0" xfId="0" applyFill="1" applyAlignment="1">
      <alignment horizontal="left" indent="1"/>
    </xf>
    <xf numFmtId="164" fontId="2" fillId="0" borderId="13" xfId="0" applyNumberFormat="1" applyFont="1" applyBorder="1" applyAlignment="1">
      <alignment horizontal="left" indent="1"/>
    </xf>
    <xf numFmtId="164" fontId="103" fillId="0" borderId="0" xfId="0" applyNumberFormat="1" applyFont="1" applyBorder="1" applyAlignment="1">
      <alignment horizontal="left" indent="1"/>
    </xf>
    <xf numFmtId="164" fontId="2" fillId="0" borderId="89" xfId="0" applyNumberFormat="1" applyFont="1" applyBorder="1" applyAlignment="1">
      <alignment horizontal="left" indent="1"/>
    </xf>
    <xf numFmtId="164" fontId="2" fillId="0" borderId="13" xfId="0" applyNumberFormat="1" applyFont="1" applyFill="1" applyBorder="1"/>
    <xf numFmtId="164" fontId="103" fillId="0" borderId="0" xfId="0" applyNumberFormat="1" applyFont="1" applyBorder="1"/>
    <xf numFmtId="0" fontId="0" fillId="0" borderId="32" xfId="0" applyBorder="1"/>
    <xf numFmtId="164" fontId="60" fillId="0" borderId="32" xfId="59" applyNumberFormat="1" applyFont="1" applyFill="1" applyBorder="1"/>
    <xf numFmtId="164" fontId="105" fillId="0" borderId="32" xfId="0" applyNumberFormat="1" applyFont="1" applyFill="1" applyBorder="1"/>
    <xf numFmtId="0" fontId="83" fillId="0" borderId="41" xfId="0" applyFont="1" applyFill="1" applyBorder="1"/>
    <xf numFmtId="0" fontId="14" fillId="0" borderId="19" xfId="0" applyFont="1" applyBorder="1" applyAlignment="1" applyProtection="1">
      <protection locked="0"/>
    </xf>
    <xf numFmtId="0" fontId="83" fillId="0" borderId="37" xfId="0" applyFont="1" applyFill="1" applyBorder="1"/>
    <xf numFmtId="0" fontId="14" fillId="0" borderId="33" xfId="0" applyFont="1" applyBorder="1" applyAlignment="1" applyProtection="1">
      <protection locked="0"/>
    </xf>
    <xf numFmtId="0" fontId="105" fillId="0" borderId="41" xfId="0" applyFont="1" applyFill="1" applyBorder="1" applyAlignment="1">
      <alignment horizontal="left"/>
    </xf>
    <xf numFmtId="164" fontId="105" fillId="0" borderId="32" xfId="56" applyNumberFormat="1" applyFont="1" applyFill="1" applyBorder="1"/>
    <xf numFmtId="0" fontId="2" fillId="0" borderId="13" xfId="0" applyFont="1" applyBorder="1" applyAlignment="1" applyProtection="1">
      <protection locked="0"/>
    </xf>
    <xf numFmtId="0" fontId="2" fillId="0" borderId="42" xfId="0" applyFont="1" applyBorder="1" applyAlignment="1" applyProtection="1">
      <protection locked="0"/>
    </xf>
    <xf numFmtId="164" fontId="100" fillId="0" borderId="32" xfId="59" applyNumberFormat="1" applyFont="1" applyFill="1" applyBorder="1"/>
    <xf numFmtId="164" fontId="14" fillId="0" borderId="32" xfId="59" applyNumberFormat="1" applyFont="1" applyBorder="1"/>
    <xf numFmtId="0" fontId="14" fillId="58" borderId="19" xfId="0" applyFont="1" applyFill="1" applyBorder="1" applyAlignment="1" applyProtection="1">
      <protection locked="0"/>
    </xf>
    <xf numFmtId="0" fontId="14" fillId="58" borderId="33" xfId="0" applyFont="1" applyFill="1" applyBorder="1" applyAlignment="1" applyProtection="1">
      <protection locked="0"/>
    </xf>
    <xf numFmtId="0" fontId="14" fillId="0" borderId="41" xfId="0" applyFont="1" applyFill="1" applyBorder="1" applyAlignment="1" applyProtection="1">
      <alignment horizontal="left"/>
    </xf>
    <xf numFmtId="0" fontId="14" fillId="0" borderId="23" xfId="0" applyFont="1" applyFill="1" applyBorder="1" applyAlignment="1" applyProtection="1">
      <alignment horizontal="right"/>
    </xf>
    <xf numFmtId="0" fontId="0" fillId="0" borderId="0" xfId="0" applyFill="1" applyAlignment="1">
      <alignment horizontal="left"/>
    </xf>
    <xf numFmtId="0" fontId="0" fillId="0" borderId="0" xfId="0" applyFill="1"/>
    <xf numFmtId="4" fontId="2" fillId="0" borderId="0" xfId="0" applyNumberFormat="1" applyFont="1" applyFill="1"/>
    <xf numFmtId="0" fontId="2" fillId="0" borderId="0" xfId="0" applyFont="1" applyFill="1" applyAlignment="1">
      <alignment horizontal="left"/>
    </xf>
    <xf numFmtId="164" fontId="8" fillId="0" borderId="0" xfId="56" applyNumberFormat="1" applyFont="1" applyFill="1"/>
    <xf numFmtId="164" fontId="2" fillId="0" borderId="89" xfId="56" applyNumberFormat="1" applyFont="1" applyFill="1" applyBorder="1"/>
    <xf numFmtId="164" fontId="2" fillId="0" borderId="90" xfId="56" applyNumberFormat="1" applyFont="1" applyFill="1" applyBorder="1"/>
    <xf numFmtId="164" fontId="0" fillId="0" borderId="0" xfId="56" applyNumberFormat="1" applyFont="1" applyFill="1"/>
    <xf numFmtId="0" fontId="83" fillId="0" borderId="0" xfId="0" applyFont="1" applyFill="1" applyBorder="1" applyAlignment="1">
      <alignment horizontal="left"/>
    </xf>
    <xf numFmtId="164" fontId="2" fillId="0" borderId="0" xfId="0" applyNumberFormat="1" applyFont="1" applyBorder="1"/>
    <xf numFmtId="0" fontId="0" fillId="0" borderId="20" xfId="0" applyBorder="1" applyAlignment="1">
      <alignment horizontal="left"/>
    </xf>
    <xf numFmtId="0" fontId="83" fillId="0" borderId="20" xfId="0" applyFont="1" applyBorder="1" applyAlignment="1">
      <alignment horizontal="left"/>
    </xf>
    <xf numFmtId="0" fontId="83" fillId="0" borderId="20" xfId="0" applyFont="1" applyFill="1" applyBorder="1" applyAlignment="1">
      <alignment horizontal="left"/>
    </xf>
    <xf numFmtId="0" fontId="105" fillId="0" borderId="20" xfId="0" applyFont="1" applyFill="1" applyBorder="1" applyAlignment="1">
      <alignment horizontal="left"/>
    </xf>
    <xf numFmtId="164" fontId="2" fillId="0" borderId="20" xfId="56" applyNumberFormat="1" applyFont="1" applyFill="1" applyBorder="1"/>
    <xf numFmtId="175" fontId="2" fillId="0" borderId="0" xfId="134" applyNumberFormat="1" applyFont="1" applyAlignment="1">
      <alignment horizontal="center"/>
    </xf>
    <xf numFmtId="9" fontId="2" fillId="0" borderId="89" xfId="134" applyFont="1" applyBorder="1" applyAlignment="1">
      <alignment horizontal="center"/>
    </xf>
    <xf numFmtId="4" fontId="14" fillId="0" borderId="0" xfId="0" applyNumberFormat="1" applyFont="1"/>
    <xf numFmtId="164" fontId="0" fillId="0" borderId="32" xfId="0" applyNumberFormat="1" applyFill="1" applyBorder="1"/>
    <xf numFmtId="39" fontId="0" fillId="58" borderId="0" xfId="0" applyNumberFormat="1" applyFill="1" applyProtection="1"/>
    <xf numFmtId="0" fontId="2" fillId="65" borderId="0" xfId="0" applyFont="1" applyFill="1" applyAlignment="1">
      <alignment horizontal="left"/>
    </xf>
    <xf numFmtId="9" fontId="0" fillId="0" borderId="0" xfId="134" applyFont="1"/>
    <xf numFmtId="164" fontId="2" fillId="0" borderId="20" xfId="0" applyNumberFormat="1" applyFont="1" applyBorder="1"/>
    <xf numFmtId="0" fontId="106" fillId="66" borderId="28" xfId="0" applyFont="1" applyFill="1" applyBorder="1" applyAlignment="1">
      <alignment horizontal="left"/>
    </xf>
    <xf numFmtId="164" fontId="2" fillId="66" borderId="28" xfId="0" applyNumberFormat="1" applyFont="1" applyFill="1" applyBorder="1"/>
    <xf numFmtId="0" fontId="105" fillId="66" borderId="28" xfId="0" applyFont="1" applyFill="1" applyBorder="1" applyAlignment="1">
      <alignment horizontal="left"/>
    </xf>
    <xf numFmtId="0" fontId="0" fillId="66" borderId="28" xfId="0" applyFill="1" applyBorder="1" applyAlignment="1">
      <alignment horizontal="left"/>
    </xf>
    <xf numFmtId="0" fontId="0" fillId="67" borderId="87" xfId="0" applyFill="1" applyBorder="1" applyAlignment="1">
      <alignment horizontal="left"/>
    </xf>
    <xf numFmtId="0" fontId="15" fillId="0" borderId="0" xfId="0" applyFont="1"/>
    <xf numFmtId="164" fontId="14" fillId="0" borderId="0" xfId="0" applyNumberFormat="1" applyFont="1" applyBorder="1" applyAlignment="1" applyProtection="1">
      <alignment horizontal="left"/>
      <protection locked="0"/>
    </xf>
    <xf numFmtId="0" fontId="2" fillId="68" borderId="0" xfId="0" applyFont="1" applyFill="1"/>
    <xf numFmtId="43" fontId="2" fillId="68" borderId="0" xfId="56" applyNumberFormat="1" applyFont="1" applyFill="1"/>
    <xf numFmtId="164" fontId="0" fillId="0" borderId="0" xfId="56" applyNumberFormat="1" applyFont="1" applyBorder="1" applyAlignment="1"/>
    <xf numFmtId="0" fontId="2" fillId="69" borderId="19" xfId="0" applyFont="1" applyFill="1" applyBorder="1"/>
    <xf numFmtId="0" fontId="2" fillId="69" borderId="19" xfId="0" applyFont="1" applyFill="1" applyBorder="1" applyAlignment="1">
      <alignment horizontal="center"/>
    </xf>
    <xf numFmtId="0" fontId="0" fillId="69" borderId="0" xfId="0" applyFill="1"/>
    <xf numFmtId="0" fontId="0" fillId="69" borderId="0" xfId="0" applyFill="1" applyBorder="1" applyAlignment="1">
      <alignment horizontal="left"/>
    </xf>
    <xf numFmtId="0" fontId="14" fillId="69" borderId="0" xfId="0" applyFont="1" applyFill="1" applyBorder="1" applyAlignment="1">
      <alignment horizontal="left"/>
    </xf>
    <xf numFmtId="0" fontId="2" fillId="69" borderId="0" xfId="0" applyFont="1" applyFill="1" applyAlignment="1">
      <alignment horizontal="left"/>
    </xf>
    <xf numFmtId="164" fontId="57" fillId="65" borderId="0" xfId="56" applyNumberFormat="1" applyFont="1" applyFill="1"/>
    <xf numFmtId="164" fontId="0" fillId="0" borderId="0" xfId="58" applyNumberFormat="1" applyFont="1"/>
    <xf numFmtId="195" fontId="2" fillId="69" borderId="22" xfId="62" applyNumberFormat="1" applyFont="1" applyFill="1" applyBorder="1" applyAlignment="1">
      <alignment horizontal="center" wrapText="1"/>
    </xf>
    <xf numFmtId="3" fontId="2" fillId="0" borderId="0" xfId="0" applyNumberFormat="1" applyFont="1" applyFill="1"/>
    <xf numFmtId="164" fontId="61" fillId="0" borderId="0" xfId="56" applyNumberFormat="1" applyFont="1" applyFill="1"/>
    <xf numFmtId="4" fontId="0" fillId="0" borderId="0" xfId="0" applyNumberFormat="1" applyFill="1"/>
    <xf numFmtId="0" fontId="2" fillId="0" borderId="0" xfId="0" applyFont="1" applyFill="1" applyAlignment="1">
      <alignment horizontal="center"/>
    </xf>
    <xf numFmtId="0" fontId="14" fillId="58" borderId="42" xfId="0" applyFont="1" applyFill="1" applyBorder="1" applyAlignment="1" applyProtection="1">
      <alignment horizontal="left"/>
      <protection locked="0"/>
    </xf>
    <xf numFmtId="164" fontId="0" fillId="0" borderId="17" xfId="59" applyNumberFormat="1" applyFont="1" applyBorder="1"/>
    <xf numFmtId="0" fontId="0" fillId="0" borderId="17" xfId="0" applyBorder="1"/>
    <xf numFmtId="164" fontId="0" fillId="0" borderId="0" xfId="59" applyNumberFormat="1" applyFont="1"/>
    <xf numFmtId="37" fontId="2" fillId="66" borderId="75" xfId="56" applyNumberFormat="1" applyFont="1" applyFill="1" applyBorder="1" applyProtection="1"/>
    <xf numFmtId="39" fontId="2" fillId="66" borderId="76" xfId="56" applyNumberFormat="1" applyFont="1" applyFill="1" applyBorder="1" applyProtection="1"/>
    <xf numFmtId="39" fontId="2" fillId="66" borderId="75" xfId="56" applyNumberFormat="1" applyFont="1" applyFill="1" applyBorder="1" applyProtection="1"/>
    <xf numFmtId="0" fontId="0" fillId="0" borderId="15" xfId="0" applyBorder="1" applyAlignment="1">
      <alignment horizontal="left"/>
    </xf>
    <xf numFmtId="0" fontId="0" fillId="0" borderId="37" xfId="0" applyBorder="1"/>
    <xf numFmtId="0" fontId="0" fillId="0" borderId="19" xfId="0" applyBorder="1"/>
    <xf numFmtId="164" fontId="104" fillId="0" borderId="0" xfId="59" applyNumberFormat="1" applyFont="1" applyFill="1"/>
    <xf numFmtId="164" fontId="104" fillId="0" borderId="89" xfId="0" applyNumberFormat="1" applyFont="1" applyFill="1" applyBorder="1"/>
    <xf numFmtId="9" fontId="95" fillId="0" borderId="0" xfId="134" applyFont="1"/>
    <xf numFmtId="9" fontId="95" fillId="0" borderId="89" xfId="134" applyFont="1" applyBorder="1"/>
    <xf numFmtId="0" fontId="95" fillId="70" borderId="19" xfId="0" applyFont="1" applyFill="1" applyBorder="1"/>
    <xf numFmtId="0" fontId="95" fillId="70" borderId="19" xfId="0" applyFont="1" applyFill="1" applyBorder="1" applyAlignment="1">
      <alignment horizontal="center"/>
    </xf>
    <xf numFmtId="9" fontId="95" fillId="0" borderId="0" xfId="134" applyFont="1" applyBorder="1"/>
    <xf numFmtId="0" fontId="107" fillId="0" borderId="0" xfId="0" applyFont="1" applyFill="1" applyBorder="1"/>
    <xf numFmtId="0" fontId="95" fillId="0" borderId="0" xfId="0" applyFont="1" applyFill="1" applyBorder="1"/>
    <xf numFmtId="0" fontId="95" fillId="0" borderId="0" xfId="0" applyFont="1" applyFill="1" applyBorder="1" applyAlignment="1">
      <alignment horizontal="center"/>
    </xf>
    <xf numFmtId="164" fontId="0" fillId="0" borderId="0" xfId="59" applyNumberFormat="1" applyFont="1" applyFill="1" applyBorder="1"/>
    <xf numFmtId="9" fontId="95" fillId="0" borderId="0" xfId="134" applyFont="1" applyFill="1" applyBorder="1"/>
    <xf numFmtId="164" fontId="95" fillId="0" borderId="0" xfId="59" applyNumberFormat="1" applyFont="1" applyFill="1" applyBorder="1"/>
    <xf numFmtId="9" fontId="0" fillId="0" borderId="0" xfId="134" applyFont="1" applyFill="1" applyBorder="1"/>
    <xf numFmtId="164" fontId="2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left"/>
    </xf>
    <xf numFmtId="0" fontId="2" fillId="71" borderId="19" xfId="0" applyFont="1" applyFill="1" applyBorder="1" applyAlignment="1">
      <alignment horizontal="center"/>
    </xf>
    <xf numFmtId="0" fontId="95" fillId="71" borderId="19" xfId="0" applyFont="1" applyFill="1" applyBorder="1" applyAlignment="1">
      <alignment horizontal="center"/>
    </xf>
    <xf numFmtId="0" fontId="2" fillId="72" borderId="19" xfId="0" applyFont="1" applyFill="1" applyBorder="1"/>
    <xf numFmtId="0" fontId="0" fillId="72" borderId="19" xfId="0" applyFill="1" applyBorder="1"/>
    <xf numFmtId="168" fontId="15" fillId="72" borderId="19" xfId="76" applyNumberFormat="1" applyFont="1" applyFill="1" applyBorder="1"/>
    <xf numFmtId="164" fontId="2" fillId="71" borderId="20" xfId="0" applyNumberFormat="1" applyFont="1" applyFill="1" applyBorder="1"/>
    <xf numFmtId="0" fontId="0" fillId="0" borderId="0" xfId="0" applyFill="1" applyAlignment="1">
      <alignment horizontal="center"/>
    </xf>
    <xf numFmtId="0" fontId="64" fillId="72" borderId="0" xfId="0" applyFont="1" applyFill="1" applyAlignment="1">
      <alignment horizontal="center"/>
    </xf>
    <xf numFmtId="0" fontId="100" fillId="62" borderId="113" xfId="0" applyFont="1" applyFill="1" applyBorder="1" applyAlignment="1">
      <alignment horizontal="center"/>
    </xf>
    <xf numFmtId="164" fontId="2" fillId="0" borderId="0" xfId="58" applyNumberFormat="1" applyFont="1" applyBorder="1"/>
    <xf numFmtId="0" fontId="95" fillId="0" borderId="0" xfId="113" applyFont="1"/>
    <xf numFmtId="9" fontId="0" fillId="0" borderId="0" xfId="135" applyFont="1"/>
    <xf numFmtId="9" fontId="0" fillId="0" borderId="89" xfId="135" applyFont="1" applyBorder="1"/>
    <xf numFmtId="164" fontId="2" fillId="0" borderId="19" xfId="56" applyNumberFormat="1" applyFont="1" applyBorder="1"/>
    <xf numFmtId="0" fontId="2" fillId="73" borderId="19" xfId="0" applyFont="1" applyFill="1" applyBorder="1" applyAlignment="1">
      <alignment horizontal="left"/>
    </xf>
    <xf numFmtId="164" fontId="2" fillId="73" borderId="19" xfId="0" applyNumberFormat="1" applyFont="1" applyFill="1" applyBorder="1"/>
    <xf numFmtId="164" fontId="2" fillId="0" borderId="19" xfId="0" applyNumberFormat="1" applyFont="1" applyBorder="1"/>
    <xf numFmtId="164" fontId="2" fillId="0" borderId="89" xfId="0" applyNumberFormat="1" applyFont="1" applyBorder="1"/>
    <xf numFmtId="164" fontId="2" fillId="0" borderId="90" xfId="58" applyNumberFormat="1" applyFont="1" applyBorder="1"/>
    <xf numFmtId="164" fontId="14" fillId="0" borderId="87" xfId="56" applyNumberFormat="1" applyFont="1" applyBorder="1"/>
    <xf numFmtId="3" fontId="0" fillId="0" borderId="0" xfId="0" applyNumberFormat="1"/>
    <xf numFmtId="0" fontId="2" fillId="0" borderId="0" xfId="0" applyFont="1" applyFill="1" applyBorder="1" applyAlignment="1">
      <alignment horizontal="center"/>
    </xf>
    <xf numFmtId="164" fontId="2" fillId="0" borderId="0" xfId="56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64" fontId="61" fillId="0" borderId="0" xfId="56" applyNumberFormat="1" applyFont="1" applyFill="1" applyBorder="1"/>
    <xf numFmtId="0" fontId="95" fillId="0" borderId="19" xfId="0" applyFont="1" applyBorder="1" applyAlignment="1">
      <alignment horizontal="center"/>
    </xf>
    <xf numFmtId="3" fontId="2" fillId="0" borderId="90" xfId="0" applyNumberFormat="1" applyFont="1" applyBorder="1"/>
    <xf numFmtId="3" fontId="14" fillId="0" borderId="19" xfId="0" applyNumberFormat="1" applyFont="1" applyBorder="1"/>
    <xf numFmtId="164" fontId="14" fillId="0" borderId="19" xfId="0" applyNumberFormat="1" applyFont="1" applyBorder="1"/>
    <xf numFmtId="164" fontId="67" fillId="0" borderId="0" xfId="56" applyNumberFormat="1" applyFont="1" applyFill="1"/>
    <xf numFmtId="0" fontId="2" fillId="66" borderId="0" xfId="0" applyFont="1" applyFill="1" applyProtection="1"/>
    <xf numFmtId="39" fontId="2" fillId="66" borderId="47" xfId="58" applyNumberFormat="1" applyFont="1" applyFill="1" applyBorder="1" applyProtection="1"/>
    <xf numFmtId="0" fontId="2" fillId="66" borderId="31" xfId="0" applyFont="1" applyFill="1" applyBorder="1" applyAlignment="1" applyProtection="1">
      <alignment horizontal="left"/>
      <protection locked="0"/>
    </xf>
    <xf numFmtId="0" fontId="2" fillId="66" borderId="40" xfId="0" applyFont="1" applyFill="1" applyBorder="1" applyAlignment="1" applyProtection="1">
      <alignment horizontal="left"/>
      <protection locked="0"/>
    </xf>
    <xf numFmtId="164" fontId="2" fillId="66" borderId="17" xfId="59" applyNumberFormat="1" applyFont="1" applyFill="1" applyBorder="1"/>
    <xf numFmtId="37" fontId="2" fillId="66" borderId="90" xfId="0" applyNumberFormat="1" applyFont="1" applyFill="1" applyBorder="1" applyProtection="1"/>
    <xf numFmtId="39" fontId="2" fillId="66" borderId="90" xfId="56" applyNumberFormat="1" applyFont="1" applyFill="1" applyBorder="1" applyProtection="1"/>
    <xf numFmtId="39" fontId="2" fillId="66" borderId="91" xfId="58" applyNumberFormat="1" applyFont="1" applyFill="1" applyBorder="1" applyProtection="1"/>
    <xf numFmtId="164" fontId="2" fillId="58" borderId="0" xfId="56" applyNumberFormat="1" applyFont="1" applyFill="1" applyProtection="1"/>
    <xf numFmtId="0" fontId="14" fillId="0" borderId="0" xfId="113" applyFont="1"/>
    <xf numFmtId="0" fontId="14" fillId="0" borderId="13" xfId="0" applyFont="1" applyFill="1" applyBorder="1"/>
    <xf numFmtId="0" fontId="14" fillId="0" borderId="42" xfId="0" applyFont="1" applyFill="1" applyBorder="1"/>
    <xf numFmtId="0" fontId="14" fillId="0" borderId="68" xfId="0" applyFont="1" applyFill="1" applyBorder="1" applyAlignment="1" applyProtection="1">
      <alignment horizontal="left"/>
      <protection locked="0"/>
    </xf>
    <xf numFmtId="164" fontId="14" fillId="0" borderId="13" xfId="0" applyNumberFormat="1" applyFont="1" applyFill="1" applyBorder="1"/>
    <xf numFmtId="164" fontId="14" fillId="0" borderId="42" xfId="0" applyNumberFormat="1" applyFont="1" applyFill="1" applyBorder="1"/>
    <xf numFmtId="164" fontId="0" fillId="0" borderId="13" xfId="0" applyNumberFormat="1" applyFill="1" applyBorder="1"/>
    <xf numFmtId="164" fontId="0" fillId="0" borderId="42" xfId="0" applyNumberFormat="1" applyFill="1" applyBorder="1"/>
    <xf numFmtId="0" fontId="0" fillId="0" borderId="13" xfId="0" applyFill="1" applyBorder="1"/>
    <xf numFmtId="0" fontId="0" fillId="0" borderId="42" xfId="0" applyFill="1" applyBorder="1"/>
    <xf numFmtId="0" fontId="14" fillId="0" borderId="32" xfId="0" applyFont="1" applyFill="1" applyBorder="1" applyAlignment="1" applyProtection="1">
      <alignment horizontal="left"/>
      <protection locked="0"/>
    </xf>
    <xf numFmtId="0" fontId="14" fillId="0" borderId="17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/>
    <xf numFmtId="0" fontId="15" fillId="0" borderId="41" xfId="0" applyFont="1" applyBorder="1" applyAlignment="1" applyProtection="1">
      <protection locked="0"/>
    </xf>
    <xf numFmtId="0" fontId="15" fillId="58" borderId="13" xfId="0" applyFont="1" applyFill="1" applyBorder="1" applyAlignment="1" applyProtection="1">
      <alignment horizontal="left"/>
      <protection locked="0"/>
    </xf>
    <xf numFmtId="0" fontId="15" fillId="58" borderId="41" xfId="0" applyFont="1" applyFill="1" applyBorder="1" applyAlignment="1" applyProtection="1">
      <protection locked="0"/>
    </xf>
    <xf numFmtId="0" fontId="15" fillId="58" borderId="13" xfId="0" applyFont="1" applyFill="1" applyBorder="1" applyAlignment="1" applyProtection="1">
      <protection locked="0"/>
    </xf>
    <xf numFmtId="0" fontId="0" fillId="58" borderId="35" xfId="0" applyFill="1" applyBorder="1" applyProtection="1"/>
    <xf numFmtId="164" fontId="105" fillId="0" borderId="17" xfId="0" applyNumberFormat="1" applyFont="1" applyFill="1" applyBorder="1"/>
    <xf numFmtId="164" fontId="97" fillId="58" borderId="0" xfId="0" applyNumberFormat="1" applyFont="1" applyFill="1" applyBorder="1" applyProtection="1"/>
    <xf numFmtId="43" fontId="0" fillId="0" borderId="42" xfId="59" applyFont="1" applyBorder="1"/>
    <xf numFmtId="164" fontId="0" fillId="0" borderId="0" xfId="6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/>
    <xf numFmtId="0" fontId="14" fillId="0" borderId="0" xfId="0" applyFont="1" applyFill="1" applyAlignment="1">
      <alignment horizontal="center"/>
    </xf>
    <xf numFmtId="0" fontId="100" fillId="66" borderId="16" xfId="0" applyFont="1" applyFill="1" applyBorder="1"/>
    <xf numFmtId="164" fontId="2" fillId="0" borderId="0" xfId="58" applyNumberFormat="1" applyFont="1"/>
    <xf numFmtId="164" fontId="2" fillId="0" borderId="13" xfId="58" applyNumberFormat="1" applyFont="1" applyBorder="1"/>
    <xf numFmtId="164" fontId="2" fillId="64" borderId="19" xfId="58" applyNumberFormat="1" applyFont="1" applyFill="1" applyBorder="1"/>
    <xf numFmtId="164" fontId="2" fillId="74" borderId="0" xfId="58" applyNumberFormat="1" applyFont="1" applyFill="1" applyAlignment="1">
      <alignment horizontal="left"/>
    </xf>
    <xf numFmtId="0" fontId="2" fillId="74" borderId="0" xfId="0" applyFont="1" applyFill="1"/>
    <xf numFmtId="164" fontId="2" fillId="74" borderId="0" xfId="58" applyNumberFormat="1" applyFont="1" applyFill="1"/>
    <xf numFmtId="164" fontId="14" fillId="0" borderId="0" xfId="58" applyNumberFormat="1" applyFont="1"/>
    <xf numFmtId="3" fontId="14" fillId="0" borderId="0" xfId="0" applyNumberFormat="1" applyFont="1"/>
    <xf numFmtId="164" fontId="0" fillId="0" borderId="19" xfId="0" applyNumberFormat="1" applyBorder="1"/>
    <xf numFmtId="4" fontId="2" fillId="0" borderId="0" xfId="0" applyNumberFormat="1" applyFont="1" applyAlignment="1">
      <alignment horizontal="center"/>
    </xf>
    <xf numFmtId="3" fontId="2" fillId="0" borderId="89" xfId="0" applyNumberFormat="1" applyFont="1" applyBorder="1"/>
    <xf numFmtId="4" fontId="2" fillId="0" borderId="19" xfId="0" applyNumberFormat="1" applyFont="1" applyBorder="1"/>
    <xf numFmtId="164" fontId="2" fillId="58" borderId="0" xfId="0" applyNumberFormat="1" applyFont="1" applyFill="1" applyProtection="1"/>
    <xf numFmtId="0" fontId="2" fillId="61" borderId="51" xfId="0" applyFont="1" applyFill="1" applyBorder="1" applyAlignment="1" applyProtection="1">
      <alignment horizontal="center" wrapText="1"/>
    </xf>
    <xf numFmtId="165" fontId="5" fillId="58" borderId="0" xfId="128" applyFill="1" applyAlignment="1" applyProtection="1">
      <alignment horizontal="center"/>
    </xf>
    <xf numFmtId="164" fontId="0" fillId="58" borderId="0" xfId="0" applyNumberFormat="1" applyFill="1" applyProtection="1"/>
    <xf numFmtId="0" fontId="108" fillId="0" borderId="41" xfId="0" applyFont="1" applyFill="1" applyBorder="1" applyAlignment="1">
      <alignment horizontal="left"/>
    </xf>
    <xf numFmtId="0" fontId="109" fillId="0" borderId="41" xfId="0" applyFont="1" applyFill="1" applyBorder="1" applyAlignment="1">
      <alignment horizontal="left"/>
    </xf>
    <xf numFmtId="164" fontId="2" fillId="0" borderId="32" xfId="59" applyNumberFormat="1" applyFont="1" applyBorder="1"/>
    <xf numFmtId="39" fontId="2" fillId="0" borderId="47" xfId="56" applyNumberFormat="1" applyFont="1" applyFill="1" applyBorder="1" applyProtection="1"/>
    <xf numFmtId="164" fontId="106" fillId="0" borderId="32" xfId="56" applyNumberFormat="1" applyFont="1" applyFill="1" applyBorder="1"/>
    <xf numFmtId="0" fontId="100" fillId="0" borderId="41" xfId="0" applyFont="1" applyFill="1" applyBorder="1" applyAlignment="1">
      <alignment horizontal="left"/>
    </xf>
    <xf numFmtId="164" fontId="2" fillId="58" borderId="75" xfId="56" applyNumberFormat="1" applyFont="1" applyFill="1" applyBorder="1" applyProtection="1"/>
    <xf numFmtId="39" fontId="2" fillId="0" borderId="47" xfId="58" applyNumberFormat="1" applyFont="1" applyFill="1" applyBorder="1" applyProtection="1"/>
    <xf numFmtId="0" fontId="65" fillId="0" borderId="0" xfId="0" applyFont="1"/>
    <xf numFmtId="0" fontId="2" fillId="66" borderId="0" xfId="0" applyFont="1" applyFill="1"/>
    <xf numFmtId="164" fontId="2" fillId="66" borderId="0" xfId="56" applyNumberFormat="1" applyFont="1" applyFill="1"/>
    <xf numFmtId="0" fontId="78" fillId="0" borderId="32" xfId="0" applyFont="1" applyFill="1" applyBorder="1"/>
    <xf numFmtId="43" fontId="78" fillId="0" borderId="32" xfId="59" applyFont="1" applyFill="1" applyBorder="1"/>
    <xf numFmtId="164" fontId="78" fillId="0" borderId="32" xfId="59" applyNumberFormat="1" applyFont="1" applyFill="1" applyBorder="1"/>
    <xf numFmtId="4" fontId="0" fillId="0" borderId="0" xfId="0" applyNumberFormat="1" applyAlignment="1">
      <alignment horizontal="center"/>
    </xf>
    <xf numFmtId="4" fontId="14" fillId="0" borderId="0" xfId="0" applyNumberFormat="1" applyFont="1" applyAlignment="1">
      <alignment horizontal="center"/>
    </xf>
    <xf numFmtId="164" fontId="0" fillId="0" borderId="0" xfId="56" applyNumberFormat="1" applyFont="1" applyAlignment="1">
      <alignment horizontal="center"/>
    </xf>
    <xf numFmtId="10" fontId="0" fillId="0" borderId="0" xfId="134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43" fontId="0" fillId="0" borderId="0" xfId="59" applyFont="1" applyAlignment="1">
      <alignment horizontal="center"/>
    </xf>
    <xf numFmtId="43" fontId="2" fillId="0" borderId="0" xfId="0" applyNumberFormat="1" applyFont="1" applyBorder="1" applyAlignment="1">
      <alignment horizontal="center"/>
    </xf>
    <xf numFmtId="0" fontId="14" fillId="0" borderId="40" xfId="0" applyFont="1" applyFill="1" applyBorder="1" applyAlignment="1" applyProtection="1">
      <alignment horizontal="left"/>
      <protection locked="0"/>
    </xf>
    <xf numFmtId="164" fontId="66" fillId="0" borderId="0" xfId="56" applyNumberFormat="1" applyFont="1" applyFill="1"/>
    <xf numFmtId="164" fontId="14" fillId="0" borderId="0" xfId="56" applyNumberFormat="1" applyFont="1" applyFill="1"/>
    <xf numFmtId="164" fontId="0" fillId="0" borderId="0" xfId="56" applyNumberFormat="1" applyFont="1" applyFill="1" applyProtection="1">
      <protection locked="0"/>
    </xf>
    <xf numFmtId="164" fontId="66" fillId="0" borderId="0" xfId="56" applyNumberFormat="1" applyFont="1" applyFill="1" applyProtection="1">
      <protection locked="0"/>
    </xf>
    <xf numFmtId="164" fontId="14" fillId="0" borderId="0" xfId="56" applyNumberFormat="1" applyFont="1" applyProtection="1">
      <protection locked="0"/>
    </xf>
    <xf numFmtId="164" fontId="8" fillId="0" borderId="0" xfId="56" applyNumberFormat="1" applyFont="1" applyFill="1" applyBorder="1"/>
    <xf numFmtId="164" fontId="14" fillId="0" borderId="0" xfId="56" applyNumberFormat="1" applyFont="1" applyFill="1" applyBorder="1"/>
    <xf numFmtId="164" fontId="110" fillId="0" borderId="0" xfId="56" applyNumberFormat="1" applyFont="1" applyFill="1" applyBorder="1"/>
    <xf numFmtId="0" fontId="63" fillId="0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0" fontId="63" fillId="0" borderId="0" xfId="0" applyFont="1" applyAlignment="1">
      <alignment horizontal="center"/>
    </xf>
    <xf numFmtId="44" fontId="63" fillId="0" borderId="0" xfId="76" applyFont="1" applyFill="1" applyBorder="1" applyAlignment="1">
      <alignment horizontal="left"/>
    </xf>
    <xf numFmtId="164" fontId="0" fillId="0" borderId="0" xfId="0" applyNumberFormat="1" applyFill="1" applyBorder="1" applyAlignment="1">
      <alignment horizontal="center"/>
    </xf>
    <xf numFmtId="164" fontId="0" fillId="0" borderId="0" xfId="58" applyNumberFormat="1" applyFont="1" applyFill="1" applyBorder="1" applyAlignment="1">
      <alignment horizontal="center"/>
    </xf>
    <xf numFmtId="164" fontId="2" fillId="0" borderId="0" xfId="58" applyNumberFormat="1" applyFont="1" applyFill="1" applyBorder="1" applyAlignment="1">
      <alignment horizontal="center"/>
    </xf>
    <xf numFmtId="164" fontId="67" fillId="0" borderId="0" xfId="56" applyNumberFormat="1" applyFont="1" applyAlignment="1">
      <alignment horizontal="center"/>
    </xf>
    <xf numFmtId="44" fontId="65" fillId="0" borderId="0" xfId="76" applyFont="1" applyFill="1" applyBorder="1"/>
    <xf numFmtId="0" fontId="63" fillId="0" borderId="0" xfId="0" applyFont="1" applyFill="1" applyBorder="1"/>
    <xf numFmtId="39" fontId="14" fillId="0" borderId="47" xfId="58" applyNumberFormat="1" applyFont="1" applyFill="1" applyBorder="1" applyProtection="1"/>
    <xf numFmtId="37" fontId="2" fillId="66" borderId="83" xfId="58" applyNumberFormat="1" applyFont="1" applyFill="1" applyBorder="1" applyProtection="1"/>
    <xf numFmtId="39" fontId="2" fillId="66" borderId="76" xfId="58" applyNumberFormat="1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37" fontId="2" fillId="0" borderId="0" xfId="58" applyNumberFormat="1" applyFont="1" applyFill="1" applyBorder="1" applyProtection="1"/>
    <xf numFmtId="39" fontId="2" fillId="0" borderId="26" xfId="58" applyNumberFormat="1" applyFont="1" applyFill="1" applyBorder="1" applyProtection="1"/>
    <xf numFmtId="165" fontId="4" fillId="58" borderId="21" xfId="128" applyFont="1" applyFill="1" applyBorder="1" applyAlignment="1" applyProtection="1">
      <alignment horizontal="center"/>
    </xf>
    <xf numFmtId="165" fontId="4" fillId="58" borderId="29" xfId="128" applyFont="1" applyFill="1" applyBorder="1" applyAlignment="1" applyProtection="1">
      <alignment horizontal="center" vertical="top"/>
    </xf>
    <xf numFmtId="165" fontId="5" fillId="58" borderId="0" xfId="128" applyFill="1" applyBorder="1" applyAlignment="1" applyProtection="1">
      <alignment horizontal="center" vertical="top" wrapText="1"/>
    </xf>
    <xf numFmtId="0" fontId="0" fillId="58" borderId="0" xfId="0" applyFill="1" applyBorder="1" applyAlignment="1" applyProtection="1">
      <alignment horizontal="center"/>
    </xf>
    <xf numFmtId="0" fontId="2" fillId="60" borderId="52" xfId="0" applyFont="1" applyFill="1" applyBorder="1" applyAlignment="1" applyProtection="1">
      <alignment horizontal="center" wrapText="1"/>
    </xf>
    <xf numFmtId="0" fontId="2" fillId="24" borderId="49" xfId="0" applyFont="1" applyFill="1" applyBorder="1" applyAlignment="1" applyProtection="1">
      <alignment horizontal="center" wrapText="1"/>
    </xf>
    <xf numFmtId="0" fontId="14" fillId="0" borderId="23" xfId="0" quotePrefix="1" applyFont="1" applyBorder="1" applyAlignment="1" applyProtection="1">
      <alignment horizontal="center"/>
      <protection locked="0"/>
    </xf>
    <xf numFmtId="0" fontId="14" fillId="0" borderId="0" xfId="0" quotePrefix="1" applyFont="1" applyBorder="1" applyAlignment="1" applyProtection="1">
      <alignment horizontal="center"/>
      <protection locked="0"/>
    </xf>
    <xf numFmtId="0" fontId="0" fillId="58" borderId="0" xfId="0" applyFill="1" applyAlignment="1" applyProtection="1">
      <alignment horizontal="center"/>
    </xf>
    <xf numFmtId="0" fontId="14" fillId="0" borderId="23" xfId="0" quotePrefix="1" applyFont="1" applyBorder="1" applyAlignment="1" applyProtection="1">
      <alignment horizontal="center"/>
    </xf>
    <xf numFmtId="0" fontId="14" fillId="0" borderId="23" xfId="0" quotePrefix="1" applyFont="1" applyFill="1" applyBorder="1" applyAlignment="1" applyProtection="1">
      <alignment horizontal="center"/>
      <protection locked="0"/>
    </xf>
    <xf numFmtId="0" fontId="14" fillId="0" borderId="23" xfId="0" applyFont="1" applyBorder="1" applyAlignment="1" applyProtection="1">
      <alignment horizontal="center"/>
    </xf>
    <xf numFmtId="44" fontId="65" fillId="0" borderId="0" xfId="76" applyFont="1" applyFill="1" applyBorder="1" applyAlignment="1">
      <alignment horizontal="left"/>
    </xf>
    <xf numFmtId="168" fontId="110" fillId="0" borderId="0" xfId="76" applyNumberFormat="1" applyFont="1" applyFill="1" applyBorder="1"/>
    <xf numFmtId="44" fontId="65" fillId="0" borderId="0" xfId="0" applyNumberFormat="1" applyFont="1" applyFill="1" applyBorder="1"/>
    <xf numFmtId="164" fontId="110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164" fontId="67" fillId="0" borderId="0" xfId="56" applyNumberFormat="1" applyFont="1" applyFill="1" applyBorder="1" applyAlignment="1">
      <alignment horizontal="center"/>
    </xf>
    <xf numFmtId="164" fontId="64" fillId="0" borderId="0" xfId="56" applyNumberFormat="1" applyFont="1" applyFill="1" applyBorder="1"/>
    <xf numFmtId="0" fontId="67" fillId="0" borderId="0" xfId="0" applyFont="1" applyFill="1" applyBorder="1" applyAlignment="1">
      <alignment horizontal="center"/>
    </xf>
    <xf numFmtId="168" fontId="65" fillId="0" borderId="0" xfId="0" applyNumberFormat="1" applyFont="1" applyFill="1" applyBorder="1"/>
    <xf numFmtId="164" fontId="0" fillId="0" borderId="0" xfId="58" applyNumberFormat="1" applyFont="1" applyFill="1" applyBorder="1"/>
    <xf numFmtId="164" fontId="2" fillId="0" borderId="0" xfId="58" applyNumberFormat="1" applyFont="1" applyFill="1" applyBorder="1"/>
    <xf numFmtId="0" fontId="14" fillId="0" borderId="13" xfId="0" applyFont="1" applyBorder="1" applyProtection="1">
      <protection locked="0"/>
    </xf>
    <xf numFmtId="164" fontId="111" fillId="0" borderId="0" xfId="56" applyNumberFormat="1" applyFont="1"/>
    <xf numFmtId="164" fontId="2" fillId="75" borderId="28" xfId="0" applyNumberFormat="1" applyFont="1" applyFill="1" applyBorder="1"/>
    <xf numFmtId="38" fontId="0" fillId="0" borderId="0" xfId="0" applyNumberFormat="1"/>
    <xf numFmtId="205" fontId="0" fillId="0" borderId="0" xfId="49" applyFont="1" applyFill="1" applyBorder="1">
      <alignment vertical="center"/>
      <protection locked="0"/>
    </xf>
    <xf numFmtId="164" fontId="2" fillId="72" borderId="19" xfId="56" applyNumberFormat="1" applyFont="1" applyFill="1" applyBorder="1"/>
    <xf numFmtId="164" fontId="2" fillId="0" borderId="0" xfId="56" applyNumberFormat="1" applyFont="1" applyFill="1" applyBorder="1"/>
    <xf numFmtId="0" fontId="2" fillId="64" borderId="0" xfId="0" applyFont="1" applyFill="1" applyBorder="1"/>
    <xf numFmtId="164" fontId="2" fillId="64" borderId="0" xfId="0" applyNumberFormat="1" applyFont="1" applyFill="1"/>
    <xf numFmtId="164" fontId="2" fillId="65" borderId="0" xfId="0" applyNumberFormat="1" applyFont="1" applyFill="1" applyBorder="1"/>
    <xf numFmtId="0" fontId="67" fillId="0" borderId="0" xfId="0" applyFont="1"/>
    <xf numFmtId="0" fontId="69" fillId="0" borderId="0" xfId="0" applyFont="1"/>
    <xf numFmtId="164" fontId="95" fillId="0" borderId="90" xfId="59" applyNumberFormat="1" applyFont="1" applyFill="1" applyBorder="1"/>
    <xf numFmtId="164" fontId="2" fillId="0" borderId="0" xfId="59" applyNumberFormat="1" applyFont="1" applyFill="1" applyBorder="1"/>
    <xf numFmtId="164" fontId="2" fillId="0" borderId="19" xfId="59" applyNumberFormat="1" applyFont="1" applyFill="1" applyBorder="1"/>
    <xf numFmtId="164" fontId="2" fillId="0" borderId="0" xfId="59" applyNumberFormat="1" applyFont="1" applyFill="1"/>
    <xf numFmtId="164" fontId="2" fillId="0" borderId="89" xfId="59" applyNumberFormat="1" applyFont="1" applyFill="1" applyBorder="1"/>
    <xf numFmtId="164" fontId="2" fillId="0" borderId="19" xfId="56" applyNumberFormat="1" applyFont="1" applyFill="1" applyBorder="1"/>
    <xf numFmtId="0" fontId="2" fillId="66" borderId="19" xfId="0" applyFont="1" applyFill="1" applyBorder="1"/>
    <xf numFmtId="164" fontId="2" fillId="0" borderId="0" xfId="56" applyNumberFormat="1" applyFont="1" applyFill="1"/>
    <xf numFmtId="3" fontId="2" fillId="65" borderId="90" xfId="0" applyNumberFormat="1" applyFont="1" applyFill="1" applyBorder="1"/>
    <xf numFmtId="3" fontId="14" fillId="65" borderId="19" xfId="0" applyNumberFormat="1" applyFont="1" applyFill="1" applyBorder="1"/>
    <xf numFmtId="3" fontId="2" fillId="65" borderId="0" xfId="0" applyNumberFormat="1" applyFont="1" applyFill="1"/>
    <xf numFmtId="164" fontId="14" fillId="0" borderId="19" xfId="0" applyNumberFormat="1" applyFont="1" applyFill="1" applyBorder="1"/>
    <xf numFmtId="0" fontId="98" fillId="0" borderId="19" xfId="0" pivotButton="1" applyFont="1" applyBorder="1" applyAlignment="1">
      <alignment horizontal="center"/>
    </xf>
    <xf numFmtId="0" fontId="2" fillId="73" borderId="0" xfId="0" applyFont="1" applyFill="1"/>
    <xf numFmtId="0" fontId="2" fillId="73" borderId="19" xfId="0" applyFont="1" applyFill="1" applyBorder="1"/>
    <xf numFmtId="164" fontId="104" fillId="0" borderId="0" xfId="59" applyNumberFormat="1" applyFont="1" applyFill="1" applyBorder="1"/>
    <xf numFmtId="164" fontId="104" fillId="0" borderId="0" xfId="0" applyNumberFormat="1" applyFont="1" applyFill="1" applyBorder="1"/>
    <xf numFmtId="175" fontId="2" fillId="0" borderId="0" xfId="134" applyNumberFormat="1" applyFont="1" applyFill="1" applyBorder="1" applyAlignment="1">
      <alignment horizontal="center"/>
    </xf>
    <xf numFmtId="9" fontId="2" fillId="0" borderId="0" xfId="134" applyFont="1" applyFill="1" applyBorder="1" applyAlignment="1">
      <alignment horizontal="center"/>
    </xf>
    <xf numFmtId="0" fontId="104" fillId="0" borderId="0" xfId="0" applyFont="1" applyFill="1" applyBorder="1"/>
    <xf numFmtId="164" fontId="2" fillId="0" borderId="19" xfId="58" applyNumberFormat="1" applyFont="1" applyBorder="1"/>
    <xf numFmtId="164" fontId="2" fillId="0" borderId="89" xfId="58" applyNumberFormat="1" applyFont="1" applyBorder="1"/>
    <xf numFmtId="0" fontId="2" fillId="76" borderId="0" xfId="0" applyFont="1" applyFill="1" applyAlignment="1">
      <alignment horizontal="center"/>
    </xf>
    <xf numFmtId="164" fontId="2" fillId="76" borderId="0" xfId="58" applyNumberFormat="1" applyFont="1" applyFill="1" applyAlignment="1">
      <alignment horizontal="center"/>
    </xf>
    <xf numFmtId="164" fontId="2" fillId="0" borderId="0" xfId="58" applyNumberFormat="1" applyFont="1" applyFill="1"/>
    <xf numFmtId="164" fontId="2" fillId="73" borderId="0" xfId="56" applyNumberFormat="1" applyFont="1" applyFill="1"/>
    <xf numFmtId="164" fontId="2" fillId="65" borderId="0" xfId="56" applyNumberFormat="1" applyFont="1" applyFill="1"/>
    <xf numFmtId="0" fontId="0" fillId="0" borderId="0" xfId="0" applyNumberFormat="1"/>
    <xf numFmtId="164" fontId="70" fillId="58" borderId="0" xfId="56" applyNumberFormat="1" applyFont="1" applyFill="1" applyProtection="1"/>
    <xf numFmtId="164" fontId="0" fillId="0" borderId="68" xfId="59" applyNumberFormat="1" applyFont="1" applyBorder="1"/>
    <xf numFmtId="0" fontId="0" fillId="0" borderId="14" xfId="0" applyBorder="1"/>
    <xf numFmtId="164" fontId="0" fillId="0" borderId="14" xfId="59" applyNumberFormat="1" applyFont="1" applyBorder="1"/>
    <xf numFmtId="0" fontId="0" fillId="0" borderId="32" xfId="0" applyNumberFormat="1" applyBorder="1"/>
    <xf numFmtId="164" fontId="103" fillId="0" borderId="32" xfId="0" applyNumberFormat="1" applyFont="1" applyFill="1" applyBorder="1"/>
    <xf numFmtId="164" fontId="103" fillId="0" borderId="0" xfId="56" applyNumberFormat="1" applyFont="1" applyFill="1" applyBorder="1"/>
    <xf numFmtId="164" fontId="14" fillId="0" borderId="0" xfId="56" applyNumberFormat="1" applyFont="1"/>
    <xf numFmtId="164" fontId="50" fillId="58" borderId="0" xfId="56" applyNumberFormat="1" applyFont="1" applyFill="1" applyProtection="1"/>
    <xf numFmtId="164" fontId="14" fillId="0" borderId="0" xfId="56" applyNumberFormat="1" applyFont="1" applyFill="1" applyProtection="1"/>
    <xf numFmtId="0" fontId="2" fillId="0" borderId="0" xfId="0" applyFont="1" applyFill="1"/>
    <xf numFmtId="0" fontId="0" fillId="0" borderId="0" xfId="0" applyNumberFormat="1" applyFill="1"/>
    <xf numFmtId="43" fontId="0" fillId="0" borderId="0" xfId="56" applyFont="1" applyFill="1"/>
    <xf numFmtId="3" fontId="0" fillId="73" borderId="0" xfId="0" applyNumberFormat="1" applyFill="1"/>
    <xf numFmtId="39" fontId="32" fillId="58" borderId="68" xfId="56" applyNumberFormat="1" applyFont="1" applyFill="1" applyBorder="1" applyProtection="1">
      <protection locked="0"/>
    </xf>
    <xf numFmtId="0" fontId="14" fillId="58" borderId="0" xfId="0" applyFont="1" applyFill="1" applyAlignment="1" applyProtection="1">
      <alignment horizontal="center"/>
    </xf>
    <xf numFmtId="164" fontId="98" fillId="0" borderId="41" xfId="56" applyNumberFormat="1" applyFont="1" applyBorder="1"/>
    <xf numFmtId="0" fontId="0" fillId="0" borderId="32" xfId="0" applyNumberFormat="1" applyFill="1" applyBorder="1"/>
    <xf numFmtId="164" fontId="2" fillId="0" borderId="32" xfId="59" applyNumberFormat="1" applyFont="1" applyFill="1" applyBorder="1"/>
    <xf numFmtId="0" fontId="112" fillId="0" borderId="41" xfId="0" applyFont="1" applyFill="1" applyBorder="1" applyAlignment="1">
      <alignment horizontal="left"/>
    </xf>
    <xf numFmtId="37" fontId="0" fillId="0" borderId="32" xfId="58" applyNumberFormat="1" applyFont="1" applyFill="1" applyBorder="1" applyProtection="1">
      <protection locked="0"/>
    </xf>
    <xf numFmtId="164" fontId="70" fillId="0" borderId="0" xfId="56" applyNumberFormat="1" applyFont="1" applyFill="1"/>
    <xf numFmtId="0" fontId="14" fillId="71" borderId="0" xfId="0" applyFont="1" applyFill="1"/>
    <xf numFmtId="0" fontId="0" fillId="71" borderId="0" xfId="0" applyFill="1"/>
    <xf numFmtId="0" fontId="0" fillId="71" borderId="0" xfId="0" applyFill="1" applyAlignment="1">
      <alignment horizontal="center"/>
    </xf>
    <xf numFmtId="0" fontId="2" fillId="71" borderId="0" xfId="0" applyFont="1" applyFill="1" applyAlignment="1">
      <alignment wrapText="1"/>
    </xf>
    <xf numFmtId="0" fontId="2" fillId="71" borderId="0" xfId="0" applyFont="1" applyFill="1"/>
    <xf numFmtId="0" fontId="2" fillId="71" borderId="0" xfId="0" applyFont="1" applyFill="1" applyAlignment="1">
      <alignment horizontal="center"/>
    </xf>
    <xf numFmtId="43" fontId="70" fillId="0" borderId="0" xfId="56" applyFont="1" applyFill="1"/>
    <xf numFmtId="39" fontId="70" fillId="0" borderId="48" xfId="56" applyNumberFormat="1" applyFont="1" applyFill="1" applyBorder="1" applyProtection="1"/>
    <xf numFmtId="39" fontId="2" fillId="66" borderId="92" xfId="56" applyNumberFormat="1" applyFont="1" applyFill="1" applyBorder="1" applyProtection="1"/>
    <xf numFmtId="164" fontId="2" fillId="66" borderId="83" xfId="56" applyNumberFormat="1" applyFont="1" applyFill="1" applyBorder="1" applyProtection="1"/>
    <xf numFmtId="164" fontId="2" fillId="0" borderId="0" xfId="56" applyNumberFormat="1" applyFont="1" applyFill="1" applyBorder="1" applyProtection="1"/>
    <xf numFmtId="164" fontId="14" fillId="24" borderId="32" xfId="56" applyNumberFormat="1" applyFont="1" applyFill="1" applyBorder="1" applyAlignment="1" applyProtection="1">
      <alignment horizontal="center"/>
    </xf>
    <xf numFmtId="164" fontId="32" fillId="58" borderId="68" xfId="56" applyNumberFormat="1" applyFont="1" applyFill="1" applyBorder="1" applyProtection="1">
      <protection locked="0"/>
    </xf>
    <xf numFmtId="164" fontId="32" fillId="58" borderId="32" xfId="56" applyNumberFormat="1" applyFont="1" applyFill="1" applyBorder="1" applyProtection="1">
      <protection locked="0"/>
    </xf>
    <xf numFmtId="164" fontId="2" fillId="66" borderId="75" xfId="56" applyNumberFormat="1" applyFont="1" applyFill="1" applyBorder="1" applyProtection="1"/>
    <xf numFmtId="164" fontId="71" fillId="58" borderId="0" xfId="56" applyNumberFormat="1" applyFont="1" applyFill="1" applyProtection="1"/>
    <xf numFmtId="164" fontId="2" fillId="66" borderId="90" xfId="56" applyNumberFormat="1" applyFont="1" applyFill="1" applyBorder="1" applyProtection="1"/>
    <xf numFmtId="37" fontId="14" fillId="58" borderId="68" xfId="58" applyNumberFormat="1" applyFont="1" applyFill="1" applyBorder="1" applyProtection="1">
      <protection locked="0"/>
    </xf>
    <xf numFmtId="37" fontId="0" fillId="0" borderId="68" xfId="58" applyNumberFormat="1" applyFont="1" applyFill="1" applyBorder="1" applyProtection="1">
      <protection locked="0"/>
    </xf>
    <xf numFmtId="0" fontId="0" fillId="0" borderId="0" xfId="0" applyFill="1" applyAlignment="1" applyProtection="1">
      <alignment horizontal="right"/>
    </xf>
    <xf numFmtId="0" fontId="2" fillId="0" borderId="0" xfId="0" applyFont="1" applyFill="1" applyProtection="1"/>
    <xf numFmtId="37" fontId="2" fillId="0" borderId="0" xfId="0" applyNumberFormat="1" applyFont="1" applyFill="1" applyProtection="1"/>
    <xf numFmtId="39" fontId="2" fillId="0" borderId="0" xfId="58" applyNumberFormat="1" applyFont="1" applyFill="1" applyBorder="1" applyProtection="1"/>
    <xf numFmtId="37" fontId="0" fillId="0" borderId="0" xfId="0" applyNumberFormat="1" applyFill="1" applyProtection="1"/>
    <xf numFmtId="164" fontId="70" fillId="0" borderId="0" xfId="56" applyNumberFormat="1" applyFont="1" applyFill="1" applyProtection="1"/>
    <xf numFmtId="164" fontId="2" fillId="0" borderId="0" xfId="56" applyNumberFormat="1" applyFont="1" applyFill="1" applyProtection="1"/>
    <xf numFmtId="164" fontId="2" fillId="0" borderId="0" xfId="0" applyNumberFormat="1" applyFont="1" applyFill="1" applyProtection="1"/>
    <xf numFmtId="0" fontId="113" fillId="0" borderId="0" xfId="0" applyFont="1" applyAlignment="1">
      <alignment horizontal="center"/>
    </xf>
    <xf numFmtId="0" fontId="0" fillId="0" borderId="0" xfId="0" applyAlignment="1"/>
    <xf numFmtId="0" fontId="2" fillId="77" borderId="0" xfId="0" applyFont="1" applyFill="1" applyBorder="1" applyAlignment="1">
      <alignment horizontal="left"/>
    </xf>
    <xf numFmtId="164" fontId="105" fillId="0" borderId="0" xfId="56" applyNumberFormat="1" applyFont="1" applyAlignment="1">
      <alignment horizontal="right" vertical="top"/>
    </xf>
    <xf numFmtId="164" fontId="98" fillId="0" borderId="0" xfId="56" applyNumberFormat="1" applyFont="1" applyBorder="1"/>
    <xf numFmtId="164" fontId="97" fillId="0" borderId="0" xfId="56" applyNumberFormat="1" applyFont="1" applyBorder="1"/>
    <xf numFmtId="164" fontId="0" fillId="0" borderId="31" xfId="56" applyNumberFormat="1" applyFont="1" applyBorder="1"/>
    <xf numFmtId="0" fontId="114" fillId="0" borderId="0" xfId="0" applyFont="1"/>
    <xf numFmtId="164" fontId="0" fillId="78" borderId="0" xfId="0" applyNumberFormat="1" applyFill="1" applyBorder="1"/>
    <xf numFmtId="164" fontId="66" fillId="0" borderId="0" xfId="56" applyNumberFormat="1" applyFont="1" applyFill="1" applyBorder="1"/>
    <xf numFmtId="0" fontId="0" fillId="0" borderId="16" xfId="0" applyBorder="1" applyAlignment="1">
      <alignment horizontal="left"/>
    </xf>
    <xf numFmtId="0" fontId="0" fillId="0" borderId="15" xfId="0" applyFill="1" applyBorder="1" applyAlignment="1">
      <alignment horizontal="left"/>
    </xf>
    <xf numFmtId="0" fontId="58" fillId="0" borderId="0" xfId="0" applyFont="1" applyBorder="1" applyAlignment="1">
      <alignment horizontal="left"/>
    </xf>
    <xf numFmtId="164" fontId="2" fillId="63" borderId="0" xfId="56" applyNumberFormat="1" applyFont="1" applyFill="1" applyAlignment="1">
      <alignment horizontal="center"/>
    </xf>
    <xf numFmtId="0" fontId="2" fillId="66" borderId="19" xfId="0" applyFont="1" applyFill="1" applyBorder="1" applyAlignment="1">
      <alignment horizontal="center"/>
    </xf>
    <xf numFmtId="0" fontId="2" fillId="74" borderId="0" xfId="0" applyFont="1" applyFill="1" applyAlignment="1">
      <alignment horizontal="left"/>
    </xf>
    <xf numFmtId="164" fontId="0" fillId="74" borderId="0" xfId="0" applyNumberFormat="1" applyFill="1"/>
    <xf numFmtId="164" fontId="2" fillId="74" borderId="0" xfId="0" applyNumberFormat="1" applyFont="1" applyFill="1"/>
    <xf numFmtId="0" fontId="0" fillId="74" borderId="0" xfId="0" applyFill="1" applyAlignment="1">
      <alignment horizontal="left"/>
    </xf>
    <xf numFmtId="164" fontId="2" fillId="78" borderId="20" xfId="0" applyNumberFormat="1" applyFont="1" applyFill="1" applyBorder="1"/>
    <xf numFmtId="0" fontId="2" fillId="79" borderId="0" xfId="0" applyFont="1" applyFill="1" applyAlignment="1">
      <alignment horizontal="left"/>
    </xf>
    <xf numFmtId="0" fontId="83" fillId="74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0" fillId="74" borderId="0" xfId="0" applyFill="1" applyBorder="1" applyAlignment="1">
      <alignment horizontal="left"/>
    </xf>
    <xf numFmtId="0" fontId="14" fillId="74" borderId="0" xfId="0" applyFont="1" applyFill="1" applyBorder="1"/>
    <xf numFmtId="0" fontId="0" fillId="74" borderId="20" xfId="0" applyFill="1" applyBorder="1" applyAlignment="1">
      <alignment horizontal="left"/>
    </xf>
    <xf numFmtId="164" fontId="15" fillId="0" borderId="0" xfId="0" applyNumberFormat="1" applyFont="1" applyBorder="1"/>
    <xf numFmtId="164" fontId="15" fillId="0" borderId="20" xfId="0" applyNumberFormat="1" applyFont="1" applyBorder="1" applyAlignment="1"/>
    <xf numFmtId="164" fontId="15" fillId="0" borderId="20" xfId="0" applyNumberFormat="1" applyFont="1" applyFill="1" applyBorder="1"/>
    <xf numFmtId="164" fontId="95" fillId="0" borderId="0" xfId="0" applyNumberFormat="1" applyFont="1" applyFill="1" applyBorder="1"/>
    <xf numFmtId="0" fontId="14" fillId="74" borderId="0" xfId="0" applyFont="1" applyFill="1" applyAlignment="1">
      <alignment horizontal="left"/>
    </xf>
    <xf numFmtId="43" fontId="0" fillId="0" borderId="0" xfId="0" applyNumberFormat="1" applyFill="1" applyBorder="1" applyAlignment="1">
      <alignment horizontal="left"/>
    </xf>
    <xf numFmtId="0" fontId="2" fillId="70" borderId="87" xfId="0" applyFont="1" applyFill="1" applyBorder="1" applyAlignment="1">
      <alignment horizontal="center" wrapText="1"/>
    </xf>
    <xf numFmtId="43" fontId="2" fillId="70" borderId="87" xfId="58" applyFont="1" applyFill="1" applyBorder="1" applyAlignment="1">
      <alignment horizontal="center" wrapText="1"/>
    </xf>
    <xf numFmtId="43" fontId="2" fillId="70" borderId="93" xfId="58" applyFont="1" applyFill="1" applyBorder="1" applyAlignment="1">
      <alignment horizontal="center" wrapText="1"/>
    </xf>
    <xf numFmtId="0" fontId="2" fillId="70" borderId="94" xfId="0" applyFont="1" applyFill="1" applyBorder="1" applyAlignment="1">
      <alignment horizontal="center"/>
    </xf>
    <xf numFmtId="168" fontId="2" fillId="0" borderId="0" xfId="77" applyNumberFormat="1" applyFont="1" applyAlignment="1">
      <alignment horizontal="center"/>
    </xf>
    <xf numFmtId="164" fontId="2" fillId="0" borderId="0" xfId="58" applyNumberFormat="1" applyFont="1" applyAlignment="1">
      <alignment horizontal="center"/>
    </xf>
    <xf numFmtId="2" fontId="2" fillId="0" borderId="0" xfId="0" applyNumberFormat="1" applyFont="1"/>
    <xf numFmtId="168" fontId="2" fillId="0" borderId="0" xfId="77" applyNumberFormat="1" applyFont="1"/>
    <xf numFmtId="164" fontId="2" fillId="0" borderId="0" xfId="58" applyNumberFormat="1" applyFont="1" applyAlignment="1"/>
    <xf numFmtId="168" fontId="2" fillId="70" borderId="0" xfId="77" applyNumberFormat="1" applyFont="1" applyFill="1"/>
    <xf numFmtId="164" fontId="2" fillId="70" borderId="0" xfId="58" applyNumberFormat="1" applyFont="1" applyFill="1" applyAlignment="1"/>
    <xf numFmtId="2" fontId="2" fillId="70" borderId="0" xfId="0" applyNumberFormat="1" applyFont="1" applyFill="1"/>
    <xf numFmtId="0" fontId="2" fillId="73" borderId="0" xfId="0" applyFont="1" applyFill="1" applyAlignment="1">
      <alignment horizontal="center"/>
    </xf>
    <xf numFmtId="0" fontId="0" fillId="73" borderId="0" xfId="0" applyFill="1" applyAlignment="1">
      <alignment horizontal="center"/>
    </xf>
    <xf numFmtId="164" fontId="2" fillId="73" borderId="0" xfId="58" applyNumberFormat="1" applyFont="1" applyFill="1" applyAlignment="1">
      <alignment horizontal="center"/>
    </xf>
    <xf numFmtId="168" fontId="2" fillId="0" borderId="0" xfId="0" applyNumberFormat="1" applyFont="1"/>
    <xf numFmtId="43" fontId="2" fillId="70" borderId="13" xfId="58" applyFont="1" applyFill="1" applyBorder="1" applyAlignment="1">
      <alignment horizontal="center" wrapText="1"/>
    </xf>
    <xf numFmtId="43" fontId="2" fillId="70" borderId="42" xfId="58" applyFont="1" applyFill="1" applyBorder="1" applyAlignment="1">
      <alignment horizontal="center" wrapText="1"/>
    </xf>
    <xf numFmtId="43" fontId="14" fillId="0" borderId="0" xfId="58" applyFont="1" applyAlignment="1">
      <alignment horizontal="center"/>
    </xf>
    <xf numFmtId="43" fontId="0" fillId="0" borderId="0" xfId="58" applyFont="1" applyAlignment="1">
      <alignment horizontal="center"/>
    </xf>
    <xf numFmtId="168" fontId="0" fillId="0" borderId="0" xfId="77" applyNumberFormat="1" applyFont="1" applyAlignment="1">
      <alignment horizontal="center"/>
    </xf>
    <xf numFmtId="0" fontId="2" fillId="80" borderId="0" xfId="0" applyFont="1" applyFill="1"/>
    <xf numFmtId="0" fontId="0" fillId="80" borderId="0" xfId="0" applyFill="1"/>
    <xf numFmtId="168" fontId="2" fillId="80" borderId="0" xfId="0" applyNumberFormat="1" applyFont="1" applyFill="1"/>
    <xf numFmtId="164" fontId="2" fillId="80" borderId="0" xfId="0" applyNumberFormat="1" applyFont="1" applyFill="1"/>
    <xf numFmtId="164" fontId="2" fillId="80" borderId="0" xfId="58" applyNumberFormat="1" applyFont="1" applyFill="1"/>
    <xf numFmtId="2" fontId="2" fillId="80" borderId="0" xfId="0" applyNumberFormat="1" applyFont="1" applyFill="1"/>
    <xf numFmtId="0" fontId="2" fillId="70" borderId="13" xfId="0" applyFont="1" applyFill="1" applyBorder="1" applyAlignment="1">
      <alignment horizontal="center" wrapText="1"/>
    </xf>
    <xf numFmtId="49" fontId="95" fillId="70" borderId="41" xfId="0" applyNumberFormat="1" applyFont="1" applyFill="1" applyBorder="1" applyAlignment="1">
      <alignment horizontal="center" wrapText="1"/>
    </xf>
    <xf numFmtId="49" fontId="95" fillId="70" borderId="84" xfId="0" applyNumberFormat="1" applyFont="1" applyFill="1" applyBorder="1" applyAlignment="1">
      <alignment horizontal="center" wrapText="1"/>
    </xf>
    <xf numFmtId="0" fontId="14" fillId="0" borderId="0" xfId="0" applyFont="1" applyFill="1" applyAlignment="1">
      <alignment wrapText="1"/>
    </xf>
    <xf numFmtId="0" fontId="105" fillId="0" borderId="0" xfId="0" applyFont="1" applyFill="1" applyBorder="1" applyAlignment="1">
      <alignment horizontal="left"/>
    </xf>
    <xf numFmtId="0" fontId="14" fillId="0" borderId="0" xfId="0" applyFont="1" applyFill="1" applyBorder="1" applyAlignment="1" applyProtection="1">
      <protection locked="0"/>
    </xf>
    <xf numFmtId="49" fontId="95" fillId="64" borderId="84" xfId="0" applyNumberFormat="1" applyFont="1" applyFill="1" applyBorder="1" applyAlignment="1">
      <alignment horizontal="center" wrapText="1"/>
    </xf>
    <xf numFmtId="0" fontId="100" fillId="0" borderId="0" xfId="0" applyFont="1"/>
    <xf numFmtId="0" fontId="100" fillId="0" borderId="113" xfId="0" applyFont="1" applyBorder="1"/>
    <xf numFmtId="43" fontId="2" fillId="0" borderId="0" xfId="0" applyNumberFormat="1" applyFont="1"/>
    <xf numFmtId="2" fontId="2" fillId="0" borderId="0" xfId="0" applyNumberFormat="1" applyFont="1" applyFill="1" applyBorder="1"/>
    <xf numFmtId="0" fontId="115" fillId="0" borderId="0" xfId="0" applyFont="1" applyBorder="1"/>
    <xf numFmtId="0" fontId="83" fillId="0" borderId="0" xfId="0" applyFont="1" applyFill="1"/>
    <xf numFmtId="0" fontId="100" fillId="62" borderId="114" xfId="0" applyFont="1" applyFill="1" applyBorder="1"/>
    <xf numFmtId="164" fontId="100" fillId="62" borderId="114" xfId="0" applyNumberFormat="1" applyFont="1" applyFill="1" applyBorder="1"/>
    <xf numFmtId="168" fontId="0" fillId="0" borderId="0" xfId="77" applyNumberFormat="1" applyFont="1" applyFill="1" applyBorder="1"/>
    <xf numFmtId="168" fontId="0" fillId="0" borderId="0" xfId="77" applyNumberFormat="1" applyFont="1"/>
    <xf numFmtId="2" fontId="2" fillId="69" borderId="0" xfId="0" applyNumberFormat="1" applyFont="1" applyFill="1"/>
    <xf numFmtId="37" fontId="2" fillId="0" borderId="75" xfId="56" applyNumberFormat="1" applyFont="1" applyFill="1" applyBorder="1" applyProtection="1"/>
    <xf numFmtId="3" fontId="0" fillId="0" borderId="0" xfId="0" applyNumberFormat="1" applyFill="1"/>
    <xf numFmtId="0" fontId="100" fillId="62" borderId="41" xfId="0" applyFont="1" applyFill="1" applyBorder="1" applyAlignment="1">
      <alignment horizontal="center"/>
    </xf>
    <xf numFmtId="0" fontId="100" fillId="62" borderId="13" xfId="0" applyFont="1" applyFill="1" applyBorder="1" applyAlignment="1">
      <alignment horizontal="center"/>
    </xf>
    <xf numFmtId="164" fontId="100" fillId="62" borderId="13" xfId="0" applyNumberFormat="1" applyFont="1" applyFill="1" applyBorder="1" applyAlignment="1">
      <alignment horizontal="center"/>
    </xf>
    <xf numFmtId="164" fontId="100" fillId="62" borderId="42" xfId="0" applyNumberFormat="1" applyFont="1" applyFill="1" applyBorder="1" applyAlignment="1">
      <alignment horizontal="center"/>
    </xf>
    <xf numFmtId="204" fontId="0" fillId="0" borderId="0" xfId="0" applyNumberFormat="1"/>
    <xf numFmtId="0" fontId="100" fillId="69" borderId="0" xfId="0" applyFont="1" applyFill="1"/>
    <xf numFmtId="0" fontId="2" fillId="69" borderId="0" xfId="0" applyFont="1" applyFill="1"/>
    <xf numFmtId="164" fontId="2" fillId="69" borderId="0" xfId="0" applyNumberFormat="1" applyFont="1" applyFill="1"/>
    <xf numFmtId="204" fontId="2" fillId="69" borderId="0" xfId="0" applyNumberFormat="1" applyFont="1" applyFill="1"/>
    <xf numFmtId="0" fontId="100" fillId="69" borderId="0" xfId="0" applyFont="1" applyFill="1" applyAlignment="1">
      <alignment wrapText="1"/>
    </xf>
    <xf numFmtId="0" fontId="100" fillId="0" borderId="0" xfId="0" applyFont="1" applyBorder="1" applyAlignment="1">
      <alignment horizontal="center"/>
    </xf>
    <xf numFmtId="49" fontId="95" fillId="70" borderId="87" xfId="0" applyNumberFormat="1" applyFont="1" applyFill="1" applyBorder="1" applyAlignment="1">
      <alignment horizontal="center" wrapText="1"/>
    </xf>
    <xf numFmtId="0" fontId="2" fillId="67" borderId="32" xfId="0" applyFont="1" applyFill="1" applyBorder="1" applyAlignment="1">
      <alignment horizontal="center"/>
    </xf>
    <xf numFmtId="0" fontId="2" fillId="67" borderId="32" xfId="0" applyFont="1" applyFill="1" applyBorder="1"/>
    <xf numFmtId="0" fontId="100" fillId="0" borderId="0" xfId="0" applyFont="1" applyAlignment="1">
      <alignment horizontal="center"/>
    </xf>
    <xf numFmtId="164" fontId="2" fillId="80" borderId="14" xfId="0" applyNumberFormat="1" applyFont="1" applyFill="1" applyBorder="1"/>
    <xf numFmtId="164" fontId="2" fillId="80" borderId="68" xfId="0" applyNumberFormat="1" applyFont="1" applyFill="1" applyBorder="1"/>
    <xf numFmtId="164" fontId="2" fillId="80" borderId="0" xfId="0" applyNumberFormat="1" applyFont="1" applyFill="1" applyBorder="1"/>
    <xf numFmtId="164" fontId="2" fillId="80" borderId="20" xfId="0" applyNumberFormat="1" applyFont="1" applyFill="1" applyBorder="1"/>
    <xf numFmtId="164" fontId="0" fillId="80" borderId="87" xfId="0" applyNumberFormat="1" applyFill="1" applyBorder="1"/>
    <xf numFmtId="164" fontId="15" fillId="80" borderId="0" xfId="0" applyNumberFormat="1" applyFont="1" applyFill="1" applyBorder="1"/>
    <xf numFmtId="164" fontId="0" fillId="0" borderId="0" xfId="63" applyNumberFormat="1" applyFont="1"/>
    <xf numFmtId="164" fontId="14" fillId="78" borderId="0" xfId="56" applyNumberFormat="1" applyFont="1" applyFill="1" applyBorder="1"/>
    <xf numFmtId="164" fontId="2" fillId="0" borderId="0" xfId="0" applyNumberFormat="1" applyFont="1" applyFill="1"/>
    <xf numFmtId="164" fontId="0" fillId="0" borderId="0" xfId="63" applyNumberFormat="1" applyFont="1" applyFill="1"/>
    <xf numFmtId="164" fontId="104" fillId="65" borderId="0" xfId="59" applyNumberFormat="1" applyFont="1" applyFill="1"/>
    <xf numFmtId="164" fontId="104" fillId="65" borderId="89" xfId="0" applyNumberFormat="1" applyFont="1" applyFill="1" applyBorder="1"/>
    <xf numFmtId="0" fontId="104" fillId="65" borderId="0" xfId="0" applyFont="1" applyFill="1"/>
    <xf numFmtId="0" fontId="95" fillId="65" borderId="19" xfId="0" applyFont="1" applyFill="1" applyBorder="1" applyAlignment="1">
      <alignment horizontal="center"/>
    </xf>
    <xf numFmtId="164" fontId="2" fillId="65" borderId="0" xfId="59" applyNumberFormat="1" applyFont="1" applyFill="1" applyBorder="1"/>
    <xf numFmtId="164" fontId="2" fillId="65" borderId="19" xfId="59" applyNumberFormat="1" applyFont="1" applyFill="1" applyBorder="1"/>
    <xf numFmtId="164" fontId="95" fillId="65" borderId="90" xfId="59" applyNumberFormat="1" applyFont="1" applyFill="1" applyBorder="1"/>
    <xf numFmtId="164" fontId="83" fillId="0" borderId="113" xfId="0" applyNumberFormat="1" applyFont="1" applyBorder="1"/>
    <xf numFmtId="164" fontId="83" fillId="0" borderId="113" xfId="0" applyNumberFormat="1" applyFont="1" applyFill="1" applyBorder="1"/>
    <xf numFmtId="164" fontId="83" fillId="0" borderId="0" xfId="0" applyNumberFormat="1" applyFont="1" applyFill="1" applyBorder="1"/>
    <xf numFmtId="164" fontId="0" fillId="0" borderId="35" xfId="56" applyNumberFormat="1" applyFont="1" applyBorder="1"/>
    <xf numFmtId="0" fontId="2" fillId="0" borderId="0" xfId="0" pivotButton="1" applyFont="1" applyBorder="1"/>
    <xf numFmtId="0" fontId="0" fillId="0" borderId="0" xfId="0" applyFill="1" applyAlignment="1">
      <alignment vertical="top"/>
    </xf>
    <xf numFmtId="0" fontId="0" fillId="0" borderId="0" xfId="0" applyFill="1" applyAlignment="1"/>
    <xf numFmtId="0" fontId="14" fillId="0" borderId="0" xfId="0" applyFont="1" applyFill="1" applyAlignment="1"/>
    <xf numFmtId="0" fontId="83" fillId="0" borderId="0" xfId="0" applyFont="1" applyFill="1" applyBorder="1" applyAlignment="1"/>
    <xf numFmtId="0" fontId="0" fillId="0" borderId="0" xfId="0" applyFill="1" applyBorder="1" applyAlignment="1"/>
    <xf numFmtId="0" fontId="0" fillId="65" borderId="0" xfId="0" applyFill="1" applyAlignment="1">
      <alignment horizontal="left"/>
    </xf>
    <xf numFmtId="0" fontId="14" fillId="73" borderId="0" xfId="0" applyFont="1" applyFill="1" applyAlignment="1">
      <alignment horizontal="left"/>
    </xf>
    <xf numFmtId="164" fontId="14" fillId="73" borderId="0" xfId="0" applyNumberFormat="1" applyFont="1" applyFill="1"/>
    <xf numFmtId="164" fontId="2" fillId="65" borderId="0" xfId="56" applyNumberFormat="1" applyFont="1" applyFill="1" applyBorder="1" applyAlignment="1">
      <alignment horizontal="left"/>
    </xf>
    <xf numFmtId="164" fontId="14" fillId="73" borderId="0" xfId="56" applyNumberFormat="1" applyFont="1" applyFill="1"/>
    <xf numFmtId="164" fontId="62" fillId="73" borderId="0" xfId="56" applyNumberFormat="1" applyFont="1" applyFill="1"/>
    <xf numFmtId="168" fontId="2" fillId="0" borderId="0" xfId="76" applyNumberFormat="1" applyFont="1" applyFill="1"/>
    <xf numFmtId="0" fontId="14" fillId="0" borderId="0" xfId="0" applyFont="1" applyFill="1" applyAlignment="1">
      <alignment horizontal="left"/>
    </xf>
    <xf numFmtId="0" fontId="65" fillId="0" borderId="16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65" fillId="0" borderId="15" xfId="0" applyFont="1" applyBorder="1" applyAlignment="1">
      <alignment horizontal="left"/>
    </xf>
    <xf numFmtId="0" fontId="0" fillId="0" borderId="33" xfId="0" applyBorder="1"/>
    <xf numFmtId="164" fontId="83" fillId="0" borderId="113" xfId="56" applyNumberFormat="1" applyFont="1" applyBorder="1"/>
    <xf numFmtId="164" fontId="15" fillId="75" borderId="0" xfId="56" applyNumberFormat="1" applyFont="1" applyFill="1" applyBorder="1"/>
    <xf numFmtId="9" fontId="2" fillId="0" borderId="0" xfId="134" applyFont="1" applyAlignment="1">
      <alignment horizontal="center"/>
    </xf>
    <xf numFmtId="0" fontId="0" fillId="74" borderId="0" xfId="0" applyFill="1"/>
    <xf numFmtId="0" fontId="24" fillId="0" borderId="0" xfId="0" applyFont="1"/>
    <xf numFmtId="0" fontId="116" fillId="0" borderId="0" xfId="0" applyFont="1"/>
    <xf numFmtId="0" fontId="3" fillId="66" borderId="0" xfId="0" applyFont="1" applyFill="1" applyAlignment="1">
      <alignment horizontal="center"/>
    </xf>
    <xf numFmtId="0" fontId="73" fillId="0" borderId="0" xfId="0" applyFont="1"/>
    <xf numFmtId="0" fontId="3" fillId="74" borderId="0" xfId="0" applyFont="1" applyFill="1" applyAlignment="1">
      <alignment horizontal="center"/>
    </xf>
    <xf numFmtId="0" fontId="74" fillId="0" borderId="0" xfId="0" applyFont="1"/>
    <xf numFmtId="164" fontId="2" fillId="66" borderId="0" xfId="56" applyNumberFormat="1" applyFont="1" applyFill="1" applyBorder="1" applyAlignment="1">
      <alignment horizontal="left"/>
    </xf>
    <xf numFmtId="9" fontId="15" fillId="65" borderId="0" xfId="134" applyFont="1" applyFill="1" applyBorder="1"/>
    <xf numFmtId="164" fontId="2" fillId="0" borderId="0" xfId="0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horizontal="left"/>
    </xf>
    <xf numFmtId="164" fontId="117" fillId="0" borderId="0" xfId="56" applyNumberFormat="1" applyFont="1" applyFill="1" applyBorder="1"/>
    <xf numFmtId="0" fontId="117" fillId="0" borderId="0" xfId="0" applyFont="1" applyFill="1" applyBorder="1" applyAlignment="1">
      <alignment horizontal="center"/>
    </xf>
    <xf numFmtId="164" fontId="0" fillId="0" borderId="0" xfId="59" applyNumberFormat="1" applyFont="1" applyFill="1" applyBorder="1" applyAlignment="1">
      <alignment horizontal="center"/>
    </xf>
    <xf numFmtId="164" fontId="0" fillId="0" borderId="0" xfId="56" applyNumberFormat="1" applyFont="1" applyFill="1" applyBorder="1" applyAlignment="1">
      <alignment horizontal="right"/>
    </xf>
    <xf numFmtId="164" fontId="0" fillId="0" borderId="0" xfId="56" applyNumberFormat="1" applyFont="1" applyFill="1" applyBorder="1" applyAlignment="1">
      <alignment horizontal="center"/>
    </xf>
    <xf numFmtId="164" fontId="65" fillId="0" borderId="0" xfId="56" applyNumberFormat="1" applyFont="1" applyFill="1" applyBorder="1"/>
    <xf numFmtId="164" fontId="63" fillId="0" borderId="0" xfId="56" applyNumberFormat="1" applyFont="1" applyFill="1" applyBorder="1"/>
    <xf numFmtId="164" fontId="2" fillId="0" borderId="0" xfId="56" applyNumberFormat="1" applyFont="1" applyFill="1" applyBorder="1" applyAlignment="1">
      <alignment horizontal="left"/>
    </xf>
    <xf numFmtId="0" fontId="75" fillId="0" borderId="0" xfId="0" applyFont="1" applyFill="1" applyBorder="1" applyAlignment="1">
      <alignment horizontal="center"/>
    </xf>
    <xf numFmtId="0" fontId="2" fillId="66" borderId="0" xfId="0" applyFont="1" applyFill="1" applyAlignment="1">
      <alignment horizontal="left"/>
    </xf>
    <xf numFmtId="164" fontId="2" fillId="80" borderId="0" xfId="56" applyNumberFormat="1" applyFont="1" applyFill="1" applyBorder="1"/>
    <xf numFmtId="164" fontId="2" fillId="81" borderId="17" xfId="0" applyNumberFormat="1" applyFont="1" applyFill="1" applyBorder="1"/>
    <xf numFmtId="164" fontId="2" fillId="81" borderId="0" xfId="0" applyNumberFormat="1" applyFont="1" applyFill="1" applyBorder="1"/>
    <xf numFmtId="164" fontId="8" fillId="0" borderId="0" xfId="56" applyNumberFormat="1" applyFont="1" applyAlignment="1">
      <alignment horizontal="center"/>
    </xf>
    <xf numFmtId="164" fontId="15" fillId="0" borderId="0" xfId="0" applyNumberFormat="1" applyFont="1" applyFill="1" applyBorder="1"/>
    <xf numFmtId="164" fontId="0" fillId="0" borderId="41" xfId="0" applyNumberFormat="1" applyBorder="1"/>
    <xf numFmtId="0" fontId="0" fillId="0" borderId="13" xfId="0" applyNumberFormat="1" applyBorder="1"/>
    <xf numFmtId="164" fontId="0" fillId="0" borderId="42" xfId="56" applyNumberFormat="1" applyFont="1" applyBorder="1"/>
    <xf numFmtId="164" fontId="2" fillId="0" borderId="32" xfId="56" applyNumberFormat="1" applyFont="1" applyBorder="1"/>
    <xf numFmtId="9" fontId="0" fillId="0" borderId="0" xfId="134" applyFont="1" applyFill="1" applyBorder="1" applyAlignment="1">
      <alignment horizontal="center"/>
    </xf>
    <xf numFmtId="168" fontId="0" fillId="0" borderId="0" xfId="76" applyNumberFormat="1" applyFont="1"/>
    <xf numFmtId="164" fontId="0" fillId="0" borderId="40" xfId="0" applyNumberFormat="1" applyBorder="1"/>
    <xf numFmtId="164" fontId="0" fillId="0" borderId="35" xfId="0" applyNumberFormat="1" applyBorder="1"/>
    <xf numFmtId="164" fontId="0" fillId="0" borderId="33" xfId="0" applyNumberFormat="1" applyBorder="1"/>
    <xf numFmtId="164" fontId="0" fillId="74" borderId="40" xfId="0" applyNumberFormat="1" applyFill="1" applyBorder="1"/>
    <xf numFmtId="164" fontId="0" fillId="74" borderId="35" xfId="0" applyNumberFormat="1" applyFill="1" applyBorder="1"/>
    <xf numFmtId="164" fontId="0" fillId="74" borderId="33" xfId="0" applyNumberFormat="1" applyFill="1" applyBorder="1"/>
    <xf numFmtId="164" fontId="0" fillId="69" borderId="40" xfId="0" applyNumberFormat="1" applyFill="1" applyBorder="1"/>
    <xf numFmtId="164" fontId="0" fillId="69" borderId="35" xfId="0" applyNumberFormat="1" applyFill="1" applyBorder="1"/>
    <xf numFmtId="164" fontId="0" fillId="69" borderId="33" xfId="0" applyNumberFormat="1" applyFill="1" applyBorder="1"/>
    <xf numFmtId="0" fontId="0" fillId="74" borderId="17" xfId="0" applyFill="1" applyBorder="1" applyAlignment="1">
      <alignment horizontal="left"/>
    </xf>
    <xf numFmtId="0" fontId="0" fillId="74" borderId="14" xfId="0" applyFill="1" applyBorder="1" applyAlignment="1">
      <alignment horizontal="left"/>
    </xf>
    <xf numFmtId="0" fontId="0" fillId="74" borderId="68" xfId="0" applyFill="1" applyBorder="1" applyAlignment="1">
      <alignment horizontal="left"/>
    </xf>
    <xf numFmtId="0" fontId="0" fillId="69" borderId="16" xfId="0" applyFill="1" applyBorder="1" applyAlignment="1">
      <alignment horizontal="left"/>
    </xf>
    <xf numFmtId="0" fontId="0" fillId="69" borderId="15" xfId="0" applyFill="1" applyBorder="1" applyAlignment="1">
      <alignment horizontal="left"/>
    </xf>
    <xf numFmtId="0" fontId="0" fillId="69" borderId="37" xfId="0" applyFill="1" applyBorder="1" applyAlignment="1">
      <alignment horizontal="left"/>
    </xf>
    <xf numFmtId="0" fontId="0" fillId="0" borderId="37" xfId="0" applyBorder="1" applyAlignment="1">
      <alignment horizontal="left"/>
    </xf>
    <xf numFmtId="164" fontId="0" fillId="74" borderId="16" xfId="0" applyNumberFormat="1" applyFill="1" applyBorder="1"/>
    <xf numFmtId="164" fontId="0" fillId="74" borderId="31" xfId="0" applyNumberFormat="1" applyFill="1" applyBorder="1"/>
    <xf numFmtId="164" fontId="0" fillId="74" borderId="15" xfId="0" applyNumberFormat="1" applyFill="1" applyBorder="1"/>
    <xf numFmtId="164" fontId="0" fillId="74" borderId="0" xfId="0" applyNumberFormat="1" applyFill="1" applyBorder="1"/>
    <xf numFmtId="164" fontId="0" fillId="74" borderId="37" xfId="0" applyNumberFormat="1" applyFill="1" applyBorder="1"/>
    <xf numFmtId="164" fontId="0" fillId="74" borderId="19" xfId="0" applyNumberFormat="1" applyFill="1" applyBorder="1"/>
    <xf numFmtId="164" fontId="0" fillId="69" borderId="31" xfId="0" applyNumberFormat="1" applyFill="1" applyBorder="1"/>
    <xf numFmtId="164" fontId="0" fillId="69" borderId="0" xfId="0" applyNumberFormat="1" applyFill="1" applyBorder="1"/>
    <xf numFmtId="164" fontId="0" fillId="69" borderId="19" xfId="0" applyNumberFormat="1" applyFill="1" applyBorder="1"/>
    <xf numFmtId="164" fontId="0" fillId="0" borderId="31" xfId="0" applyNumberFormat="1" applyBorder="1"/>
    <xf numFmtId="0" fontId="100" fillId="62" borderId="113" xfId="0" applyFont="1" applyFill="1" applyBorder="1"/>
    <xf numFmtId="0" fontId="100" fillId="62" borderId="114" xfId="0" applyFont="1" applyFill="1" applyBorder="1" applyAlignment="1">
      <alignment horizontal="left"/>
    </xf>
    <xf numFmtId="164" fontId="2" fillId="75" borderId="0" xfId="0" applyNumberFormat="1" applyFont="1" applyFill="1"/>
    <xf numFmtId="0" fontId="2" fillId="74" borderId="0" xfId="0" applyFont="1" applyFill="1" applyBorder="1" applyAlignment="1">
      <alignment horizontal="center"/>
    </xf>
    <xf numFmtId="0" fontId="0" fillId="74" borderId="0" xfId="0" applyFill="1" applyBorder="1"/>
    <xf numFmtId="164" fontId="2" fillId="74" borderId="0" xfId="56" applyNumberFormat="1" applyFont="1" applyFill="1" applyBorder="1" applyAlignment="1">
      <alignment horizontal="center"/>
    </xf>
    <xf numFmtId="164" fontId="15" fillId="73" borderId="13" xfId="56" applyNumberFormat="1" applyFont="1" applyFill="1" applyBorder="1"/>
    <xf numFmtId="164" fontId="62" fillId="0" borderId="19" xfId="56" applyNumberFormat="1" applyFont="1" applyFill="1" applyBorder="1"/>
    <xf numFmtId="203" fontId="106" fillId="0" borderId="0" xfId="118" applyNumberFormat="1" applyFont="1" applyBorder="1" applyAlignment="1">
      <alignment vertical="top"/>
    </xf>
    <xf numFmtId="38" fontId="0" fillId="0" borderId="0" xfId="0" applyNumberFormat="1" applyAlignment="1">
      <alignment horizontal="right"/>
    </xf>
    <xf numFmtId="38" fontId="0" fillId="0" borderId="0" xfId="0" applyNumberFormat="1" applyFont="1" applyAlignment="1"/>
    <xf numFmtId="1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/>
    </xf>
    <xf numFmtId="0" fontId="2" fillId="82" borderId="0" xfId="0" applyFont="1" applyFill="1"/>
    <xf numFmtId="164" fontId="0" fillId="82" borderId="0" xfId="0" applyNumberFormat="1" applyFill="1"/>
    <xf numFmtId="43" fontId="2" fillId="69" borderId="0" xfId="56" applyFont="1" applyFill="1"/>
    <xf numFmtId="164" fontId="0" fillId="0" borderId="0" xfId="56" applyNumberFormat="1" applyFont="1" applyAlignment="1"/>
    <xf numFmtId="164" fontId="76" fillId="82" borderId="0" xfId="56" applyNumberFormat="1" applyFont="1" applyFill="1" applyAlignment="1"/>
    <xf numFmtId="164" fontId="2" fillId="69" borderId="0" xfId="56" applyNumberFormat="1" applyFont="1" applyFill="1"/>
    <xf numFmtId="164" fontId="0" fillId="0" borderId="0" xfId="56" applyNumberFormat="1" applyFont="1" applyAlignment="1">
      <alignment horizontal="right"/>
    </xf>
    <xf numFmtId="164" fontId="76" fillId="82" borderId="0" xfId="56" applyNumberFormat="1" applyFont="1" applyFill="1" applyAlignment="1">
      <alignment horizontal="right"/>
    </xf>
    <xf numFmtId="164" fontId="100" fillId="69" borderId="13" xfId="0" applyNumberFormat="1" applyFont="1" applyFill="1" applyBorder="1" applyAlignment="1">
      <alignment horizontal="center"/>
    </xf>
    <xf numFmtId="0" fontId="100" fillId="62" borderId="87" xfId="0" applyFont="1" applyFill="1" applyBorder="1"/>
    <xf numFmtId="43" fontId="100" fillId="62" borderId="87" xfId="58" applyNumberFormat="1" applyFont="1" applyFill="1" applyBorder="1"/>
    <xf numFmtId="0" fontId="2" fillId="69" borderId="94" xfId="0" applyFont="1" applyFill="1" applyBorder="1" applyAlignment="1">
      <alignment horizontal="center"/>
    </xf>
    <xf numFmtId="206" fontId="0" fillId="0" borderId="0" xfId="0" applyNumberFormat="1"/>
    <xf numFmtId="0" fontId="100" fillId="62" borderId="87" xfId="0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43" fontId="0" fillId="0" borderId="0" xfId="58" applyFont="1"/>
    <xf numFmtId="0" fontId="0" fillId="83" borderId="0" xfId="0" applyFill="1"/>
    <xf numFmtId="164" fontId="0" fillId="83" borderId="0" xfId="0" applyNumberFormat="1" applyFill="1"/>
    <xf numFmtId="164" fontId="76" fillId="83" borderId="0" xfId="58" applyNumberFormat="1" applyFont="1" applyFill="1"/>
    <xf numFmtId="2" fontId="2" fillId="83" borderId="0" xfId="0" applyNumberFormat="1" applyFont="1" applyFill="1"/>
    <xf numFmtId="164" fontId="0" fillId="0" borderId="0" xfId="58" applyNumberFormat="1" applyFont="1" applyAlignment="1">
      <alignment horizontal="center"/>
    </xf>
    <xf numFmtId="164" fontId="0" fillId="0" borderId="0" xfId="58" applyNumberFormat="1" applyFont="1" applyFill="1"/>
    <xf numFmtId="2" fontId="2" fillId="69" borderId="0" xfId="0" applyNumberFormat="1" applyFont="1" applyFill="1" applyAlignment="1">
      <alignment horizontal="center"/>
    </xf>
    <xf numFmtId="0" fontId="0" fillId="73" borderId="0" xfId="0" applyFill="1"/>
    <xf numFmtId="44" fontId="2" fillId="73" borderId="0" xfId="77" applyFont="1" applyFill="1" applyAlignment="1">
      <alignment horizontal="center"/>
    </xf>
    <xf numFmtId="0" fontId="2" fillId="73" borderId="0" xfId="0" applyFont="1" applyFill="1" applyAlignment="1">
      <alignment horizontal="right"/>
    </xf>
    <xf numFmtId="44" fontId="2" fillId="0" borderId="0" xfId="77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79" borderId="0" xfId="0" applyFont="1" applyFill="1" applyAlignment="1">
      <alignment horizontal="center"/>
    </xf>
    <xf numFmtId="164" fontId="72" fillId="0" borderId="0" xfId="56" applyNumberFormat="1" applyFont="1" applyFill="1" applyBorder="1"/>
    <xf numFmtId="164" fontId="95" fillId="0" borderId="0" xfId="56" applyNumberFormat="1" applyFont="1" applyFill="1" applyBorder="1" applyAlignment="1">
      <alignment horizontal="right"/>
    </xf>
    <xf numFmtId="164" fontId="95" fillId="0" borderId="0" xfId="0" applyNumberFormat="1" applyFont="1" applyFill="1" applyBorder="1" applyAlignment="1">
      <alignment horizontal="center"/>
    </xf>
    <xf numFmtId="164" fontId="83" fillId="0" borderId="0" xfId="0" applyNumberFormat="1" applyFont="1" applyBorder="1"/>
    <xf numFmtId="0" fontId="14" fillId="0" borderId="113" xfId="0" applyFont="1" applyBorder="1"/>
    <xf numFmtId="164" fontId="14" fillId="0" borderId="113" xfId="0" applyNumberFormat="1" applyFont="1" applyFill="1" applyBorder="1"/>
    <xf numFmtId="0" fontId="14" fillId="0" borderId="113" xfId="0" applyFont="1" applyFill="1" applyBorder="1"/>
    <xf numFmtId="164" fontId="14" fillId="0" borderId="113" xfId="56" applyNumberFormat="1" applyFont="1" applyBorder="1"/>
    <xf numFmtId="164" fontId="78" fillId="0" borderId="0" xfId="0" applyNumberFormat="1" applyFont="1" applyFill="1" applyBorder="1"/>
    <xf numFmtId="164" fontId="2" fillId="0" borderId="40" xfId="58" applyNumberFormat="1" applyFont="1" applyBorder="1"/>
    <xf numFmtId="0" fontId="100" fillId="0" borderId="0" xfId="0" applyFont="1" applyFill="1" applyBorder="1" applyAlignment="1">
      <alignment horizontal="left"/>
    </xf>
    <xf numFmtId="0" fontId="100" fillId="0" borderId="114" xfId="0" applyFont="1" applyFill="1" applyBorder="1" applyAlignment="1">
      <alignment horizontal="left"/>
    </xf>
    <xf numFmtId="164" fontId="100" fillId="0" borderId="114" xfId="0" applyNumberFormat="1" applyFont="1" applyFill="1" applyBorder="1"/>
    <xf numFmtId="2" fontId="2" fillId="0" borderId="0" xfId="0" applyNumberFormat="1" applyFont="1" applyAlignment="1">
      <alignment horizontal="right"/>
    </xf>
    <xf numFmtId="0" fontId="105" fillId="0" borderId="0" xfId="0" applyFont="1" applyAlignment="1">
      <alignment vertical="top" wrapText="1"/>
    </xf>
    <xf numFmtId="0" fontId="100" fillId="0" borderId="0" xfId="0" applyFont="1" applyFill="1"/>
    <xf numFmtId="204" fontId="0" fillId="0" borderId="0" xfId="0" applyNumberFormat="1" applyFill="1"/>
    <xf numFmtId="0" fontId="100" fillId="0" borderId="0" xfId="0" applyFont="1" applyFill="1" applyBorder="1" applyAlignment="1">
      <alignment horizontal="center"/>
    </xf>
    <xf numFmtId="0" fontId="100" fillId="0" borderId="113" xfId="0" applyFont="1" applyFill="1" applyBorder="1" applyAlignment="1">
      <alignment horizontal="center"/>
    </xf>
    <xf numFmtId="204" fontId="2" fillId="0" borderId="0" xfId="0" applyNumberFormat="1" applyFont="1" applyFill="1"/>
    <xf numFmtId="0" fontId="2" fillId="0" borderId="0" xfId="0" applyFont="1" applyFill="1" applyBorder="1" applyAlignment="1">
      <alignment horizontal="center" vertical="center"/>
    </xf>
    <xf numFmtId="164" fontId="100" fillId="0" borderId="0" xfId="0" applyNumberFormat="1" applyFont="1" applyFill="1" applyBorder="1" applyAlignment="1">
      <alignment horizontal="center"/>
    </xf>
    <xf numFmtId="204" fontId="0" fillId="0" borderId="0" xfId="0" applyNumberFormat="1" applyFill="1" applyBorder="1"/>
    <xf numFmtId="38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164" fontId="0" fillId="0" borderId="0" xfId="58" applyNumberFormat="1" applyFont="1" applyBorder="1"/>
    <xf numFmtId="164" fontId="118" fillId="0" borderId="0" xfId="0" applyNumberFormat="1" applyFont="1"/>
    <xf numFmtId="43" fontId="0" fillId="0" borderId="0" xfId="58" applyFont="1" applyBorder="1"/>
    <xf numFmtId="0" fontId="0" fillId="0" borderId="113" xfId="0" applyBorder="1"/>
    <xf numFmtId="0" fontId="0" fillId="0" borderId="113" xfId="0" applyBorder="1" applyAlignment="1">
      <alignment horizontal="center"/>
    </xf>
    <xf numFmtId="164" fontId="77" fillId="0" borderId="113" xfId="58" applyNumberFormat="1" applyFont="1" applyBorder="1"/>
    <xf numFmtId="43" fontId="77" fillId="0" borderId="113" xfId="58" applyFont="1" applyBorder="1"/>
    <xf numFmtId="0" fontId="0" fillId="83" borderId="0" xfId="0" applyFill="1" applyBorder="1"/>
    <xf numFmtId="0" fontId="0" fillId="83" borderId="0" xfId="0" applyFill="1" applyBorder="1" applyAlignment="1">
      <alignment horizontal="center"/>
    </xf>
    <xf numFmtId="164" fontId="77" fillId="83" borderId="0" xfId="58" applyNumberFormat="1" applyFont="1" applyFill="1" applyBorder="1"/>
    <xf numFmtId="164" fontId="118" fillId="83" borderId="0" xfId="0" applyNumberFormat="1" applyFont="1" applyFill="1"/>
    <xf numFmtId="43" fontId="77" fillId="83" borderId="0" xfId="58" applyFont="1" applyFill="1" applyBorder="1"/>
    <xf numFmtId="0" fontId="100" fillId="0" borderId="113" xfId="0" applyFont="1" applyFill="1" applyBorder="1"/>
    <xf numFmtId="164" fontId="100" fillId="0" borderId="113" xfId="58" applyNumberFormat="1" applyFont="1" applyFill="1" applyBorder="1"/>
    <xf numFmtId="43" fontId="100" fillId="0" borderId="113" xfId="58" applyNumberFormat="1" applyFont="1" applyFill="1" applyBorder="1"/>
    <xf numFmtId="164" fontId="118" fillId="0" borderId="0" xfId="0" applyNumberFormat="1" applyFont="1" applyFill="1"/>
    <xf numFmtId="43" fontId="0" fillId="0" borderId="0" xfId="58" applyFont="1" applyFill="1" applyBorder="1"/>
    <xf numFmtId="2" fontId="2" fillId="0" borderId="0" xfId="0" applyNumberFormat="1" applyFont="1" applyFill="1"/>
    <xf numFmtId="0" fontId="0" fillId="0" borderId="113" xfId="0" applyFill="1" applyBorder="1"/>
    <xf numFmtId="0" fontId="0" fillId="0" borderId="113" xfId="0" applyFill="1" applyBorder="1" applyAlignment="1">
      <alignment horizontal="center"/>
    </xf>
    <xf numFmtId="164" fontId="77" fillId="0" borderId="113" xfId="58" applyNumberFormat="1" applyFont="1" applyFill="1" applyBorder="1"/>
    <xf numFmtId="43" fontId="77" fillId="0" borderId="113" xfId="58" applyFont="1" applyFill="1" applyBorder="1"/>
    <xf numFmtId="206" fontId="0" fillId="0" borderId="0" xfId="0" applyNumberFormat="1" applyFill="1"/>
    <xf numFmtId="43" fontId="100" fillId="0" borderId="0" xfId="58" applyNumberFormat="1" applyFont="1" applyFill="1" applyBorder="1"/>
    <xf numFmtId="206" fontId="0" fillId="0" borderId="0" xfId="0" applyNumberFormat="1" applyFill="1" applyBorder="1"/>
    <xf numFmtId="49" fontId="95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43" fontId="2" fillId="0" borderId="0" xfId="58" applyFont="1" applyFill="1" applyBorder="1" applyAlignment="1">
      <alignment horizontal="center" wrapText="1"/>
    </xf>
    <xf numFmtId="168" fontId="2" fillId="0" borderId="0" xfId="77" applyNumberFormat="1" applyFont="1" applyFill="1" applyBorder="1" applyAlignment="1">
      <alignment horizontal="center"/>
    </xf>
    <xf numFmtId="168" fontId="2" fillId="0" borderId="0" xfId="77" applyNumberFormat="1" applyFont="1" applyFill="1" applyBorder="1"/>
    <xf numFmtId="0" fontId="0" fillId="0" borderId="0" xfId="0" applyNumberFormat="1" applyFill="1" applyBorder="1"/>
    <xf numFmtId="0" fontId="83" fillId="0" borderId="0" xfId="0" applyFont="1" applyFill="1" applyBorder="1"/>
    <xf numFmtId="0" fontId="14" fillId="0" borderId="0" xfId="0" applyFont="1" applyAlignment="1">
      <alignment horizontal="right"/>
    </xf>
    <xf numFmtId="2" fontId="2" fillId="0" borderId="0" xfId="0" applyNumberFormat="1" applyFont="1" applyFill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3" fontId="0" fillId="0" borderId="0" xfId="0" applyNumberFormat="1" applyFill="1" applyBorder="1" applyAlignment="1">
      <alignment horizontal="center"/>
    </xf>
    <xf numFmtId="0" fontId="115" fillId="0" borderId="0" xfId="0" applyFont="1" applyFill="1" applyBorder="1"/>
    <xf numFmtId="164" fontId="100" fillId="0" borderId="0" xfId="0" applyNumberFormat="1" applyFont="1" applyFill="1" applyBorder="1"/>
    <xf numFmtId="1" fontId="2" fillId="0" borderId="0" xfId="0" applyNumberFormat="1" applyFont="1" applyAlignment="1">
      <alignment horizontal="center"/>
    </xf>
    <xf numFmtId="0" fontId="2" fillId="69" borderId="0" xfId="0" applyFont="1" applyFill="1" applyAlignment="1">
      <alignment horizontal="center"/>
    </xf>
    <xf numFmtId="0" fontId="3" fillId="0" borderId="0" xfId="0" applyFont="1" applyFill="1" applyBorder="1"/>
    <xf numFmtId="164" fontId="14" fillId="0" borderId="0" xfId="0" applyNumberFormat="1" applyFont="1" applyFill="1" applyBorder="1"/>
    <xf numFmtId="164" fontId="0" fillId="0" borderId="0" xfId="56" applyNumberFormat="1" applyFont="1" applyFill="1" applyBorder="1" applyAlignment="1"/>
    <xf numFmtId="168" fontId="2" fillId="0" borderId="0" xfId="0" applyNumberFormat="1" applyFont="1" applyFill="1" applyBorder="1"/>
    <xf numFmtId="43" fontId="14" fillId="0" borderId="0" xfId="58" applyFont="1" applyFill="1" applyBorder="1" applyAlignment="1">
      <alignment horizontal="center"/>
    </xf>
    <xf numFmtId="44" fontId="2" fillId="0" borderId="0" xfId="77" applyFont="1" applyFill="1" applyBorder="1" applyAlignment="1">
      <alignment horizontal="center"/>
    </xf>
    <xf numFmtId="165" fontId="19" fillId="58" borderId="23" xfId="128" applyFont="1" applyFill="1" applyBorder="1" applyAlignment="1" applyProtection="1">
      <alignment horizontal="left" vertical="top"/>
      <protection locked="0"/>
    </xf>
    <xf numFmtId="165" fontId="19" fillId="58" borderId="0" xfId="128" applyFont="1" applyFill="1" applyBorder="1" applyAlignment="1" applyProtection="1">
      <alignment horizontal="left" vertical="top"/>
      <protection locked="0"/>
    </xf>
    <xf numFmtId="165" fontId="19" fillId="58" borderId="26" xfId="128" applyFont="1" applyFill="1" applyBorder="1" applyAlignment="1" applyProtection="1">
      <alignment horizontal="left" vertical="top"/>
      <protection locked="0"/>
    </xf>
    <xf numFmtId="165" fontId="19" fillId="24" borderId="98" xfId="128" applyFont="1" applyFill="1" applyBorder="1" applyAlignment="1" applyProtection="1">
      <alignment horizontal="center"/>
    </xf>
    <xf numFmtId="165" fontId="19" fillId="24" borderId="96" xfId="128" applyFont="1" applyFill="1" applyBorder="1" applyAlignment="1" applyProtection="1">
      <alignment horizontal="center"/>
    </xf>
    <xf numFmtId="165" fontId="19" fillId="24" borderId="99" xfId="128" applyFont="1" applyFill="1" applyBorder="1" applyAlignment="1" applyProtection="1">
      <alignment horizontal="center"/>
    </xf>
    <xf numFmtId="165" fontId="19" fillId="58" borderId="23" xfId="128" applyFont="1" applyFill="1" applyBorder="1" applyAlignment="1" applyProtection="1">
      <alignment horizontal="left" wrapText="1"/>
      <protection locked="0"/>
    </xf>
    <xf numFmtId="165" fontId="19" fillId="58" borderId="0" xfId="128" applyFont="1" applyFill="1" applyBorder="1" applyAlignment="1" applyProtection="1">
      <alignment horizontal="left" wrapText="1"/>
      <protection locked="0"/>
    </xf>
    <xf numFmtId="165" fontId="19" fillId="58" borderId="26" xfId="128" applyFont="1" applyFill="1" applyBorder="1" applyAlignment="1" applyProtection="1">
      <alignment horizontal="left" wrapText="1"/>
      <protection locked="0"/>
    </xf>
    <xf numFmtId="165" fontId="19" fillId="58" borderId="29" xfId="128" applyFont="1" applyFill="1" applyBorder="1" applyAlignment="1" applyProtection="1">
      <alignment horizontal="left" wrapText="1"/>
      <protection locked="0"/>
    </xf>
    <xf numFmtId="165" fontId="19" fillId="58" borderId="20" xfId="128" applyFont="1" applyFill="1" applyBorder="1" applyAlignment="1" applyProtection="1">
      <alignment horizontal="left" wrapText="1"/>
      <protection locked="0"/>
    </xf>
    <xf numFmtId="165" fontId="19" fillId="58" borderId="30" xfId="128" applyFont="1" applyFill="1" applyBorder="1" applyAlignment="1" applyProtection="1">
      <alignment horizontal="left" wrapText="1"/>
      <protection locked="0"/>
    </xf>
    <xf numFmtId="165" fontId="19" fillId="58" borderId="19" xfId="128" applyFont="1" applyFill="1" applyBorder="1" applyAlignment="1" applyProtection="1">
      <alignment horizontal="left"/>
      <protection locked="0"/>
    </xf>
    <xf numFmtId="165" fontId="19" fillId="58" borderId="25" xfId="128" applyFont="1" applyFill="1" applyBorder="1" applyAlignment="1" applyProtection="1">
      <alignment horizontal="left"/>
      <protection locked="0"/>
    </xf>
    <xf numFmtId="165" fontId="16" fillId="58" borderId="19" xfId="128" quotePrefix="1" applyFont="1" applyFill="1" applyBorder="1" applyAlignment="1" applyProtection="1">
      <alignment horizontal="center"/>
    </xf>
    <xf numFmtId="165" fontId="16" fillId="58" borderId="19" xfId="128" applyFont="1" applyFill="1" applyBorder="1" applyAlignment="1" applyProtection="1">
      <alignment horizontal="center"/>
    </xf>
    <xf numFmtId="165" fontId="16" fillId="58" borderId="100" xfId="128" applyFont="1" applyFill="1" applyBorder="1" applyAlignment="1" applyProtection="1">
      <alignment horizontal="center"/>
    </xf>
    <xf numFmtId="165" fontId="19" fillId="58" borderId="23" xfId="128" quotePrefix="1" applyFont="1" applyFill="1" applyBorder="1" applyAlignment="1" applyProtection="1">
      <alignment horizontal="center"/>
    </xf>
    <xf numFmtId="165" fontId="19" fillId="58" borderId="0" xfId="128" quotePrefix="1" applyFont="1" applyFill="1" applyBorder="1" applyAlignment="1" applyProtection="1">
      <alignment horizontal="center"/>
    </xf>
    <xf numFmtId="165" fontId="19" fillId="58" borderId="26" xfId="128" quotePrefix="1" applyFont="1" applyFill="1" applyBorder="1" applyAlignment="1" applyProtection="1">
      <alignment horizontal="center"/>
    </xf>
    <xf numFmtId="165" fontId="4" fillId="58" borderId="0" xfId="128" applyFont="1" applyFill="1" applyBorder="1" applyAlignment="1" applyProtection="1"/>
    <xf numFmtId="165" fontId="20" fillId="58" borderId="0" xfId="128" applyFont="1" applyFill="1" applyBorder="1" applyAlignment="1" applyProtection="1">
      <alignment horizontal="center"/>
    </xf>
    <xf numFmtId="165" fontId="18" fillId="58" borderId="0" xfId="128" applyFont="1" applyFill="1" applyBorder="1" applyAlignment="1" applyProtection="1">
      <alignment horizontal="center"/>
    </xf>
    <xf numFmtId="165" fontId="19" fillId="58" borderId="28" xfId="128" applyFont="1" applyFill="1" applyBorder="1" applyAlignment="1" applyProtection="1">
      <alignment horizontal="left"/>
      <protection locked="0"/>
    </xf>
    <xf numFmtId="165" fontId="19" fillId="58" borderId="86" xfId="128" applyFont="1" applyFill="1" applyBorder="1" applyAlignment="1" applyProtection="1">
      <alignment horizontal="left"/>
      <protection locked="0"/>
    </xf>
    <xf numFmtId="165" fontId="19" fillId="58" borderId="19" xfId="128" quotePrefix="1" applyFont="1" applyFill="1" applyBorder="1" applyAlignment="1" applyProtection="1">
      <alignment horizontal="center"/>
    </xf>
    <xf numFmtId="165" fontId="19" fillId="58" borderId="25" xfId="128" quotePrefix="1" applyFont="1" applyFill="1" applyBorder="1" applyAlignment="1" applyProtection="1">
      <alignment horizontal="center"/>
    </xf>
    <xf numFmtId="165" fontId="19" fillId="58" borderId="19" xfId="128" applyFont="1" applyFill="1" applyBorder="1" applyAlignment="1" applyProtection="1">
      <alignment horizontal="center"/>
    </xf>
    <xf numFmtId="165" fontId="19" fillId="58" borderId="100" xfId="128" applyFont="1" applyFill="1" applyBorder="1" applyAlignment="1" applyProtection="1">
      <alignment horizontal="center"/>
    </xf>
    <xf numFmtId="165" fontId="23" fillId="58" borderId="31" xfId="128" applyFont="1" applyFill="1" applyBorder="1" applyAlignment="1" applyProtection="1">
      <alignment horizontal="center"/>
    </xf>
    <xf numFmtId="165" fontId="23" fillId="58" borderId="54" xfId="128" applyFont="1" applyFill="1" applyBorder="1" applyAlignment="1" applyProtection="1">
      <alignment horizontal="center"/>
    </xf>
    <xf numFmtId="165" fontId="19" fillId="58" borderId="21" xfId="128" applyFont="1" applyFill="1" applyBorder="1" applyAlignment="1" applyProtection="1">
      <alignment horizontal="center" vertical="center"/>
      <protection locked="0"/>
    </xf>
    <xf numFmtId="165" fontId="19" fillId="58" borderId="22" xfId="128" applyFont="1" applyFill="1" applyBorder="1" applyAlignment="1" applyProtection="1">
      <alignment horizontal="center" vertical="center"/>
      <protection locked="0"/>
    </xf>
    <xf numFmtId="165" fontId="19" fillId="58" borderId="27" xfId="128" applyFont="1" applyFill="1" applyBorder="1" applyAlignment="1" applyProtection="1">
      <alignment horizontal="center" vertical="center"/>
      <protection locked="0"/>
    </xf>
    <xf numFmtId="165" fontId="19" fillId="58" borderId="29" xfId="128" applyFont="1" applyFill="1" applyBorder="1" applyAlignment="1" applyProtection="1">
      <alignment horizontal="center" vertical="center"/>
      <protection locked="0"/>
    </xf>
    <xf numFmtId="165" fontId="19" fillId="58" borderId="20" xfId="128" applyFont="1" applyFill="1" applyBorder="1" applyAlignment="1" applyProtection="1">
      <alignment horizontal="center" vertical="center"/>
      <protection locked="0"/>
    </xf>
    <xf numFmtId="165" fontId="19" fillId="58" borderId="30" xfId="128" applyFont="1" applyFill="1" applyBorder="1" applyAlignment="1" applyProtection="1">
      <alignment horizontal="center" vertical="center"/>
      <protection locked="0"/>
    </xf>
    <xf numFmtId="165" fontId="19" fillId="24" borderId="95" xfId="128" applyFont="1" applyFill="1" applyBorder="1" applyAlignment="1" applyProtection="1">
      <alignment horizontal="center"/>
    </xf>
    <xf numFmtId="165" fontId="19" fillId="24" borderId="97" xfId="128" applyFont="1" applyFill="1" applyBorder="1" applyAlignment="1" applyProtection="1">
      <alignment horizontal="center"/>
    </xf>
    <xf numFmtId="165" fontId="19" fillId="58" borderId="84" xfId="128" applyFont="1" applyFill="1" applyBorder="1" applyAlignment="1" applyProtection="1">
      <alignment horizontal="center" vertical="center"/>
    </xf>
    <xf numFmtId="165" fontId="19" fillId="58" borderId="87" xfId="128" applyFont="1" applyFill="1" applyBorder="1" applyAlignment="1" applyProtection="1">
      <alignment horizontal="center" vertical="center"/>
    </xf>
    <xf numFmtId="165" fontId="19" fillId="58" borderId="94" xfId="128" applyFont="1" applyFill="1" applyBorder="1" applyAlignment="1" applyProtection="1">
      <alignment horizontal="center" vertical="center"/>
    </xf>
    <xf numFmtId="14" fontId="19" fillId="58" borderId="84" xfId="128" applyNumberFormat="1" applyFont="1" applyFill="1" applyBorder="1" applyAlignment="1" applyProtection="1">
      <alignment horizontal="center" vertical="center"/>
    </xf>
    <xf numFmtId="14" fontId="19" fillId="58" borderId="87" xfId="128" applyNumberFormat="1" applyFont="1" applyFill="1" applyBorder="1" applyAlignment="1" applyProtection="1">
      <alignment horizontal="center" vertical="center"/>
    </xf>
    <xf numFmtId="14" fontId="19" fillId="58" borderId="94" xfId="128" applyNumberFormat="1" applyFont="1" applyFill="1" applyBorder="1" applyAlignment="1" applyProtection="1">
      <alignment horizontal="center" vertical="center"/>
    </xf>
    <xf numFmtId="165" fontId="19" fillId="58" borderId="21" xfId="128" applyFont="1" applyFill="1" applyBorder="1" applyAlignment="1" applyProtection="1">
      <alignment horizontal="left" vertical="top"/>
    </xf>
    <xf numFmtId="165" fontId="19" fillId="58" borderId="22" xfId="128" applyFont="1" applyFill="1" applyBorder="1" applyAlignment="1" applyProtection="1">
      <alignment horizontal="left" vertical="top"/>
    </xf>
    <xf numFmtId="165" fontId="19" fillId="58" borderId="27" xfId="128" applyFont="1" applyFill="1" applyBorder="1" applyAlignment="1" applyProtection="1">
      <alignment horizontal="left" vertical="top"/>
    </xf>
    <xf numFmtId="165" fontId="19" fillId="58" borderId="29" xfId="128" applyFont="1" applyFill="1" applyBorder="1" applyAlignment="1" applyProtection="1">
      <alignment horizontal="left" vertical="top"/>
    </xf>
    <xf numFmtId="165" fontId="19" fillId="58" borderId="20" xfId="128" applyFont="1" applyFill="1" applyBorder="1" applyAlignment="1" applyProtection="1">
      <alignment horizontal="left" vertical="top"/>
    </xf>
    <xf numFmtId="165" fontId="19" fillId="58" borderId="30" xfId="128" applyFont="1" applyFill="1" applyBorder="1" applyAlignment="1" applyProtection="1">
      <alignment horizontal="left" vertical="top"/>
    </xf>
    <xf numFmtId="165" fontId="19" fillId="58" borderId="23" xfId="128" applyFont="1" applyFill="1" applyBorder="1" applyAlignment="1" applyProtection="1">
      <alignment horizontal="left" vertical="top" wrapText="1"/>
    </xf>
    <xf numFmtId="165" fontId="19" fillId="58" borderId="0" xfId="128" applyFont="1" applyFill="1" applyBorder="1" applyAlignment="1" applyProtection="1">
      <alignment horizontal="left" vertical="top" wrapText="1"/>
    </xf>
    <xf numFmtId="165" fontId="19" fillId="58" borderId="26" xfId="128" applyFont="1" applyFill="1" applyBorder="1" applyAlignment="1" applyProtection="1">
      <alignment horizontal="left" vertical="top" wrapText="1"/>
    </xf>
    <xf numFmtId="165" fontId="17" fillId="58" borderId="32" xfId="128" applyFont="1" applyFill="1" applyBorder="1" applyAlignment="1" applyProtection="1">
      <alignment horizontal="center" wrapText="1"/>
    </xf>
    <xf numFmtId="165" fontId="17" fillId="58" borderId="32" xfId="128" quotePrefix="1" applyFont="1" applyFill="1" applyBorder="1" applyAlignment="1" applyProtection="1">
      <alignment horizontal="center" wrapText="1"/>
    </xf>
    <xf numFmtId="165" fontId="17" fillId="58" borderId="48" xfId="128" applyFont="1" applyFill="1" applyBorder="1" applyAlignment="1" applyProtection="1">
      <alignment horizontal="center" wrapText="1"/>
    </xf>
    <xf numFmtId="165" fontId="17" fillId="58" borderId="41" xfId="128" applyFont="1" applyFill="1" applyBorder="1" applyAlignment="1" applyProtection="1">
      <alignment horizontal="center" wrapText="1"/>
    </xf>
    <xf numFmtId="165" fontId="17" fillId="58" borderId="13" xfId="128" applyFont="1" applyFill="1" applyBorder="1" applyAlignment="1" applyProtection="1">
      <alignment horizontal="center" wrapText="1"/>
    </xf>
    <xf numFmtId="165" fontId="17" fillId="58" borderId="42" xfId="128" applyFont="1" applyFill="1" applyBorder="1" applyAlignment="1" applyProtection="1">
      <alignment horizontal="center" wrapText="1"/>
    </xf>
    <xf numFmtId="165" fontId="17" fillId="61" borderId="69" xfId="128" applyFont="1" applyFill="1" applyBorder="1" applyAlignment="1" applyProtection="1">
      <alignment horizontal="center" wrapText="1"/>
      <protection locked="0"/>
    </xf>
    <xf numFmtId="165" fontId="17" fillId="61" borderId="79" xfId="128" applyFont="1" applyFill="1" applyBorder="1" applyAlignment="1" applyProtection="1">
      <alignment horizontal="center" wrapText="1"/>
      <protection locked="0"/>
    </xf>
    <xf numFmtId="165" fontId="17" fillId="58" borderId="87" xfId="128" applyFont="1" applyFill="1" applyBorder="1" applyAlignment="1" applyProtection="1">
      <alignment horizontal="left" vertical="top" wrapText="1"/>
      <protection locked="0"/>
    </xf>
    <xf numFmtId="165" fontId="17" fillId="58" borderId="94" xfId="128" applyFont="1" applyFill="1" applyBorder="1" applyAlignment="1" applyProtection="1">
      <alignment horizontal="left" vertical="top" wrapText="1"/>
      <protection locked="0"/>
    </xf>
    <xf numFmtId="165" fontId="17" fillId="58" borderId="32" xfId="128" applyFont="1" applyFill="1" applyBorder="1" applyAlignment="1" applyProtection="1">
      <alignment horizontal="center" wrapText="1"/>
      <protection locked="0"/>
    </xf>
    <xf numFmtId="165" fontId="17" fillId="58" borderId="48" xfId="128" applyFont="1" applyFill="1" applyBorder="1" applyAlignment="1" applyProtection="1">
      <alignment horizontal="center" wrapText="1"/>
      <protection locked="0"/>
    </xf>
    <xf numFmtId="14" fontId="4" fillId="58" borderId="28" xfId="128" applyNumberFormat="1" applyFont="1" applyFill="1" applyBorder="1" applyAlignment="1" applyProtection="1">
      <alignment horizontal="center"/>
    </xf>
    <xf numFmtId="165" fontId="4" fillId="61" borderId="0" xfId="128" applyFont="1" applyFill="1" applyBorder="1" applyAlignment="1" applyProtection="1">
      <alignment horizontal="center"/>
    </xf>
    <xf numFmtId="165" fontId="4" fillId="24" borderId="26" xfId="128" applyFont="1" applyFill="1" applyBorder="1" applyAlignment="1" applyProtection="1">
      <alignment horizontal="center"/>
    </xf>
    <xf numFmtId="165" fontId="5" fillId="58" borderId="0" xfId="128" applyFill="1" applyBorder="1" applyAlignment="1" applyProtection="1">
      <alignment horizontal="left" vertical="top" wrapText="1"/>
    </xf>
    <xf numFmtId="165" fontId="17" fillId="58" borderId="52" xfId="128" applyFont="1" applyFill="1" applyBorder="1" applyAlignment="1" applyProtection="1">
      <alignment horizontal="center"/>
    </xf>
    <xf numFmtId="165" fontId="17" fillId="58" borderId="13" xfId="128" applyFont="1" applyFill="1" applyBorder="1" applyAlignment="1" applyProtection="1">
      <alignment horizontal="center"/>
    </xf>
    <xf numFmtId="165" fontId="17" fillId="58" borderId="42" xfId="128" applyFont="1" applyFill="1" applyBorder="1" applyAlignment="1" applyProtection="1">
      <alignment horizontal="center"/>
    </xf>
    <xf numFmtId="165" fontId="21" fillId="58" borderId="0" xfId="128" applyFont="1" applyFill="1" applyBorder="1" applyAlignment="1" applyProtection="1">
      <alignment horizontal="center"/>
    </xf>
    <xf numFmtId="41" fontId="4" fillId="58" borderId="20" xfId="128" applyNumberFormat="1" applyFont="1" applyFill="1" applyBorder="1" applyAlignment="1" applyProtection="1">
      <alignment horizontal="left" vertical="top"/>
    </xf>
    <xf numFmtId="41" fontId="4" fillId="58" borderId="30" xfId="128" applyNumberFormat="1" applyFont="1" applyFill="1" applyBorder="1" applyAlignment="1" applyProtection="1">
      <alignment horizontal="left" vertical="top"/>
    </xf>
    <xf numFmtId="165" fontId="17" fillId="58" borderId="87" xfId="128" applyFont="1" applyFill="1" applyBorder="1" applyAlignment="1" applyProtection="1">
      <alignment horizontal="left" vertical="top" wrapText="1"/>
    </xf>
    <xf numFmtId="165" fontId="17" fillId="58" borderId="94" xfId="128" applyFont="1" applyFill="1" applyBorder="1" applyAlignment="1" applyProtection="1">
      <alignment horizontal="left" vertical="top" wrapText="1"/>
    </xf>
    <xf numFmtId="165" fontId="17" fillId="58" borderId="52" xfId="128" applyFont="1" applyFill="1" applyBorder="1" applyAlignment="1" applyProtection="1">
      <alignment horizontal="center" wrapText="1"/>
    </xf>
    <xf numFmtId="165" fontId="17" fillId="58" borderId="63" xfId="128" applyFont="1" applyFill="1" applyBorder="1" applyAlignment="1" applyProtection="1">
      <alignment vertical="center" wrapText="1"/>
      <protection locked="0"/>
    </xf>
    <xf numFmtId="165" fontId="17" fillId="58" borderId="81" xfId="128" applyFont="1" applyFill="1" applyBorder="1" applyAlignment="1" applyProtection="1">
      <alignment vertical="center" wrapText="1"/>
      <protection locked="0"/>
    </xf>
    <xf numFmtId="165" fontId="4" fillId="24" borderId="37" xfId="128" applyFont="1" applyFill="1" applyBorder="1" applyAlignment="1" applyProtection="1">
      <alignment horizontal="center"/>
    </xf>
    <xf numFmtId="165" fontId="4" fillId="24" borderId="19" xfId="128" applyFont="1" applyFill="1" applyBorder="1" applyAlignment="1" applyProtection="1">
      <alignment horizontal="center"/>
    </xf>
    <xf numFmtId="165" fontId="4" fillId="24" borderId="33" xfId="128" applyFont="1" applyFill="1" applyBorder="1" applyAlignment="1" applyProtection="1">
      <alignment horizontal="center"/>
    </xf>
    <xf numFmtId="165" fontId="4" fillId="61" borderId="37" xfId="128" applyFont="1" applyFill="1" applyBorder="1" applyAlignment="1" applyProtection="1">
      <alignment horizontal="center" wrapText="1"/>
    </xf>
    <xf numFmtId="165" fontId="4" fillId="61" borderId="19" xfId="128" applyFont="1" applyFill="1" applyBorder="1" applyAlignment="1" applyProtection="1">
      <alignment horizontal="center" wrapText="1"/>
    </xf>
    <xf numFmtId="165" fontId="4" fillId="61" borderId="33" xfId="128" applyFont="1" applyFill="1" applyBorder="1" applyAlignment="1" applyProtection="1">
      <alignment horizontal="center" wrapText="1"/>
    </xf>
    <xf numFmtId="165" fontId="4" fillId="24" borderId="51" xfId="128" applyFont="1" applyFill="1" applyBorder="1" applyAlignment="1" applyProtection="1">
      <alignment horizontal="center"/>
    </xf>
    <xf numFmtId="165" fontId="17" fillId="58" borderId="49" xfId="128" applyFont="1" applyFill="1" applyBorder="1" applyAlignment="1" applyProtection="1">
      <alignment horizontal="center"/>
      <protection locked="0"/>
    </xf>
    <xf numFmtId="165" fontId="17" fillId="58" borderId="32" xfId="128" applyFont="1" applyFill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left"/>
      <protection locked="0"/>
    </xf>
    <xf numFmtId="164" fontId="14" fillId="0" borderId="0" xfId="0" applyNumberFormat="1" applyFont="1" applyBorder="1" applyAlignment="1" applyProtection="1">
      <alignment horizontal="left"/>
      <protection locked="0"/>
    </xf>
    <xf numFmtId="0" fontId="2" fillId="68" borderId="0" xfId="0" applyFont="1" applyFill="1" applyAlignment="1">
      <alignment horizontal="center"/>
    </xf>
    <xf numFmtId="165" fontId="5" fillId="58" borderId="0" xfId="128" applyFill="1" applyBorder="1" applyAlignment="1" applyProtection="1">
      <alignment horizontal="left" vertical="top" wrapText="1"/>
      <protection locked="0"/>
    </xf>
    <xf numFmtId="165" fontId="4" fillId="58" borderId="0" xfId="128" applyFont="1" applyFill="1" applyBorder="1" applyAlignment="1" applyProtection="1">
      <alignment horizontal="left" wrapText="1"/>
    </xf>
    <xf numFmtId="164" fontId="4" fillId="58" borderId="32" xfId="56" applyNumberFormat="1" applyFont="1" applyFill="1" applyBorder="1" applyAlignment="1" applyProtection="1">
      <alignment horizontal="right" wrapText="1"/>
    </xf>
    <xf numFmtId="164" fontId="4" fillId="58" borderId="48" xfId="56" applyNumberFormat="1" applyFont="1" applyFill="1" applyBorder="1" applyAlignment="1" applyProtection="1">
      <alignment horizontal="right" wrapText="1"/>
    </xf>
    <xf numFmtId="164" fontId="4" fillId="58" borderId="32" xfId="56" applyNumberFormat="1" applyFont="1" applyFill="1" applyBorder="1" applyAlignment="1" applyProtection="1">
      <alignment horizontal="right"/>
    </xf>
    <xf numFmtId="164" fontId="4" fillId="58" borderId="48" xfId="56" applyNumberFormat="1" applyFont="1" applyFill="1" applyBorder="1" applyAlignment="1" applyProtection="1">
      <alignment horizontal="right"/>
    </xf>
    <xf numFmtId="43" fontId="4" fillId="58" borderId="75" xfId="56" applyFont="1" applyFill="1" applyBorder="1" applyAlignment="1" applyProtection="1">
      <alignment horizontal="right"/>
    </xf>
    <xf numFmtId="43" fontId="4" fillId="58" borderId="76" xfId="56" applyFont="1" applyFill="1" applyBorder="1" applyAlignment="1" applyProtection="1">
      <alignment horizontal="right"/>
    </xf>
    <xf numFmtId="165" fontId="5" fillId="58" borderId="0" xfId="128" applyFill="1" applyAlignment="1" applyProtection="1">
      <alignment horizontal="center"/>
    </xf>
    <xf numFmtId="165" fontId="5" fillId="58" borderId="0" xfId="128" applyFont="1" applyFill="1" applyBorder="1" applyAlignment="1" applyProtection="1">
      <alignment horizontal="right"/>
    </xf>
    <xf numFmtId="165" fontId="5" fillId="58" borderId="26" xfId="128" applyFont="1" applyFill="1" applyBorder="1" applyAlignment="1" applyProtection="1">
      <alignment horizontal="right"/>
    </xf>
    <xf numFmtId="41" fontId="4" fillId="58" borderId="20" xfId="128" applyNumberFormat="1" applyFont="1" applyFill="1" applyBorder="1" applyAlignment="1" applyProtection="1">
      <alignment horizontal="left" vertical="top"/>
      <protection locked="0"/>
    </xf>
    <xf numFmtId="165" fontId="4" fillId="24" borderId="84" xfId="128" applyFont="1" applyFill="1" applyBorder="1" applyAlignment="1" applyProtection="1">
      <alignment horizontal="center"/>
    </xf>
    <xf numFmtId="165" fontId="4" fillId="24" borderId="87" xfId="128" applyFont="1" applyFill="1" applyBorder="1" applyAlignment="1" applyProtection="1">
      <alignment horizontal="center"/>
    </xf>
    <xf numFmtId="165" fontId="4" fillId="24" borderId="94" xfId="128" applyFont="1" applyFill="1" applyBorder="1" applyAlignment="1" applyProtection="1">
      <alignment horizontal="center"/>
    </xf>
    <xf numFmtId="165" fontId="4" fillId="58" borderId="0" xfId="128" applyFont="1" applyFill="1" applyBorder="1" applyAlignment="1" applyProtection="1">
      <alignment horizontal="left"/>
    </xf>
    <xf numFmtId="14" fontId="4" fillId="58" borderId="86" xfId="128" applyNumberFormat="1" applyFont="1" applyFill="1" applyBorder="1" applyAlignment="1" applyProtection="1">
      <alignment horizontal="center"/>
    </xf>
    <xf numFmtId="166" fontId="7" fillId="58" borderId="15" xfId="129" applyFont="1" applyFill="1" applyBorder="1" applyAlignment="1" applyProtection="1">
      <alignment horizontal="left"/>
    </xf>
    <xf numFmtId="166" fontId="7" fillId="58" borderId="35" xfId="129" applyFont="1" applyFill="1" applyBorder="1" applyAlignment="1" applyProtection="1">
      <alignment horizontal="left"/>
    </xf>
    <xf numFmtId="166" fontId="6" fillId="26" borderId="101" xfId="129" applyFont="1" applyFill="1" applyBorder="1" applyAlignment="1" applyProtection="1">
      <alignment horizontal="left"/>
    </xf>
    <xf numFmtId="166" fontId="6" fillId="26" borderId="100" xfId="129" applyFont="1" applyFill="1" applyBorder="1" applyAlignment="1" applyProtection="1">
      <alignment horizontal="left"/>
    </xf>
    <xf numFmtId="166" fontId="4" fillId="24" borderId="92" xfId="129" applyFont="1" applyFill="1" applyBorder="1" applyAlignment="1" applyProtection="1">
      <alignment horizontal="center"/>
    </xf>
    <xf numFmtId="166" fontId="4" fillId="24" borderId="83" xfId="129" applyFont="1" applyFill="1" applyBorder="1" applyAlignment="1" applyProtection="1">
      <alignment horizontal="center"/>
    </xf>
    <xf numFmtId="165" fontId="4" fillId="58" borderId="20" xfId="128" applyFont="1" applyFill="1" applyBorder="1" applyAlignment="1" applyProtection="1">
      <alignment horizontal="left" vertical="top"/>
    </xf>
    <xf numFmtId="166" fontId="27" fillId="58" borderId="21" xfId="129" applyFont="1" applyFill="1" applyBorder="1" applyAlignment="1" applyProtection="1">
      <alignment horizontal="center"/>
    </xf>
    <xf numFmtId="166" fontId="27" fillId="58" borderId="22" xfId="129" applyFont="1" applyFill="1" applyBorder="1" applyAlignment="1" applyProtection="1">
      <alignment horizontal="center"/>
    </xf>
    <xf numFmtId="166" fontId="27" fillId="58" borderId="27" xfId="129" applyFont="1" applyFill="1" applyBorder="1" applyAlignment="1" applyProtection="1">
      <alignment horizontal="center"/>
    </xf>
    <xf numFmtId="166" fontId="19" fillId="24" borderId="23" xfId="129" applyFont="1" applyFill="1" applyBorder="1" applyAlignment="1" applyProtection="1">
      <alignment horizontal="center"/>
    </xf>
    <xf numFmtId="166" fontId="19" fillId="24" borderId="0" xfId="129" applyFont="1" applyFill="1" applyBorder="1" applyAlignment="1" applyProtection="1">
      <alignment horizontal="center"/>
    </xf>
    <xf numFmtId="166" fontId="19" fillId="24" borderId="26" xfId="129" applyFont="1" applyFill="1" applyBorder="1" applyAlignment="1" applyProtection="1">
      <alignment horizontal="center"/>
    </xf>
    <xf numFmtId="166" fontId="4" fillId="24" borderId="19" xfId="129" applyFont="1" applyFill="1" applyBorder="1" applyAlignment="1" applyProtection="1">
      <alignment horizontal="center"/>
    </xf>
    <xf numFmtId="166" fontId="6" fillId="24" borderId="41" xfId="129" applyFont="1" applyFill="1" applyBorder="1" applyAlignment="1" applyProtection="1">
      <alignment horizontal="left"/>
    </xf>
    <xf numFmtId="166" fontId="6" fillId="24" borderId="13" xfId="129" applyFont="1" applyFill="1" applyBorder="1" applyAlignment="1" applyProtection="1">
      <alignment horizontal="left"/>
    </xf>
    <xf numFmtId="166" fontId="7" fillId="58" borderId="16" xfId="129" applyFont="1" applyFill="1" applyBorder="1" applyAlignment="1" applyProtection="1">
      <alignment horizontal="left"/>
    </xf>
    <xf numFmtId="166" fontId="7" fillId="58" borderId="40" xfId="129" applyFont="1" applyFill="1" applyBorder="1" applyAlignment="1" applyProtection="1">
      <alignment horizontal="left"/>
    </xf>
    <xf numFmtId="166" fontId="4" fillId="0" borderId="0" xfId="129" applyFont="1" applyFill="1" applyBorder="1" applyAlignment="1" applyProtection="1">
      <alignment horizontal="center"/>
    </xf>
    <xf numFmtId="166" fontId="7" fillId="58" borderId="0" xfId="129" applyFont="1" applyFill="1" applyBorder="1" applyAlignment="1" applyProtection="1">
      <alignment horizontal="left"/>
    </xf>
    <xf numFmtId="166" fontId="26" fillId="24" borderId="13" xfId="129" applyFont="1" applyFill="1" applyBorder="1" applyAlignment="1" applyProtection="1">
      <alignment horizontal="center"/>
    </xf>
    <xf numFmtId="166" fontId="19" fillId="24" borderId="29" xfId="129" applyFont="1" applyFill="1" applyBorder="1" applyAlignment="1" applyProtection="1">
      <alignment horizontal="center"/>
    </xf>
    <xf numFmtId="166" fontId="19" fillId="24" borderId="20" xfId="129" applyFont="1" applyFill="1" applyBorder="1" applyAlignment="1" applyProtection="1">
      <alignment horizontal="center"/>
    </xf>
    <xf numFmtId="166" fontId="19" fillId="24" borderId="30" xfId="129" applyFont="1" applyFill="1" applyBorder="1" applyAlignment="1" applyProtection="1">
      <alignment horizontal="center"/>
    </xf>
    <xf numFmtId="166" fontId="4" fillId="24" borderId="75" xfId="129" applyFont="1" applyFill="1" applyBorder="1" applyAlignment="1" applyProtection="1">
      <alignment horizontal="center"/>
    </xf>
    <xf numFmtId="0" fontId="15" fillId="60" borderId="41" xfId="0" applyFont="1" applyFill="1" applyBorder="1" applyAlignment="1" applyProtection="1">
      <alignment horizontal="left" wrapText="1"/>
    </xf>
    <xf numFmtId="0" fontId="15" fillId="60" borderId="13" xfId="0" applyFont="1" applyFill="1" applyBorder="1" applyAlignment="1" applyProtection="1">
      <alignment horizontal="left" wrapText="1"/>
    </xf>
    <xf numFmtId="0" fontId="2" fillId="24" borderId="37" xfId="0" applyFont="1" applyFill="1" applyBorder="1" applyAlignment="1" applyProtection="1">
      <alignment horizontal="center" wrapText="1"/>
    </xf>
    <xf numFmtId="0" fontId="2" fillId="61" borderId="19" xfId="0" applyFont="1" applyFill="1" applyBorder="1" applyAlignment="1" applyProtection="1">
      <alignment horizontal="center" wrapText="1"/>
    </xf>
    <xf numFmtId="0" fontId="14" fillId="58" borderId="41" xfId="0" applyFont="1" applyFill="1" applyBorder="1" applyAlignment="1" applyProtection="1">
      <alignment horizontal="left"/>
      <protection locked="0"/>
    </xf>
    <xf numFmtId="0" fontId="14" fillId="58" borderId="13" xfId="0" applyFont="1" applyFill="1" applyBorder="1" applyAlignment="1" applyProtection="1">
      <alignment horizontal="left"/>
      <protection locked="0"/>
    </xf>
    <xf numFmtId="0" fontId="14" fillId="58" borderId="42" xfId="0" applyFont="1" applyFill="1" applyBorder="1" applyAlignment="1" applyProtection="1">
      <alignment horizontal="left"/>
      <protection locked="0"/>
    </xf>
    <xf numFmtId="0" fontId="3" fillId="58" borderId="88" xfId="0" applyFont="1" applyFill="1" applyBorder="1" applyAlignment="1" applyProtection="1">
      <alignment horizontal="center"/>
    </xf>
    <xf numFmtId="0" fontId="3" fillId="58" borderId="28" xfId="0" applyFont="1" applyFill="1" applyBorder="1" applyAlignment="1" applyProtection="1">
      <alignment horizontal="center"/>
    </xf>
    <xf numFmtId="0" fontId="3" fillId="58" borderId="22" xfId="0" applyFont="1" applyFill="1" applyBorder="1" applyAlignment="1" applyProtection="1">
      <alignment horizontal="center"/>
    </xf>
    <xf numFmtId="0" fontId="3" fillId="58" borderId="86" xfId="0" applyFont="1" applyFill="1" applyBorder="1" applyAlignment="1" applyProtection="1">
      <alignment horizontal="center"/>
    </xf>
    <xf numFmtId="0" fontId="2" fillId="24" borderId="19" xfId="0" applyFont="1" applyFill="1" applyBorder="1" applyAlignment="1" applyProtection="1">
      <alignment horizontal="center"/>
    </xf>
    <xf numFmtId="0" fontId="2" fillId="24" borderId="26" xfId="0" applyFont="1" applyFill="1" applyBorder="1" applyAlignment="1" applyProtection="1">
      <alignment horizontal="center"/>
    </xf>
    <xf numFmtId="0" fontId="14" fillId="0" borderId="41" xfId="0" applyFont="1" applyBorder="1" applyAlignment="1" applyProtection="1">
      <alignment horizontal="left"/>
      <protection locked="0"/>
    </xf>
    <xf numFmtId="0" fontId="14" fillId="0" borderId="13" xfId="0" applyFont="1" applyBorder="1" applyAlignment="1" applyProtection="1">
      <alignment horizontal="left"/>
      <protection locked="0"/>
    </xf>
    <xf numFmtId="0" fontId="14" fillId="0" borderId="42" xfId="0" applyFont="1" applyBorder="1" applyAlignment="1" applyProtection="1">
      <alignment horizontal="left"/>
      <protection locked="0"/>
    </xf>
    <xf numFmtId="0" fontId="2" fillId="0" borderId="92" xfId="0" applyFont="1" applyBorder="1" applyAlignment="1" applyProtection="1">
      <alignment horizontal="center"/>
    </xf>
    <xf numFmtId="0" fontId="2" fillId="0" borderId="89" xfId="0" applyFont="1" applyBorder="1" applyAlignment="1" applyProtection="1">
      <alignment horizontal="center"/>
    </xf>
    <xf numFmtId="0" fontId="2" fillId="0" borderId="83" xfId="0" applyFont="1" applyBorder="1" applyAlignment="1" applyProtection="1">
      <alignment horizontal="center"/>
    </xf>
    <xf numFmtId="0" fontId="2" fillId="61" borderId="70" xfId="0" applyFont="1" applyFill="1" applyBorder="1" applyAlignment="1" applyProtection="1">
      <alignment horizontal="center" wrapText="1"/>
    </xf>
    <xf numFmtId="0" fontId="2" fillId="61" borderId="31" xfId="0" applyFont="1" applyFill="1" applyBorder="1" applyAlignment="1" applyProtection="1">
      <alignment horizontal="center" wrapText="1"/>
    </xf>
    <xf numFmtId="0" fontId="2" fillId="61" borderId="23" xfId="0" applyFont="1" applyFill="1" applyBorder="1" applyAlignment="1" applyProtection="1">
      <alignment horizontal="center" wrapText="1"/>
    </xf>
    <xf numFmtId="0" fontId="2" fillId="61" borderId="0" xfId="0" applyFont="1" applyFill="1" applyBorder="1" applyAlignment="1" applyProtection="1">
      <alignment horizontal="center" wrapText="1"/>
    </xf>
    <xf numFmtId="0" fontId="2" fillId="61" borderId="51" xfId="0" applyFont="1" applyFill="1" applyBorder="1" applyAlignment="1" applyProtection="1">
      <alignment horizontal="center" wrapText="1"/>
    </xf>
    <xf numFmtId="0" fontId="2" fillId="58" borderId="92" xfId="0" applyFont="1" applyFill="1" applyBorder="1" applyAlignment="1" applyProtection="1">
      <alignment horizontal="center"/>
    </xf>
    <xf numFmtId="0" fontId="2" fillId="58" borderId="89" xfId="0" applyFont="1" applyFill="1" applyBorder="1" applyAlignment="1" applyProtection="1">
      <alignment horizontal="center"/>
    </xf>
    <xf numFmtId="0" fontId="2" fillId="58" borderId="83" xfId="0" applyFont="1" applyFill="1" applyBorder="1" applyAlignment="1" applyProtection="1">
      <alignment horizontal="center"/>
    </xf>
    <xf numFmtId="0" fontId="14" fillId="58" borderId="0" xfId="0" applyFont="1" applyFill="1" applyBorder="1" applyAlignment="1" applyProtection="1">
      <alignment horizontal="center"/>
    </xf>
    <xf numFmtId="0" fontId="2" fillId="61" borderId="32" xfId="0" applyFont="1" applyFill="1" applyBorder="1" applyAlignment="1" applyProtection="1">
      <alignment horizontal="center" wrapText="1"/>
    </xf>
    <xf numFmtId="0" fontId="2" fillId="24" borderId="41" xfId="0" applyFont="1" applyFill="1" applyBorder="1" applyAlignment="1" applyProtection="1">
      <alignment horizontal="center" wrapText="1"/>
    </xf>
    <xf numFmtId="0" fontId="2" fillId="24" borderId="13" xfId="0" applyFont="1" applyFill="1" applyBorder="1" applyAlignment="1" applyProtection="1">
      <alignment horizontal="center" wrapText="1"/>
    </xf>
    <xf numFmtId="0" fontId="2" fillId="24" borderId="42" xfId="0" applyFont="1" applyFill="1" applyBorder="1" applyAlignment="1" applyProtection="1">
      <alignment horizontal="center" wrapText="1"/>
    </xf>
    <xf numFmtId="0" fontId="14" fillId="0" borderId="41" xfId="0" applyFont="1" applyFill="1" applyBorder="1" applyAlignment="1" applyProtection="1">
      <alignment horizontal="left"/>
      <protection locked="0"/>
    </xf>
    <xf numFmtId="0" fontId="14" fillId="0" borderId="13" xfId="0" applyFont="1" applyFill="1" applyBorder="1" applyAlignment="1" applyProtection="1">
      <alignment horizontal="left"/>
      <protection locked="0"/>
    </xf>
    <xf numFmtId="0" fontId="14" fillId="0" borderId="42" xfId="0" applyFont="1" applyFill="1" applyBorder="1" applyAlignment="1" applyProtection="1">
      <alignment horizontal="left"/>
      <protection locked="0"/>
    </xf>
    <xf numFmtId="0" fontId="2" fillId="61" borderId="40" xfId="0" applyFont="1" applyFill="1" applyBorder="1" applyAlignment="1" applyProtection="1">
      <alignment horizontal="center" wrapText="1"/>
    </xf>
    <xf numFmtId="0" fontId="2" fillId="24" borderId="102" xfId="0" applyFont="1" applyFill="1" applyBorder="1" applyAlignment="1" applyProtection="1">
      <alignment horizontal="center" wrapText="1"/>
    </xf>
    <xf numFmtId="0" fontId="2" fillId="24" borderId="28" xfId="0" applyFont="1" applyFill="1" applyBorder="1" applyAlignment="1" applyProtection="1">
      <alignment horizontal="center" wrapText="1"/>
    </xf>
    <xf numFmtId="0" fontId="2" fillId="24" borderId="103" xfId="0" applyFont="1" applyFill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/>
    </xf>
    <xf numFmtId="0" fontId="2" fillId="0" borderId="90" xfId="0" applyFont="1" applyBorder="1" applyAlignment="1" applyProtection="1">
      <alignment horizontal="center"/>
    </xf>
    <xf numFmtId="0" fontId="2" fillId="24" borderId="33" xfId="0" applyFont="1" applyFill="1" applyBorder="1" applyAlignment="1" applyProtection="1">
      <alignment horizontal="center" wrapText="1"/>
    </xf>
    <xf numFmtId="0" fontId="14" fillId="0" borderId="41" xfId="0" applyFont="1" applyBorder="1" applyAlignment="1" applyProtection="1">
      <alignment horizontal="left"/>
    </xf>
    <xf numFmtId="0" fontId="14" fillId="0" borderId="13" xfId="0" applyFont="1" applyBorder="1" applyAlignment="1" applyProtection="1">
      <alignment horizontal="left"/>
    </xf>
    <xf numFmtId="0" fontId="14" fillId="0" borderId="42" xfId="0" applyFont="1" applyBorder="1" applyAlignment="1" applyProtection="1">
      <alignment horizontal="left"/>
    </xf>
    <xf numFmtId="164" fontId="4" fillId="58" borderId="75" xfId="56" applyNumberFormat="1" applyFont="1" applyFill="1" applyBorder="1" applyAlignment="1" applyProtection="1">
      <alignment horizontal="right"/>
    </xf>
    <xf numFmtId="164" fontId="4" fillId="58" borderId="76" xfId="56" applyNumberFormat="1" applyFont="1" applyFill="1" applyBorder="1" applyAlignment="1" applyProtection="1">
      <alignment horizontal="right"/>
    </xf>
    <xf numFmtId="165" fontId="4" fillId="58" borderId="0" xfId="128" applyFont="1" applyFill="1" applyBorder="1" applyAlignment="1" applyProtection="1">
      <alignment horizontal="right"/>
    </xf>
    <xf numFmtId="165" fontId="4" fillId="58" borderId="26" xfId="128" applyFont="1" applyFill="1" applyBorder="1" applyAlignment="1" applyProtection="1">
      <alignment horizontal="right"/>
    </xf>
    <xf numFmtId="10" fontId="4" fillId="58" borderId="32" xfId="134" applyNumberFormat="1" applyFont="1" applyFill="1" applyBorder="1" applyAlignment="1" applyProtection="1">
      <alignment horizontal="right"/>
    </xf>
    <xf numFmtId="10" fontId="4" fillId="58" borderId="48" xfId="134" applyNumberFormat="1" applyFont="1" applyFill="1" applyBorder="1" applyAlignment="1" applyProtection="1">
      <alignment horizontal="right"/>
    </xf>
    <xf numFmtId="164" fontId="4" fillId="58" borderId="0" xfId="56" applyNumberFormat="1" applyFont="1" applyFill="1" applyBorder="1" applyAlignment="1" applyProtection="1">
      <alignment horizontal="right"/>
    </xf>
    <xf numFmtId="164" fontId="4" fillId="58" borderId="26" xfId="56" applyNumberFormat="1" applyFont="1" applyFill="1" applyBorder="1" applyAlignment="1" applyProtection="1">
      <alignment horizontal="right"/>
    </xf>
    <xf numFmtId="41" fontId="4" fillId="58" borderId="0" xfId="128" applyNumberFormat="1" applyFont="1" applyFill="1" applyBorder="1" applyAlignment="1" applyProtection="1">
      <alignment horizontal="left" vertical="top"/>
      <protection locked="0"/>
    </xf>
    <xf numFmtId="41" fontId="4" fillId="58" borderId="26" xfId="128" applyNumberFormat="1" applyFont="1" applyFill="1" applyBorder="1" applyAlignment="1" applyProtection="1">
      <alignment horizontal="left" vertical="top"/>
      <protection locked="0"/>
    </xf>
    <xf numFmtId="165" fontId="5" fillId="58" borderId="29" xfId="128" applyFill="1" applyBorder="1" applyAlignment="1" applyProtection="1">
      <alignment horizontal="left" vertical="top" wrapText="1"/>
      <protection locked="0"/>
    </xf>
    <xf numFmtId="165" fontId="5" fillId="58" borderId="20" xfId="128" applyFill="1" applyBorder="1" applyAlignment="1" applyProtection="1">
      <alignment horizontal="left" vertical="top" wrapText="1"/>
      <protection locked="0"/>
    </xf>
    <xf numFmtId="165" fontId="5" fillId="58" borderId="30" xfId="128" applyFill="1" applyBorder="1" applyAlignment="1" applyProtection="1">
      <alignment horizontal="left" vertical="top" wrapText="1"/>
      <protection locked="0"/>
    </xf>
    <xf numFmtId="165" fontId="4" fillId="58" borderId="0" xfId="128" applyFont="1" applyFill="1" applyBorder="1" applyAlignment="1" applyProtection="1">
      <alignment wrapText="1"/>
    </xf>
    <xf numFmtId="14" fontId="4" fillId="58" borderId="22" xfId="128" applyNumberFormat="1" applyFont="1" applyFill="1" applyBorder="1" applyAlignment="1" applyProtection="1">
      <alignment horizontal="center"/>
    </xf>
    <xf numFmtId="164" fontId="4" fillId="58" borderId="68" xfId="56" applyNumberFormat="1" applyFont="1" applyFill="1" applyBorder="1" applyAlignment="1" applyProtection="1">
      <alignment horizontal="right" wrapText="1"/>
    </xf>
    <xf numFmtId="164" fontId="4" fillId="58" borderId="47" xfId="56" applyNumberFormat="1" applyFont="1" applyFill="1" applyBorder="1" applyAlignment="1" applyProtection="1">
      <alignment horizontal="right" wrapText="1"/>
    </xf>
    <xf numFmtId="0" fontId="2" fillId="58" borderId="0" xfId="0" applyFont="1" applyFill="1" applyAlignment="1" applyProtection="1">
      <alignment horizontal="right"/>
    </xf>
    <xf numFmtId="0" fontId="2" fillId="24" borderId="89" xfId="0" applyFont="1" applyFill="1" applyBorder="1" applyAlignment="1" applyProtection="1">
      <alignment horizontal="center" wrapText="1"/>
    </xf>
    <xf numFmtId="0" fontId="2" fillId="24" borderId="52" xfId="0" applyFont="1" applyFill="1" applyBorder="1" applyAlignment="1" applyProtection="1">
      <alignment horizontal="center" wrapText="1"/>
    </xf>
    <xf numFmtId="0" fontId="14" fillId="58" borderId="0" xfId="0" applyFont="1" applyFill="1" applyBorder="1" applyAlignment="1" applyProtection="1">
      <alignment horizontal="left"/>
    </xf>
    <xf numFmtId="165" fontId="4" fillId="58" borderId="0" xfId="128" applyFont="1" applyFill="1" applyBorder="1" applyAlignment="1" applyProtection="1">
      <alignment horizontal="left" wrapText="1"/>
      <protection locked="0"/>
    </xf>
    <xf numFmtId="37" fontId="5" fillId="58" borderId="14" xfId="128" applyNumberFormat="1" applyFont="1" applyFill="1" applyBorder="1" applyAlignment="1" applyProtection="1">
      <alignment wrapText="1"/>
    </xf>
    <xf numFmtId="37" fontId="5" fillId="58" borderId="15" xfId="128" applyNumberFormat="1" applyFont="1" applyFill="1" applyBorder="1" applyAlignment="1" applyProtection="1">
      <alignment wrapText="1"/>
    </xf>
    <xf numFmtId="165" fontId="4" fillId="58" borderId="87" xfId="128" applyFont="1" applyFill="1" applyBorder="1" applyAlignment="1" applyProtection="1">
      <alignment horizontal="left"/>
    </xf>
    <xf numFmtId="165" fontId="4" fillId="58" borderId="94" xfId="128" applyFont="1" applyFill="1" applyBorder="1" applyAlignment="1" applyProtection="1">
      <alignment horizontal="left"/>
    </xf>
    <xf numFmtId="165" fontId="4" fillId="61" borderId="21" xfId="128" applyFont="1" applyFill="1" applyBorder="1" applyAlignment="1" applyProtection="1">
      <alignment horizontal="center"/>
    </xf>
    <xf numFmtId="165" fontId="4" fillId="61" borderId="27" xfId="128" applyFont="1" applyFill="1" applyBorder="1" applyAlignment="1" applyProtection="1">
      <alignment horizontal="center"/>
    </xf>
    <xf numFmtId="165" fontId="4" fillId="58" borderId="19" xfId="128" applyFont="1" applyFill="1" applyBorder="1" applyAlignment="1" applyProtection="1">
      <alignment horizontal="center" wrapText="1"/>
      <protection locked="0"/>
    </xf>
    <xf numFmtId="165" fontId="4" fillId="58" borderId="21" xfId="128" applyFont="1" applyFill="1" applyBorder="1" applyAlignment="1" applyProtection="1">
      <alignment horizontal="center" wrapText="1"/>
    </xf>
    <xf numFmtId="165" fontId="4" fillId="58" borderId="22" xfId="128" applyFont="1" applyFill="1" applyBorder="1" applyAlignment="1" applyProtection="1">
      <alignment horizontal="center" wrapText="1"/>
    </xf>
    <xf numFmtId="37" fontId="5" fillId="58" borderId="32" xfId="128" applyNumberFormat="1" applyFont="1" applyFill="1" applyBorder="1" applyAlignment="1" applyProtection="1">
      <alignment wrapText="1"/>
      <protection locked="0"/>
    </xf>
    <xf numFmtId="41" fontId="4" fillId="58" borderId="0" xfId="128" applyNumberFormat="1" applyFont="1" applyFill="1" applyBorder="1" applyAlignment="1" applyProtection="1">
      <alignment horizontal="left" vertical="top"/>
    </xf>
    <xf numFmtId="41" fontId="4" fillId="58" borderId="26" xfId="128" applyNumberFormat="1" applyFont="1" applyFill="1" applyBorder="1" applyAlignment="1" applyProtection="1">
      <alignment horizontal="left" vertical="top"/>
    </xf>
    <xf numFmtId="165" fontId="5" fillId="58" borderId="29" xfId="128" applyFill="1" applyBorder="1" applyAlignment="1" applyProtection="1">
      <alignment horizontal="left" vertical="top" wrapText="1"/>
    </xf>
    <xf numFmtId="165" fontId="5" fillId="58" borderId="20" xfId="128" applyFill="1" applyBorder="1" applyAlignment="1" applyProtection="1">
      <alignment horizontal="left" vertical="top" wrapText="1"/>
    </xf>
    <xf numFmtId="165" fontId="5" fillId="58" borderId="30" xfId="128" applyFill="1" applyBorder="1" applyAlignment="1" applyProtection="1">
      <alignment horizontal="left" vertical="top" wrapText="1"/>
    </xf>
    <xf numFmtId="165" fontId="4" fillId="61" borderId="84" xfId="128" applyFont="1" applyFill="1" applyBorder="1" applyAlignment="1" applyProtection="1">
      <alignment horizontal="center"/>
    </xf>
    <xf numFmtId="165" fontId="4" fillId="61" borderId="87" xfId="128" applyFont="1" applyFill="1" applyBorder="1" applyAlignment="1" applyProtection="1">
      <alignment horizontal="center"/>
    </xf>
    <xf numFmtId="165" fontId="4" fillId="61" borderId="22" xfId="128" applyFont="1" applyFill="1" applyBorder="1" applyAlignment="1" applyProtection="1">
      <alignment horizontal="center"/>
    </xf>
    <xf numFmtId="165" fontId="4" fillId="58" borderId="0" xfId="128" applyFont="1" applyFill="1" applyBorder="1" applyAlignment="1" applyProtection="1">
      <alignment horizontal="center" wrapText="1"/>
    </xf>
    <xf numFmtId="37" fontId="4" fillId="58" borderId="75" xfId="128" applyNumberFormat="1" applyFont="1" applyFill="1" applyBorder="1" applyAlignment="1" applyProtection="1">
      <alignment wrapText="1"/>
    </xf>
    <xf numFmtId="37" fontId="4" fillId="58" borderId="14" xfId="128" applyNumberFormat="1" applyFont="1" applyFill="1" applyBorder="1" applyAlignment="1" applyProtection="1">
      <alignment wrapText="1"/>
    </xf>
    <xf numFmtId="37" fontId="4" fillId="58" borderId="15" xfId="128" applyNumberFormat="1" applyFont="1" applyFill="1" applyBorder="1" applyAlignment="1" applyProtection="1">
      <alignment wrapText="1"/>
    </xf>
    <xf numFmtId="37" fontId="5" fillId="58" borderId="0" xfId="128" applyNumberFormat="1" applyFont="1" applyFill="1" applyBorder="1" applyAlignment="1" applyProtection="1">
      <alignment wrapText="1"/>
    </xf>
    <xf numFmtId="37" fontId="5" fillId="58" borderId="41" xfId="128" applyNumberFormat="1" applyFont="1" applyFill="1" applyBorder="1" applyAlignment="1" applyProtection="1">
      <alignment wrapText="1"/>
      <protection locked="0"/>
    </xf>
    <xf numFmtId="37" fontId="5" fillId="58" borderId="42" xfId="128" applyNumberFormat="1" applyFont="1" applyFill="1" applyBorder="1" applyAlignment="1" applyProtection="1">
      <alignment wrapText="1"/>
      <protection locked="0"/>
    </xf>
    <xf numFmtId="165" fontId="4" fillId="58" borderId="13" xfId="128" applyFont="1" applyFill="1" applyBorder="1" applyAlignment="1" applyProtection="1">
      <alignment horizontal="center" wrapText="1"/>
      <protection locked="0"/>
    </xf>
    <xf numFmtId="165" fontId="4" fillId="58" borderId="0" xfId="128" applyFont="1" applyFill="1" applyBorder="1" applyAlignment="1" applyProtection="1">
      <alignment horizontal="center"/>
    </xf>
    <xf numFmtId="165" fontId="4" fillId="58" borderId="26" xfId="128" applyFont="1" applyFill="1" applyBorder="1" applyAlignment="1" applyProtection="1">
      <alignment horizontal="center" wrapText="1"/>
    </xf>
    <xf numFmtId="165" fontId="4" fillId="58" borderId="84" xfId="128" applyFont="1" applyFill="1" applyBorder="1" applyAlignment="1" applyProtection="1">
      <alignment horizontal="left"/>
    </xf>
    <xf numFmtId="165" fontId="5" fillId="58" borderId="0" xfId="128" applyFont="1" applyFill="1" applyBorder="1" applyAlignment="1" applyProtection="1">
      <alignment horizontal="center" wrapText="1"/>
      <protection locked="0"/>
    </xf>
    <xf numFmtId="165" fontId="5" fillId="58" borderId="26" xfId="128" applyFont="1" applyFill="1" applyBorder="1" applyAlignment="1" applyProtection="1">
      <alignment horizontal="center" wrapText="1"/>
      <protection locked="0"/>
    </xf>
    <xf numFmtId="165" fontId="5" fillId="58" borderId="17" xfId="128" applyFont="1" applyFill="1" applyBorder="1" applyAlignment="1" applyProtection="1">
      <alignment horizontal="center" wrapText="1"/>
      <protection locked="0"/>
    </xf>
    <xf numFmtId="165" fontId="5" fillId="58" borderId="46" xfId="128" applyFont="1" applyFill="1" applyBorder="1" applyAlignment="1" applyProtection="1">
      <alignment horizontal="center" wrapText="1"/>
      <protection locked="0"/>
    </xf>
    <xf numFmtId="37" fontId="4" fillId="58" borderId="41" xfId="128" applyNumberFormat="1" applyFont="1" applyFill="1" applyBorder="1" applyAlignment="1" applyProtection="1">
      <alignment wrapText="1"/>
    </xf>
    <xf numFmtId="37" fontId="4" fillId="58" borderId="53" xfId="128" applyNumberFormat="1" applyFont="1" applyFill="1" applyBorder="1" applyAlignment="1" applyProtection="1">
      <alignment wrapText="1"/>
    </xf>
    <xf numFmtId="165" fontId="5" fillId="58" borderId="14" xfId="128" applyFont="1" applyFill="1" applyBorder="1" applyAlignment="1" applyProtection="1">
      <alignment horizontal="center" wrapText="1"/>
      <protection locked="0"/>
    </xf>
    <xf numFmtId="165" fontId="5" fillId="58" borderId="57" xfId="128" applyFont="1" applyFill="1" applyBorder="1" applyAlignment="1" applyProtection="1">
      <alignment horizontal="center" wrapText="1"/>
      <protection locked="0"/>
    </xf>
    <xf numFmtId="165" fontId="5" fillId="58" borderId="37" xfId="128" applyFont="1" applyFill="1" applyBorder="1" applyAlignment="1" applyProtection="1">
      <alignment horizontal="center" wrapText="1"/>
      <protection locked="0"/>
    </xf>
    <xf numFmtId="165" fontId="5" fillId="58" borderId="25" xfId="128" applyFont="1" applyFill="1" applyBorder="1" applyAlignment="1" applyProtection="1">
      <alignment horizontal="center" wrapText="1"/>
      <protection locked="0"/>
    </xf>
    <xf numFmtId="37" fontId="4" fillId="58" borderId="32" xfId="128" applyNumberFormat="1" applyFont="1" applyFill="1" applyBorder="1" applyAlignment="1" applyProtection="1">
      <alignment wrapText="1"/>
    </xf>
    <xf numFmtId="37" fontId="4" fillId="58" borderId="48" xfId="128" applyNumberFormat="1" applyFont="1" applyFill="1" applyBorder="1" applyAlignment="1" applyProtection="1">
      <alignment wrapText="1"/>
    </xf>
    <xf numFmtId="165" fontId="4" fillId="58" borderId="84" xfId="128" applyFont="1" applyFill="1" applyBorder="1" applyAlignment="1" applyProtection="1">
      <alignment horizontal="center"/>
    </xf>
    <xf numFmtId="165" fontId="4" fillId="58" borderId="87" xfId="128" applyFont="1" applyFill="1" applyBorder="1" applyAlignment="1" applyProtection="1">
      <alignment horizontal="center"/>
    </xf>
    <xf numFmtId="165" fontId="4" fillId="58" borderId="94" xfId="128" applyFont="1" applyFill="1" applyBorder="1" applyAlignment="1" applyProtection="1">
      <alignment horizontal="center"/>
    </xf>
    <xf numFmtId="37" fontId="4" fillId="58" borderId="76" xfId="128" applyNumberFormat="1" applyFont="1" applyFill="1" applyBorder="1" applyAlignment="1" applyProtection="1">
      <alignment wrapText="1"/>
    </xf>
  </cellXfs>
  <cellStyles count="155">
    <cellStyle name="20% - Accent1 2" xfId="1" xr:uid="{59A61F83-1F3C-4FD6-9C83-D279A6E684E3}"/>
    <cellStyle name="20% - Accent1 3" xfId="2" xr:uid="{313B7D2A-6AA3-48AA-A0AA-291B6C7E040C}"/>
    <cellStyle name="20% - Accent2 2" xfId="3" xr:uid="{FBF58917-85C8-4FF4-963A-E7D462D7EA3B}"/>
    <cellStyle name="20% - Accent2 3" xfId="4" xr:uid="{F998C328-7B27-440C-BA90-983CD9FD901C}"/>
    <cellStyle name="20% - Accent3 2" xfId="5" xr:uid="{F63AD36A-C22E-47C5-BAAB-F2390FD66A3D}"/>
    <cellStyle name="20% - Accent3 3" xfId="6" xr:uid="{2EBF6445-F896-4951-B4F9-C288466231F2}"/>
    <cellStyle name="20% - Accent4 2" xfId="7" xr:uid="{822436BB-2BAD-406C-BEEE-F0ED7CC94FBB}"/>
    <cellStyle name="20% - Accent4 3" xfId="8" xr:uid="{C85459E3-FFBE-49B9-B0BB-294004D4C068}"/>
    <cellStyle name="20% - Accent5 2" xfId="9" xr:uid="{B347FE0B-F949-446C-BB8C-8C182179EE7F}"/>
    <cellStyle name="20% - Accent5 3" xfId="10" xr:uid="{E0CDC22D-F614-4FA8-9418-3F4295259747}"/>
    <cellStyle name="20% - Accent6 2" xfId="11" xr:uid="{5898294F-5C32-45C4-AFFA-8E533DF7990A}"/>
    <cellStyle name="20% - Accent6 3" xfId="12" xr:uid="{2C78AEEF-3BC2-4970-A483-D435633CA6DD}"/>
    <cellStyle name="40% - Accent1 2" xfId="13" xr:uid="{2D4E955D-9E6A-4E8E-A6A5-A13BC099B01A}"/>
    <cellStyle name="40% - Accent1 3" xfId="14" xr:uid="{15D92BB2-1919-4B71-8824-087E2EA1BA31}"/>
    <cellStyle name="40% - Accent2 2" xfId="15" xr:uid="{C586A86D-7A39-46FF-8985-9DB154FB4317}"/>
    <cellStyle name="40% - Accent2 3" xfId="16" xr:uid="{254C8F2E-4634-4A99-A91C-CE3BC2066722}"/>
    <cellStyle name="40% - Accent3 2" xfId="17" xr:uid="{F854F625-D73E-46C8-87C4-365B54569A1F}"/>
    <cellStyle name="40% - Accent3 3" xfId="18" xr:uid="{9EAFCDD6-9A66-40E9-888E-D2C636DB1529}"/>
    <cellStyle name="40% - Accent4 2" xfId="19" xr:uid="{D769748B-29DF-45A9-91EB-60311C35F076}"/>
    <cellStyle name="40% - Accent4 3" xfId="20" xr:uid="{0205BC26-FA7F-4A61-AD7D-096301FE13C8}"/>
    <cellStyle name="40% - Accent5 2" xfId="21" xr:uid="{CDD33B18-4D61-49AD-89F5-8DF7EC2944EE}"/>
    <cellStyle name="40% - Accent5 3" xfId="22" xr:uid="{24150DC9-5F24-4477-9688-42F5704E2C9E}"/>
    <cellStyle name="40% - Accent6 2" xfId="23" xr:uid="{29A1FF6C-8F7D-4E7E-AF5C-A16B18002F22}"/>
    <cellStyle name="40% - Accent6 3" xfId="24" xr:uid="{EFC3FB26-26E5-4C66-8BAC-6D735B2716D0}"/>
    <cellStyle name="60% - Accent1 2" xfId="25" xr:uid="{A4A6B972-529E-4A26-B925-A46920EAD046}"/>
    <cellStyle name="60% - Accent1 3" xfId="26" xr:uid="{1E698C44-FCC1-48E1-A4DA-4951DAEB56E9}"/>
    <cellStyle name="60% - Accent2 2" xfId="27" xr:uid="{567CD86A-9139-45EC-AC4D-A17079375C16}"/>
    <cellStyle name="60% - Accent2 3" xfId="28" xr:uid="{B684A340-0848-47DE-BB5C-7C6DA1022F02}"/>
    <cellStyle name="60% - Accent3 2" xfId="29" xr:uid="{71926A35-1A39-478F-8EC1-A74D970CF00D}"/>
    <cellStyle name="60% - Accent3 3" xfId="30" xr:uid="{EFCDF948-447E-416A-9EDA-DF3E49F360B4}"/>
    <cellStyle name="60% - Accent4 2" xfId="31" xr:uid="{F7D96261-4B44-4B6B-B04F-5617D6F4F684}"/>
    <cellStyle name="60% - Accent4 3" xfId="32" xr:uid="{E4492E30-8993-4445-9049-546F3B73CB9B}"/>
    <cellStyle name="60% - Accent5 2" xfId="33" xr:uid="{A8138A09-B399-4400-B757-F58F23359D6C}"/>
    <cellStyle name="60% - Accent5 3" xfId="34" xr:uid="{038292AE-9F3D-4D65-A8BF-E8C49E7E79BD}"/>
    <cellStyle name="60% - Accent6 2" xfId="35" xr:uid="{93953A08-D780-4BFB-ADD4-106CC4F472E9}"/>
    <cellStyle name="60% - Accent6 3" xfId="36" xr:uid="{3907384C-37C0-49E1-B1CE-CF6763BD26DE}"/>
    <cellStyle name="Accent1 2" xfId="37" xr:uid="{7D8A98F8-6332-4D9F-87E5-A79EA0855F80}"/>
    <cellStyle name="Accent1 3" xfId="38" xr:uid="{C8FBE1C1-F936-4C73-830A-E52081F97197}"/>
    <cellStyle name="Accent2 2" xfId="39" xr:uid="{D4EFE870-C2BA-489E-B7CB-A82731282FA5}"/>
    <cellStyle name="Accent2 3" xfId="40" xr:uid="{65075973-BC61-4629-B2A6-123485729CA0}"/>
    <cellStyle name="Accent3 2" xfId="41" xr:uid="{BA5410AC-1F62-4B7A-84C6-A5B3695C42CC}"/>
    <cellStyle name="Accent3 3" xfId="42" xr:uid="{86F55F7B-AFE5-437F-AB58-2D8C9FF97522}"/>
    <cellStyle name="Accent4 2" xfId="43" xr:uid="{B8457754-AC48-4829-BC44-541682920408}"/>
    <cellStyle name="Accent4 3" xfId="44" xr:uid="{CEE576D4-B26D-40F6-8ED9-CD2001272BD1}"/>
    <cellStyle name="Accent5 2" xfId="45" xr:uid="{2796BC64-80A0-4574-B920-0EBF9A3D62DC}"/>
    <cellStyle name="Accent5 3" xfId="46" xr:uid="{44FE85D7-0FED-45AE-BD77-8D1C636910E3}"/>
    <cellStyle name="Accent6 2" xfId="47" xr:uid="{2453B670-045C-4500-921D-1636537FF41B}"/>
    <cellStyle name="Accent6 3" xfId="48" xr:uid="{0BCDACF9-75D9-444C-B93E-E1FD05B2FAD3}"/>
    <cellStyle name="Accounting" xfId="49" xr:uid="{60038EEC-95D2-4B12-B7E7-91623D8FE291}"/>
    <cellStyle name="Bad 2" xfId="50" xr:uid="{BB387A50-F365-4564-84DD-A289380EEB3C}"/>
    <cellStyle name="Bad 3" xfId="51" xr:uid="{007760F5-791C-479E-9E47-FF47B01DD51F}"/>
    <cellStyle name="Calculation 2" xfId="52" xr:uid="{9E3B2B93-9A7A-4CB8-9730-B8F5851A6772}"/>
    <cellStyle name="Calculation 3" xfId="53" xr:uid="{615999D7-679B-4E95-A821-F7C0314D7405}"/>
    <cellStyle name="Check Cell 2" xfId="54" xr:uid="{A2465E4D-FEAB-496F-AD3C-DD80DB2C3ECA}"/>
    <cellStyle name="Check Cell 3" xfId="55" xr:uid="{9AF26753-AAAD-4F42-8467-BDEB7C186BB1}"/>
    <cellStyle name="Comma" xfId="56" builtinId="3"/>
    <cellStyle name="Comma 10" xfId="57" xr:uid="{5C83D2C1-84A6-421E-92C8-29B21F03035D}"/>
    <cellStyle name="Comma 11" xfId="58" xr:uid="{1F08284C-91E7-412D-AB73-FB116B226A8C}"/>
    <cellStyle name="Comma 12" xfId="59" xr:uid="{1EF5AC51-93D5-4801-895D-E6C99475C7E1}"/>
    <cellStyle name="Comma 13" xfId="60" xr:uid="{3398A896-19CA-4CC5-B868-A9459AC3245E}"/>
    <cellStyle name="Comma 14" xfId="61" xr:uid="{54198DCF-66AF-48A7-96DD-9718B3E823EA}"/>
    <cellStyle name="Comma 2" xfId="62" xr:uid="{57C89827-02CF-4E83-82C2-61414E0B9DDA}"/>
    <cellStyle name="Comma 2 2" xfId="63" xr:uid="{B2537A9E-395B-4D73-818B-D3091544C7F4}"/>
    <cellStyle name="Comma 2 3" xfId="64" xr:uid="{0B0DF6ED-1C9A-4633-90A6-C7BA98D9B8CC}"/>
    <cellStyle name="Comma 3" xfId="65" xr:uid="{1D6C5D08-26A6-4C28-BB3C-6A3613589A35}"/>
    <cellStyle name="Comma 4" xfId="66" xr:uid="{2D58A164-085B-4809-B738-E8E8D69802FF}"/>
    <cellStyle name="Comma 4 2" xfId="67" xr:uid="{9E78670B-D774-4A2B-9AC1-86463E60E7B0}"/>
    <cellStyle name="Comma 4 3" xfId="68" xr:uid="{72DA6678-5749-4558-BA2B-9BEC6859B248}"/>
    <cellStyle name="Comma 5" xfId="69" xr:uid="{5D633B27-9D98-4EDD-BF92-359DC8C1E8D7}"/>
    <cellStyle name="Comma 5 2" xfId="70" xr:uid="{14CF1EC1-6045-4CFD-BCD9-6B95425EDADD}"/>
    <cellStyle name="Comma 6" xfId="71" xr:uid="{93914427-5F89-42BC-8B77-928ED1714023}"/>
    <cellStyle name="Comma 6 2" xfId="72" xr:uid="{05BEADC4-D2B6-451A-9945-3E72D1DA8985}"/>
    <cellStyle name="Comma 7" xfId="73" xr:uid="{E5CF8B6D-9A38-4652-8625-45A2C0BC7C1B}"/>
    <cellStyle name="Comma 8" xfId="74" xr:uid="{BA039EB1-DBF7-4548-8BFC-6B638EC8654E}"/>
    <cellStyle name="Comma 9" xfId="75" xr:uid="{8773D410-4A9B-47E1-9FDB-93EFF11D0A7C}"/>
    <cellStyle name="Currency" xfId="76" builtinId="4"/>
    <cellStyle name="Currency 2" xfId="77" xr:uid="{7C26CB6D-42F0-4D56-A99B-DE85AE6A450A}"/>
    <cellStyle name="Currency 2 2" xfId="78" xr:uid="{342FB534-7E74-447B-A688-BBE827AD001E}"/>
    <cellStyle name="Currency 3" xfId="79" xr:uid="{4955BB3E-A982-4539-B200-9748838A4A49}"/>
    <cellStyle name="Currency 3 2" xfId="80" xr:uid="{A592C8D6-1F0F-4182-A887-B7708A036C10}"/>
    <cellStyle name="Currency 4" xfId="81" xr:uid="{1C86439F-EDC1-462B-B1AF-238E2FF621B7}"/>
    <cellStyle name="Currency 4 2" xfId="82" xr:uid="{58A1F7C2-81ED-4411-9ABF-A60EA24BDEDB}"/>
    <cellStyle name="Currency 5" xfId="83" xr:uid="{9C6A74FE-5F40-4730-9779-93016C3BEA8C}"/>
    <cellStyle name="Currency 6" xfId="84" xr:uid="{8CF122CE-6574-4A35-9973-FD91BD5D4723}"/>
    <cellStyle name="Currency 7" xfId="85" xr:uid="{FCBADDDC-AF91-447C-B9F4-7BADA356E25C}"/>
    <cellStyle name="Explanatory Text 2" xfId="86" xr:uid="{06A9F222-CA26-4ACC-B0AF-97825F973669}"/>
    <cellStyle name="Explanatory Text 3" xfId="87" xr:uid="{E83BB4E7-EB09-4268-9D3B-51C1D809C846}"/>
    <cellStyle name="FRxAmtStyle" xfId="88" xr:uid="{4B937392-8A85-4A68-83EC-C56812006644}"/>
    <cellStyle name="Good 2" xfId="89" xr:uid="{8443DCE3-8B45-4754-9870-380A5E4C02D5}"/>
    <cellStyle name="Good 3" xfId="90" xr:uid="{3DF19A97-38CA-4218-A2F1-DBD9A73A5C89}"/>
    <cellStyle name="Heading 1 2" xfId="91" xr:uid="{45308D91-875B-4AB6-999E-C841B92EDAF2}"/>
    <cellStyle name="Heading 1 3" xfId="92" xr:uid="{1697ACC0-2112-4CB8-923C-76EF1A454ACB}"/>
    <cellStyle name="Heading 2 2" xfId="93" xr:uid="{36C5DC52-F2C7-4C10-A044-532C3B6E2144}"/>
    <cellStyle name="Heading 2 3" xfId="94" xr:uid="{D785BA90-97C5-404B-B53C-76803C2AEC8B}"/>
    <cellStyle name="Heading 3 2" xfId="95" xr:uid="{9DFFC6F9-3E65-40EE-8020-AD27E978413F}"/>
    <cellStyle name="Heading 3 3" xfId="96" xr:uid="{CAB8B897-18B3-4594-BC64-9355D7EFB9DE}"/>
    <cellStyle name="Heading 4 2" xfId="97" xr:uid="{38E8FB63-E26A-4F42-9FB1-E6F03079968D}"/>
    <cellStyle name="Heading 4 3" xfId="98" xr:uid="{E7D051DF-3DEF-45D3-8680-0267E954ED6C}"/>
    <cellStyle name="Input 2" xfId="99" xr:uid="{352DAE03-8070-4323-B5DC-E18D64E71FC9}"/>
    <cellStyle name="Input 3" xfId="100" xr:uid="{DE898A4A-E654-4950-933E-B65D363A9D7C}"/>
    <cellStyle name="Linked Cell 2" xfId="101" xr:uid="{66D426D1-ADD1-4B98-B700-08965720E53D}"/>
    <cellStyle name="Linked Cell 3" xfId="102" xr:uid="{57BAA104-B806-4C40-9379-FE5FEEF656F0}"/>
    <cellStyle name="Neutral 2" xfId="103" xr:uid="{0D96BB7D-C824-4BD9-9F1F-0124A0D8F5DB}"/>
    <cellStyle name="Neutral 3" xfId="104" xr:uid="{637258C0-36BA-4B49-A109-AB2F1219DB92}"/>
    <cellStyle name="Normal" xfId="0" builtinId="0"/>
    <cellStyle name="Normal 10" xfId="105" xr:uid="{477E1779-C834-4A0E-AFCB-8E04F2769EE4}"/>
    <cellStyle name="Normal 10 2" xfId="106" xr:uid="{D05B4E4E-5108-4234-8C30-C94FBC255750}"/>
    <cellStyle name="Normal 10 3" xfId="107" xr:uid="{AC1DFC53-21DA-4792-8214-E7896D97026C}"/>
    <cellStyle name="Normal 11" xfId="108" xr:uid="{5D6F7402-FE78-4723-B95A-FD6E99756AAB}"/>
    <cellStyle name="Normal 12" xfId="109" xr:uid="{2B083FE7-7DF0-4AB4-B1FD-A8775D30334D}"/>
    <cellStyle name="Normal 13" xfId="110" xr:uid="{DF6356A7-A399-4DA6-A27F-6BFF709F3D89}"/>
    <cellStyle name="Normal 14" xfId="111" xr:uid="{33B47931-1432-42B4-A4A9-81B135DEFA18}"/>
    <cellStyle name="Normal 15" xfId="112" xr:uid="{50E79553-7316-4659-AE88-98E69C67DC0C}"/>
    <cellStyle name="Normal 2" xfId="113" xr:uid="{DD1450FE-1AA0-4757-A304-A3218B43274E}"/>
    <cellStyle name="Normal 2 2" xfId="114" xr:uid="{1248DE3E-578E-41F3-8633-BCCD4489ABB5}"/>
    <cellStyle name="Normal 2 2 2" xfId="115" xr:uid="{A39E62BD-53A2-44DA-86F2-A8342CB004C8}"/>
    <cellStyle name="Normal 2 3" xfId="116" xr:uid="{F547EBAC-F96B-4F46-BD5E-30C29EA06283}"/>
    <cellStyle name="Normal 2 4" xfId="117" xr:uid="{0F47A396-2B15-4FFB-97B4-06E7269AA7EB}"/>
    <cellStyle name="Normal 3" xfId="118" xr:uid="{829C2213-1429-4177-A7DB-49AD47E4DCDE}"/>
    <cellStyle name="Normal 4" xfId="119" xr:uid="{08FEDFD7-0227-41CE-9CCC-8FD9B1651895}"/>
    <cellStyle name="Normal 5" xfId="120" xr:uid="{D581FEB6-1B2B-4FD4-BF7B-56B5F7E3046D}"/>
    <cellStyle name="Normal 6" xfId="121" xr:uid="{9DC39970-6751-479A-BAF8-6DA93FAF2232}"/>
    <cellStyle name="Normal 7" xfId="122" xr:uid="{FCBFD15B-7CA0-4DFB-BDD9-EA2EEA47694A}"/>
    <cellStyle name="Normal 7 2" xfId="123" xr:uid="{79111AD9-0CE6-403D-B3E1-4A563A4520F9}"/>
    <cellStyle name="Normal 7 3" xfId="124" xr:uid="{7459827E-70C0-405E-910F-F3D4E94788DC}"/>
    <cellStyle name="Normal 7 4" xfId="125" xr:uid="{C0814397-BF64-41E6-BDC1-54F70251BE62}"/>
    <cellStyle name="Normal 8" xfId="126" xr:uid="{B10AF84C-DD89-42F4-92E9-9CB83EAE288C}"/>
    <cellStyle name="Normal 9" xfId="127" xr:uid="{FDB8CFAD-D708-4AB9-AC03-DBBD4E9ABBC1}"/>
    <cellStyle name="Normal_CC90-FRO" xfId="128" xr:uid="{F7707EFC-CF00-4677-B420-E6A69897C4FB}"/>
    <cellStyle name="Normal_CC90-WS1" xfId="129" xr:uid="{3E897239-0E10-48BB-B3AA-DE056B7281B7}"/>
    <cellStyle name="Note 2" xfId="130" xr:uid="{85B640C2-D375-4240-A46A-1B3185A9BB7A}"/>
    <cellStyle name="Note 3" xfId="131" xr:uid="{81707DAE-D18B-4D79-9C6F-20A823CAA2D9}"/>
    <cellStyle name="Output 2" xfId="132" xr:uid="{1DB983A7-18C9-40A5-914B-4F0F160BB4F9}"/>
    <cellStyle name="Output 3" xfId="133" xr:uid="{72D599D8-09A7-4CF6-BD0E-DDBC4DA603D0}"/>
    <cellStyle name="Percent" xfId="134" builtinId="5"/>
    <cellStyle name="Percent 2" xfId="135" xr:uid="{69A97999-B398-4F31-BC82-DFE012A9E99F}"/>
    <cellStyle name="Percent 3" xfId="136" xr:uid="{F1710FCC-E613-4296-A6DA-1039B2D32FAC}"/>
    <cellStyle name="Percent 4" xfId="137" xr:uid="{69064236-F51D-4883-9615-B9A4590975F5}"/>
    <cellStyle name="Percent 4 2" xfId="138" xr:uid="{D232172E-0264-4BFC-8DB4-A599A25A7764}"/>
    <cellStyle name="Percent 5" xfId="139" xr:uid="{D5AA9B64-0302-4795-B56A-B5B34A41DEAB}"/>
    <cellStyle name="Percent 6" xfId="140" xr:uid="{A52CC388-22DF-4603-990D-4BDC78B3B234}"/>
    <cellStyle name="Percent 7" xfId="141" xr:uid="{F94BEA72-7595-4E31-BB2F-E3754A300C0D}"/>
    <cellStyle name="Percent 8" xfId="142" xr:uid="{2E83C269-DF93-42E3-8656-569BD4C16FEA}"/>
    <cellStyle name="Percent 9" xfId="143" xr:uid="{1CFFEA7E-4E0C-403C-8E3B-AA55BB2F980F}"/>
    <cellStyle name="STYLE1" xfId="144" xr:uid="{1C9392F6-2978-476F-8724-992BD09AA38F}"/>
    <cellStyle name="STYLE1 2" xfId="145" xr:uid="{80F84255-121B-4F56-8EAF-22E99628695A}"/>
    <cellStyle name="STYLE2" xfId="146" xr:uid="{06440D9E-F3DD-43F0-9FAA-ED7F20D0AEB6}"/>
    <cellStyle name="STYLE3" xfId="147" xr:uid="{DE057319-757B-4852-9C7A-A9B1CDD48B0F}"/>
    <cellStyle name="STYLE3 2" xfId="148" xr:uid="{77FD0797-47E8-47CE-A144-4ED50C97E62D}"/>
    <cellStyle name="Title 2" xfId="149" xr:uid="{7B975361-347E-4AF7-B937-9F65D992CD1D}"/>
    <cellStyle name="Title 3" xfId="150" xr:uid="{5F3ED263-4C17-4E07-BFD2-2A53859A23FC}"/>
    <cellStyle name="Total 2" xfId="151" xr:uid="{8F437E09-F1BF-4B9E-A5EC-A6B5F2A84E6F}"/>
    <cellStyle name="Total 3" xfId="152" xr:uid="{85679F53-E739-4542-853D-9E0DA5A7F518}"/>
    <cellStyle name="Warning Text 2" xfId="153" xr:uid="{1569769E-9A57-48EE-B17E-991AC48DD99F}"/>
    <cellStyle name="Warning Text 3" xfId="154" xr:uid="{89D3DF10-B29A-4D32-942E-1CF1CE0EDC4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45</xdr:row>
      <xdr:rowOff>127000</xdr:rowOff>
    </xdr:from>
    <xdr:to>
      <xdr:col>5</xdr:col>
      <xdr:colOff>622300</xdr:colOff>
      <xdr:row>46</xdr:row>
      <xdr:rowOff>298450</xdr:rowOff>
    </xdr:to>
    <xdr:pic>
      <xdr:nvPicPr>
        <xdr:cNvPr id="18437" name="Picture 1">
          <a:extLst>
            <a:ext uri="{FF2B5EF4-FFF2-40B4-BE49-F238E27FC236}">
              <a16:creationId xmlns:a16="http://schemas.microsoft.com/office/drawing/2014/main" id="{A36FAF8D-5366-6CD0-3318-BB100CBE3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350" y="10483850"/>
          <a:ext cx="20256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733E7-E64E-478F-A8E6-B7751231C24F}">
  <dimension ref="A1:N58"/>
  <sheetViews>
    <sheetView tabSelected="1" zoomScaleNormal="100" workbookViewId="0">
      <selection activeCell="R23" sqref="R23"/>
    </sheetView>
  </sheetViews>
  <sheetFormatPr defaultColWidth="9.7265625" defaultRowHeight="13" x14ac:dyDescent="0.3"/>
  <cols>
    <col min="1" max="1" width="5.26953125" style="15" customWidth="1"/>
    <col min="2" max="2" width="9.7265625" style="15" customWidth="1"/>
    <col min="3" max="3" width="1.7265625" style="15" customWidth="1"/>
    <col min="4" max="4" width="10.7265625" style="15" customWidth="1"/>
    <col min="5" max="5" width="14.54296875" style="15" bestFit="1" customWidth="1"/>
    <col min="6" max="6" width="9.7265625" style="15"/>
    <col min="7" max="7" width="1.7265625" style="15" customWidth="1"/>
    <col min="8" max="8" width="10.54296875" style="15" customWidth="1"/>
    <col min="9" max="9" width="10.81640625" style="15" customWidth="1"/>
    <col min="10" max="10" width="9.7265625" style="15"/>
    <col min="11" max="11" width="1.7265625" style="15" customWidth="1"/>
    <col min="12" max="12" width="10.1796875" style="15" bestFit="1" customWidth="1"/>
    <col min="13" max="13" width="9.7265625" style="15"/>
    <col min="14" max="14" width="11.81640625" style="15" customWidth="1"/>
    <col min="15" max="16384" width="9.7265625" style="12"/>
  </cols>
  <sheetData>
    <row r="1" spans="1:14" x14ac:dyDescent="0.3">
      <c r="B1" s="1343"/>
      <c r="C1" s="1343"/>
      <c r="D1" s="1343"/>
      <c r="E1" s="1343"/>
      <c r="F1" s="1343"/>
      <c r="G1" s="1343"/>
      <c r="H1" s="1343"/>
      <c r="I1" s="1343"/>
      <c r="J1" s="1343"/>
      <c r="K1" s="1343"/>
      <c r="L1" s="1343"/>
      <c r="M1" s="1343"/>
      <c r="N1" s="1343"/>
    </row>
    <row r="2" spans="1:14" ht="25.5" x14ac:dyDescent="0.65">
      <c r="A2" s="1344" t="s">
        <v>45</v>
      </c>
      <c r="B2" s="1344"/>
      <c r="C2" s="1344"/>
      <c r="D2" s="1344"/>
      <c r="E2" s="1344"/>
      <c r="F2" s="1344"/>
      <c r="G2" s="1344"/>
      <c r="H2" s="1344"/>
      <c r="I2" s="1344"/>
      <c r="J2" s="1344"/>
      <c r="K2" s="1344"/>
      <c r="L2" s="1344"/>
      <c r="M2" s="1344"/>
      <c r="N2" s="1344"/>
    </row>
    <row r="3" spans="1:14" ht="16.5" x14ac:dyDescent="0.35">
      <c r="A3" s="1345" t="s">
        <v>46</v>
      </c>
      <c r="B3" s="1345"/>
      <c r="C3" s="1345"/>
      <c r="D3" s="1345"/>
      <c r="E3" s="1345"/>
      <c r="F3" s="1345"/>
      <c r="G3" s="1345"/>
      <c r="H3" s="1345"/>
      <c r="I3" s="1345"/>
      <c r="J3" s="1345"/>
      <c r="K3" s="1345"/>
      <c r="L3" s="1345"/>
      <c r="M3" s="1345"/>
      <c r="N3" s="1345"/>
    </row>
    <row r="4" spans="1:14" ht="16.5" x14ac:dyDescent="0.35">
      <c r="A4" s="1345" t="s">
        <v>53</v>
      </c>
      <c r="B4" s="1345"/>
      <c r="C4" s="1345"/>
      <c r="D4" s="1345"/>
      <c r="E4" s="1345"/>
      <c r="F4" s="1345"/>
      <c r="G4" s="1345"/>
      <c r="H4" s="1345"/>
      <c r="I4" s="1345"/>
      <c r="J4" s="1345"/>
      <c r="K4" s="1345"/>
      <c r="L4" s="1345"/>
      <c r="M4" s="1345"/>
      <c r="N4" s="1345"/>
    </row>
    <row r="5" spans="1:14" ht="11.25" customHeight="1" x14ac:dyDescent="0.35">
      <c r="A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ht="16.5" x14ac:dyDescent="0.35">
      <c r="A6" s="1345" t="s">
        <v>47</v>
      </c>
      <c r="B6" s="1345"/>
      <c r="C6" s="1345"/>
      <c r="D6" s="1345"/>
      <c r="E6" s="1345"/>
      <c r="F6" s="1345"/>
      <c r="G6" s="1345"/>
      <c r="H6" s="1345"/>
      <c r="I6" s="1345"/>
      <c r="J6" s="1345"/>
      <c r="K6" s="1345"/>
      <c r="L6" s="1345"/>
      <c r="M6" s="1345"/>
      <c r="N6" s="1345"/>
    </row>
    <row r="7" spans="1:14" ht="16.5" x14ac:dyDescent="0.35">
      <c r="A7" s="1345" t="s">
        <v>48</v>
      </c>
      <c r="B7" s="1345"/>
      <c r="C7" s="1345"/>
      <c r="D7" s="1345"/>
      <c r="E7" s="1345"/>
      <c r="F7" s="1345"/>
      <c r="G7" s="1345"/>
      <c r="H7" s="1345"/>
      <c r="I7" s="1345"/>
      <c r="J7" s="1345"/>
      <c r="K7" s="1345"/>
      <c r="L7" s="1345"/>
      <c r="M7" s="1345"/>
      <c r="N7" s="1345"/>
    </row>
    <row r="8" spans="1:14" x14ac:dyDescent="0.3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 x14ac:dyDescent="0.3"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</row>
    <row r="10" spans="1:14" ht="15.5" x14ac:dyDescent="0.35">
      <c r="B10" s="46" t="s">
        <v>3</v>
      </c>
      <c r="C10" s="46"/>
      <c r="D10" s="65"/>
      <c r="E10" s="272"/>
      <c r="F10" s="272"/>
      <c r="G10" s="273"/>
      <c r="H10" s="273"/>
      <c r="I10" s="46" t="s">
        <v>4</v>
      </c>
      <c r="J10" s="65"/>
      <c r="K10" s="65"/>
      <c r="L10" s="272"/>
      <c r="M10" s="272"/>
      <c r="N10" s="273"/>
    </row>
    <row r="11" spans="1:14" ht="8.15" customHeight="1" thickBot="1" x14ac:dyDescent="0.4"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</row>
    <row r="12" spans="1:14" ht="23.25" customHeight="1" x14ac:dyDescent="0.35">
      <c r="A12" s="48" t="s">
        <v>49</v>
      </c>
      <c r="B12" s="74" t="s">
        <v>37</v>
      </c>
      <c r="C12" s="274"/>
      <c r="D12" s="274"/>
      <c r="E12" s="1346" t="s">
        <v>360</v>
      </c>
      <c r="F12" s="1346"/>
      <c r="G12" s="1346"/>
      <c r="H12" s="1346"/>
      <c r="I12" s="1346"/>
      <c r="J12" s="1346"/>
      <c r="K12" s="1346"/>
      <c r="L12" s="1346"/>
      <c r="M12" s="1346"/>
      <c r="N12" s="1347"/>
    </row>
    <row r="13" spans="1:14" ht="23.25" customHeight="1" x14ac:dyDescent="0.35">
      <c r="B13" s="58" t="s">
        <v>39</v>
      </c>
      <c r="C13" s="198"/>
      <c r="D13" s="198"/>
      <c r="E13" s="1335" t="s">
        <v>1094</v>
      </c>
      <c r="F13" s="1335"/>
      <c r="G13" s="1335"/>
      <c r="H13" s="1335"/>
      <c r="I13" s="1335"/>
      <c r="J13" s="1335"/>
      <c r="K13" s="1335"/>
      <c r="L13" s="1335"/>
      <c r="M13" s="1335"/>
      <c r="N13" s="1336"/>
    </row>
    <row r="14" spans="1:14" ht="23.25" customHeight="1" x14ac:dyDescent="0.35">
      <c r="B14" s="58" t="s">
        <v>36</v>
      </c>
      <c r="C14" s="198"/>
      <c r="D14" s="198"/>
      <c r="E14" s="1335" t="s">
        <v>361</v>
      </c>
      <c r="F14" s="1335"/>
      <c r="G14" s="1335"/>
      <c r="H14" s="1335"/>
      <c r="I14" s="1335"/>
      <c r="J14" s="1335"/>
      <c r="K14" s="1335"/>
      <c r="L14" s="1335"/>
      <c r="M14" s="1335"/>
      <c r="N14" s="1336"/>
    </row>
    <row r="15" spans="1:14" ht="23.25" customHeight="1" x14ac:dyDescent="0.35">
      <c r="B15" s="58" t="s">
        <v>40</v>
      </c>
      <c r="C15" s="198"/>
      <c r="D15" s="198"/>
      <c r="E15" s="1335" t="s">
        <v>362</v>
      </c>
      <c r="F15" s="1335"/>
      <c r="G15" s="1335"/>
      <c r="H15" s="1335"/>
      <c r="I15" s="1335"/>
      <c r="J15" s="1335"/>
      <c r="K15" s="1335"/>
      <c r="L15" s="1335"/>
      <c r="M15" s="1335"/>
      <c r="N15" s="1336"/>
    </row>
    <row r="16" spans="1:14" ht="23.25" customHeight="1" x14ac:dyDescent="0.35">
      <c r="B16" s="58" t="s">
        <v>41</v>
      </c>
      <c r="C16" s="198"/>
      <c r="D16" s="198"/>
      <c r="E16" s="1335" t="s">
        <v>861</v>
      </c>
      <c r="F16" s="1335"/>
      <c r="G16" s="1335"/>
      <c r="H16" s="1335"/>
      <c r="I16" s="1335"/>
      <c r="J16" s="1335"/>
      <c r="K16" s="1335"/>
      <c r="L16" s="1335"/>
      <c r="M16" s="1335"/>
      <c r="N16" s="1336"/>
    </row>
    <row r="17" spans="1:14" ht="23.25" customHeight="1" x14ac:dyDescent="0.35">
      <c r="B17" s="58" t="s">
        <v>34</v>
      </c>
      <c r="C17" s="198"/>
      <c r="D17" s="198"/>
      <c r="E17" s="1335" t="s">
        <v>1024</v>
      </c>
      <c r="F17" s="1335"/>
      <c r="G17" s="1335"/>
      <c r="H17" s="1335"/>
      <c r="I17" s="1335"/>
      <c r="J17" s="1335"/>
      <c r="K17" s="1335"/>
      <c r="L17" s="1335"/>
      <c r="M17" s="1335"/>
      <c r="N17" s="1336"/>
    </row>
    <row r="18" spans="1:14" ht="15" customHeight="1" thickBot="1" x14ac:dyDescent="0.35">
      <c r="B18" s="275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7"/>
    </row>
    <row r="19" spans="1:14" ht="15.5" x14ac:dyDescent="0.35">
      <c r="A19" s="48" t="s">
        <v>50</v>
      </c>
      <c r="B19" s="56" t="s">
        <v>215</v>
      </c>
      <c r="C19" s="57"/>
      <c r="D19" s="278"/>
      <c r="E19" s="274"/>
      <c r="F19" s="274"/>
      <c r="G19" s="274"/>
      <c r="H19" s="334"/>
      <c r="I19" s="59" t="s">
        <v>5</v>
      </c>
      <c r="J19" s="278"/>
      <c r="K19" s="278"/>
      <c r="L19" s="278"/>
      <c r="M19" s="279"/>
      <c r="N19" s="280"/>
    </row>
    <row r="20" spans="1:14" ht="15.5" x14ac:dyDescent="0.35">
      <c r="B20" s="64"/>
      <c r="C20" s="45" t="s">
        <v>42</v>
      </c>
      <c r="D20" s="49"/>
      <c r="E20" s="49"/>
      <c r="F20" s="1337" t="s">
        <v>363</v>
      </c>
      <c r="G20" s="1338"/>
      <c r="H20" s="1339"/>
      <c r="I20" s="281"/>
      <c r="J20" s="60" t="s">
        <v>6</v>
      </c>
      <c r="K20" s="60"/>
      <c r="L20" s="50">
        <v>45108</v>
      </c>
      <c r="M20" s="61" t="s">
        <v>7</v>
      </c>
      <c r="N20" s="62">
        <v>45473</v>
      </c>
    </row>
    <row r="21" spans="1:14" ht="15.5" x14ac:dyDescent="0.35">
      <c r="B21" s="64"/>
      <c r="C21" s="45" t="s">
        <v>24</v>
      </c>
      <c r="D21" s="51"/>
      <c r="E21" s="51"/>
      <c r="F21" s="1337" t="s">
        <v>364</v>
      </c>
      <c r="G21" s="1338"/>
      <c r="H21" s="1339"/>
      <c r="I21" s="281"/>
      <c r="J21" s="60"/>
      <c r="K21" s="60"/>
      <c r="L21" s="52"/>
      <c r="M21" s="61"/>
      <c r="N21" s="63"/>
    </row>
    <row r="22" spans="1:14" ht="15.5" x14ac:dyDescent="0.35">
      <c r="B22" s="64"/>
      <c r="C22" s="45" t="s">
        <v>43</v>
      </c>
      <c r="D22" s="51"/>
      <c r="E22" s="51"/>
      <c r="F22" s="1337" t="s">
        <v>365</v>
      </c>
      <c r="G22" s="1338"/>
      <c r="H22" s="1339"/>
      <c r="I22" s="281"/>
      <c r="J22" s="60"/>
      <c r="K22" s="60"/>
      <c r="L22" s="52"/>
      <c r="M22" s="61"/>
      <c r="N22" s="63"/>
    </row>
    <row r="23" spans="1:14" ht="15.5" x14ac:dyDescent="0.35">
      <c r="B23" s="64"/>
      <c r="C23" s="45" t="s">
        <v>44</v>
      </c>
      <c r="D23" s="51"/>
      <c r="E23" s="51"/>
      <c r="F23" s="1338"/>
      <c r="G23" s="1338"/>
      <c r="H23" s="1339"/>
      <c r="I23" s="281"/>
      <c r="J23" s="60"/>
      <c r="K23" s="60"/>
      <c r="L23" s="52"/>
      <c r="M23" s="61"/>
      <c r="N23" s="63"/>
    </row>
    <row r="24" spans="1:14" ht="15.5" x14ac:dyDescent="0.35">
      <c r="B24" s="64"/>
      <c r="C24" s="47"/>
      <c r="D24" s="65"/>
      <c r="E24" s="65"/>
      <c r="F24" s="1350"/>
      <c r="G24" s="1350"/>
      <c r="H24" s="1351"/>
      <c r="I24" s="282"/>
      <c r="J24" s="197"/>
      <c r="K24" s="197"/>
      <c r="L24" s="197"/>
      <c r="M24" s="283"/>
      <c r="N24" s="284"/>
    </row>
    <row r="25" spans="1:14" ht="16" thickBot="1" x14ac:dyDescent="0.4">
      <c r="B25" s="285"/>
      <c r="C25" s="55"/>
      <c r="D25" s="55"/>
      <c r="E25" s="55"/>
      <c r="F25" s="55"/>
      <c r="G25" s="55"/>
      <c r="H25" s="55"/>
      <c r="I25" s="286"/>
      <c r="J25" s="55"/>
      <c r="K25" s="55"/>
      <c r="L25" s="55"/>
      <c r="M25" s="55"/>
      <c r="N25" s="287"/>
    </row>
    <row r="26" spans="1:14" ht="15.5" x14ac:dyDescent="0.35">
      <c r="A26" s="48" t="s">
        <v>51</v>
      </c>
      <c r="B26" s="56" t="s">
        <v>212</v>
      </c>
      <c r="C26" s="57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88"/>
    </row>
    <row r="27" spans="1:14" ht="17.25" customHeight="1" x14ac:dyDescent="0.35">
      <c r="B27" s="64"/>
      <c r="C27" s="53" t="s">
        <v>366</v>
      </c>
      <c r="D27" s="45" t="s">
        <v>25</v>
      </c>
      <c r="E27" s="67"/>
      <c r="F27" s="67"/>
      <c r="G27" s="67"/>
      <c r="H27" s="67"/>
      <c r="I27" s="67"/>
      <c r="J27" s="67"/>
      <c r="K27" s="67"/>
      <c r="L27" s="67"/>
      <c r="M27" s="65"/>
      <c r="N27" s="66"/>
    </row>
    <row r="28" spans="1:14" ht="9.75" customHeight="1" x14ac:dyDescent="0.35">
      <c r="B28" s="289"/>
      <c r="C28" s="198"/>
      <c r="D28" s="67"/>
      <c r="E28" s="67"/>
      <c r="F28" s="67"/>
      <c r="G28" s="67"/>
      <c r="H28" s="67"/>
      <c r="I28" s="67"/>
      <c r="J28" s="67"/>
      <c r="K28" s="67"/>
      <c r="L28" s="67"/>
      <c r="M28" s="65"/>
      <c r="N28" s="66"/>
    </row>
    <row r="29" spans="1:14" ht="12" customHeight="1" x14ac:dyDescent="0.35">
      <c r="B29" s="64"/>
      <c r="C29" s="47"/>
      <c r="D29" s="45" t="s">
        <v>26</v>
      </c>
      <c r="E29" s="67"/>
      <c r="F29" s="68"/>
      <c r="G29" s="68"/>
      <c r="H29" s="67"/>
      <c r="I29" s="67"/>
      <c r="J29" s="45"/>
      <c r="K29" s="45"/>
      <c r="L29" s="67"/>
      <c r="M29" s="65"/>
      <c r="N29" s="66"/>
    </row>
    <row r="30" spans="1:14" ht="15" customHeight="1" x14ac:dyDescent="0.35">
      <c r="B30" s="64"/>
      <c r="C30" s="53"/>
      <c r="D30" s="67" t="s">
        <v>27</v>
      </c>
      <c r="E30" s="67"/>
      <c r="F30" s="45"/>
      <c r="G30" s="54"/>
      <c r="H30" s="67" t="s">
        <v>29</v>
      </c>
      <c r="I30" s="67"/>
      <c r="J30" s="45"/>
      <c r="K30" s="54"/>
      <c r="L30" s="67" t="s">
        <v>31</v>
      </c>
      <c r="M30" s="65"/>
      <c r="N30" s="66"/>
    </row>
    <row r="31" spans="1:14" ht="12" customHeight="1" x14ac:dyDescent="0.35">
      <c r="B31" s="64"/>
      <c r="C31" s="53"/>
      <c r="D31" s="67" t="s">
        <v>28</v>
      </c>
      <c r="E31" s="67"/>
      <c r="F31" s="45"/>
      <c r="G31" s="54"/>
      <c r="H31" s="67" t="s">
        <v>30</v>
      </c>
      <c r="I31" s="67"/>
      <c r="J31" s="45"/>
      <c r="K31" s="45"/>
      <c r="L31" s="67"/>
      <c r="M31" s="65"/>
      <c r="N31" s="66"/>
    </row>
    <row r="32" spans="1:14" ht="16" thickBot="1" x14ac:dyDescent="0.4">
      <c r="B32" s="28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287"/>
    </row>
    <row r="33" spans="1:14" ht="15.5" x14ac:dyDescent="0.35">
      <c r="A33" s="48" t="s">
        <v>156</v>
      </c>
      <c r="B33" s="56" t="s">
        <v>213</v>
      </c>
      <c r="C33" s="57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88"/>
    </row>
    <row r="34" spans="1:14" ht="16" customHeight="1" x14ac:dyDescent="0.3">
      <c r="B34" s="1329"/>
      <c r="C34" s="1330"/>
      <c r="D34" s="1330"/>
      <c r="E34" s="1330"/>
      <c r="F34" s="1330"/>
      <c r="G34" s="1330"/>
      <c r="H34" s="1330"/>
      <c r="I34" s="1330"/>
      <c r="J34" s="1330"/>
      <c r="K34" s="1330"/>
      <c r="L34" s="1330"/>
      <c r="M34" s="1330"/>
      <c r="N34" s="1331"/>
    </row>
    <row r="35" spans="1:14" ht="16" customHeight="1" x14ac:dyDescent="0.3">
      <c r="B35" s="1329"/>
      <c r="C35" s="1330"/>
      <c r="D35" s="1330"/>
      <c r="E35" s="1330"/>
      <c r="F35" s="1330"/>
      <c r="G35" s="1330"/>
      <c r="H35" s="1330"/>
      <c r="I35" s="1330"/>
      <c r="J35" s="1330"/>
      <c r="K35" s="1330"/>
      <c r="L35" s="1330"/>
      <c r="M35" s="1330"/>
      <c r="N35" s="1331"/>
    </row>
    <row r="36" spans="1:14" ht="39.75" customHeight="1" thickBot="1" x14ac:dyDescent="0.35">
      <c r="B36" s="1332"/>
      <c r="C36" s="1333"/>
      <c r="D36" s="1333"/>
      <c r="E36" s="1333"/>
      <c r="F36" s="1333"/>
      <c r="G36" s="1333"/>
      <c r="H36" s="1333"/>
      <c r="I36" s="1333"/>
      <c r="J36" s="1333"/>
      <c r="K36" s="1333"/>
      <c r="L36" s="1333"/>
      <c r="M36" s="1333"/>
      <c r="N36" s="1334"/>
    </row>
    <row r="37" spans="1:14" s="15" customFormat="1" ht="14.15" customHeight="1" x14ac:dyDescent="0.35">
      <c r="B37" s="69" t="s">
        <v>8</v>
      </c>
      <c r="C37" s="70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2"/>
    </row>
    <row r="38" spans="1:14" ht="20.25" customHeight="1" x14ac:dyDescent="0.35">
      <c r="B38" s="1340" t="s">
        <v>38</v>
      </c>
      <c r="C38" s="1341"/>
      <c r="D38" s="1341"/>
      <c r="E38" s="1341"/>
      <c r="F38" s="1341"/>
      <c r="G38" s="1341"/>
      <c r="H38" s="1341"/>
      <c r="I38" s="1341"/>
      <c r="J38" s="1341"/>
      <c r="K38" s="1341"/>
      <c r="L38" s="1341"/>
      <c r="M38" s="1341"/>
      <c r="N38" s="1342"/>
    </row>
    <row r="39" spans="1:14" ht="20.25" customHeight="1" x14ac:dyDescent="0.35">
      <c r="B39" s="290"/>
      <c r="C39" s="1348" t="str">
        <f>CONCATENATE(E12," ",F20)</f>
        <v>COMMUNITY HEALTH CENTER, INC. 004236346</v>
      </c>
      <c r="D39" s="1348"/>
      <c r="E39" s="1348"/>
      <c r="F39" s="1348"/>
      <c r="G39" s="1348"/>
      <c r="H39" s="1348"/>
      <c r="I39" s="1348"/>
      <c r="J39" s="1348"/>
      <c r="K39" s="1348"/>
      <c r="L39" s="1348"/>
      <c r="M39" s="1348"/>
      <c r="N39" s="1349"/>
    </row>
    <row r="40" spans="1:14" ht="15.5" x14ac:dyDescent="0.35">
      <c r="B40" s="64"/>
      <c r="C40" s="1352" t="s">
        <v>52</v>
      </c>
      <c r="D40" s="1352"/>
      <c r="E40" s="1352"/>
      <c r="F40" s="1352"/>
      <c r="G40" s="1352"/>
      <c r="H40" s="1352"/>
      <c r="I40" s="1352"/>
      <c r="J40" s="1352"/>
      <c r="K40" s="1352"/>
      <c r="L40" s="1352"/>
      <c r="M40" s="1352"/>
      <c r="N40" s="1353"/>
    </row>
    <row r="41" spans="1:14" ht="72.75" customHeight="1" x14ac:dyDescent="0.3">
      <c r="B41" s="1374" t="str">
        <f>CONCATENATE("For the Reporting Period Beginning"," ",TEXT(L20,"M/D/YYYY")," ","and Ending"," ",TEXT(N20,"M/D/YYYY")," ","and That to the Best of My Knowledge and Belief It Is a True, Correct and Complete Statement Prepared From the Books and Records of the FQHC In Accordance With Applicable Instructions, Except as Noted:")</f>
        <v>For the Reporting Period Beginning 7/1/2023 and Ending 6/30/2024 and That to the Best of My Knowledge and Belief It Is a True, Correct and Complete Statement Prepared From the Books and Records of the FQHC In Accordance With Applicable Instructions, Except as Noted:</v>
      </c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6"/>
    </row>
    <row r="42" spans="1:14" ht="15.5" x14ac:dyDescent="0.3">
      <c r="B42" s="1323"/>
      <c r="C42" s="1324"/>
      <c r="D42" s="1324"/>
      <c r="E42" s="1324"/>
      <c r="F42" s="1324"/>
      <c r="G42" s="1324"/>
      <c r="H42" s="1324"/>
      <c r="I42" s="1324"/>
      <c r="J42" s="1324"/>
      <c r="K42" s="1324"/>
      <c r="L42" s="1324"/>
      <c r="M42" s="1324"/>
      <c r="N42" s="1325"/>
    </row>
    <row r="43" spans="1:14" ht="15.5" x14ac:dyDescent="0.3">
      <c r="B43" s="1323"/>
      <c r="C43" s="1324"/>
      <c r="D43" s="1324"/>
      <c r="E43" s="1324"/>
      <c r="F43" s="1324"/>
      <c r="G43" s="1324"/>
      <c r="H43" s="1324"/>
      <c r="I43" s="1324"/>
      <c r="J43" s="1324"/>
      <c r="K43" s="1324"/>
      <c r="L43" s="1324"/>
      <c r="M43" s="1324"/>
      <c r="N43" s="1325"/>
    </row>
    <row r="44" spans="1:14" ht="15.5" x14ac:dyDescent="0.3">
      <c r="B44" s="1323"/>
      <c r="C44" s="1324"/>
      <c r="D44" s="1324"/>
      <c r="E44" s="1324"/>
      <c r="F44" s="1324"/>
      <c r="G44" s="1324"/>
      <c r="H44" s="1324"/>
      <c r="I44" s="1324"/>
      <c r="J44" s="1324"/>
      <c r="K44" s="1324"/>
      <c r="L44" s="1324"/>
      <c r="M44" s="1324"/>
      <c r="N44" s="1325"/>
    </row>
    <row r="45" spans="1:14" ht="16" thickBot="1" x14ac:dyDescent="0.4">
      <c r="A45" s="48" t="s">
        <v>55</v>
      </c>
      <c r="B45" s="1360" t="s">
        <v>35</v>
      </c>
      <c r="C45" s="1327"/>
      <c r="D45" s="1327"/>
      <c r="E45" s="1327"/>
      <c r="F45" s="1327"/>
      <c r="G45" s="1327"/>
      <c r="H45" s="1361"/>
      <c r="I45" s="1326" t="s">
        <v>218</v>
      </c>
      <c r="J45" s="1327"/>
      <c r="K45" s="1327"/>
      <c r="L45" s="1327"/>
      <c r="M45" s="1327"/>
      <c r="N45" s="1328"/>
    </row>
    <row r="46" spans="1:14" ht="12.75" customHeight="1" x14ac:dyDescent="0.3">
      <c r="B46" s="1368"/>
      <c r="C46" s="1369"/>
      <c r="D46" s="1369"/>
      <c r="E46" s="1369"/>
      <c r="F46" s="1369"/>
      <c r="G46" s="1369"/>
      <c r="H46" s="1370"/>
      <c r="I46" s="1354" t="s">
        <v>861</v>
      </c>
      <c r="J46" s="1355"/>
      <c r="K46" s="1355"/>
      <c r="L46" s="1355"/>
      <c r="M46" s="1355"/>
      <c r="N46" s="1356"/>
    </row>
    <row r="47" spans="1:14" ht="31.5" customHeight="1" thickBot="1" x14ac:dyDescent="0.35">
      <c r="B47" s="1371"/>
      <c r="C47" s="1372"/>
      <c r="D47" s="1372"/>
      <c r="E47" s="1372"/>
      <c r="F47" s="1372"/>
      <c r="G47" s="1372"/>
      <c r="H47" s="1373"/>
      <c r="I47" s="1357"/>
      <c r="J47" s="1358"/>
      <c r="K47" s="1358"/>
      <c r="L47" s="1358"/>
      <c r="M47" s="1358"/>
      <c r="N47" s="1359"/>
    </row>
    <row r="48" spans="1:14" ht="17.25" customHeight="1" thickBot="1" x14ac:dyDescent="0.4">
      <c r="B48" s="1360" t="s">
        <v>34</v>
      </c>
      <c r="C48" s="1327"/>
      <c r="D48" s="1327"/>
      <c r="E48" s="1327"/>
      <c r="F48" s="1327"/>
      <c r="G48" s="1327"/>
      <c r="H48" s="1361"/>
      <c r="I48" s="1326" t="s">
        <v>33</v>
      </c>
      <c r="J48" s="1327"/>
      <c r="K48" s="1327"/>
      <c r="L48" s="1327"/>
      <c r="M48" s="1327"/>
      <c r="N48" s="1328"/>
    </row>
    <row r="49" spans="2:14" ht="38.25" customHeight="1" thickBot="1" x14ac:dyDescent="0.35">
      <c r="B49" s="1362" t="s">
        <v>862</v>
      </c>
      <c r="C49" s="1363"/>
      <c r="D49" s="1363"/>
      <c r="E49" s="1363"/>
      <c r="F49" s="1363"/>
      <c r="G49" s="1363"/>
      <c r="H49" s="1364"/>
      <c r="I49" s="1365">
        <v>45652</v>
      </c>
      <c r="J49" s="1366"/>
      <c r="K49" s="1366"/>
      <c r="L49" s="1366"/>
      <c r="M49" s="1366"/>
      <c r="N49" s="1367"/>
    </row>
    <row r="50" spans="2:14" ht="15.5" x14ac:dyDescent="0.35"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1"/>
    </row>
    <row r="51" spans="2:14" ht="15.5" x14ac:dyDescent="0.35"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1"/>
      <c r="N51" s="291"/>
    </row>
    <row r="52" spans="2:14" ht="15.5" x14ac:dyDescent="0.35"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</row>
    <row r="53" spans="2:14" ht="15.5" x14ac:dyDescent="0.35">
      <c r="B53" s="291"/>
      <c r="C53" s="291"/>
      <c r="D53" s="291"/>
      <c r="E53" s="291"/>
      <c r="F53" s="291"/>
      <c r="G53" s="291"/>
      <c r="H53" s="291"/>
      <c r="I53" s="291"/>
      <c r="J53" s="291"/>
      <c r="K53" s="291"/>
      <c r="L53" s="291"/>
      <c r="M53" s="291"/>
      <c r="N53" s="291"/>
    </row>
    <row r="54" spans="2:14" ht="15.5" x14ac:dyDescent="0.35">
      <c r="B54" s="291"/>
      <c r="C54" s="291"/>
      <c r="D54" s="291"/>
      <c r="E54" s="291"/>
      <c r="F54" s="291"/>
      <c r="G54" s="291"/>
      <c r="H54" s="291"/>
      <c r="I54" s="291"/>
      <c r="J54" s="291"/>
      <c r="K54" s="291"/>
      <c r="L54" s="291"/>
      <c r="M54" s="291"/>
      <c r="N54" s="291"/>
    </row>
    <row r="55" spans="2:14" ht="15.5" x14ac:dyDescent="0.35">
      <c r="B55" s="291"/>
      <c r="C55" s="291"/>
      <c r="D55" s="291"/>
      <c r="E55" s="291"/>
      <c r="F55" s="291"/>
      <c r="G55" s="291"/>
      <c r="H55" s="291"/>
      <c r="I55" s="291"/>
      <c r="J55" s="291"/>
      <c r="K55" s="291"/>
      <c r="L55" s="291"/>
      <c r="M55" s="291"/>
      <c r="N55" s="291"/>
    </row>
    <row r="56" spans="2:14" ht="15.5" x14ac:dyDescent="0.35">
      <c r="B56" s="291"/>
      <c r="C56" s="291"/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1"/>
    </row>
    <row r="57" spans="2:14" ht="15.5" x14ac:dyDescent="0.35">
      <c r="B57" s="291"/>
      <c r="C57" s="291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</row>
    <row r="58" spans="2:14" ht="15.5" x14ac:dyDescent="0.35">
      <c r="B58" s="291"/>
      <c r="C58" s="291"/>
      <c r="D58" s="291"/>
      <c r="E58" s="291"/>
      <c r="F58" s="291"/>
      <c r="G58" s="291"/>
      <c r="H58" s="291"/>
      <c r="I58" s="291"/>
      <c r="J58" s="291"/>
      <c r="K58" s="291"/>
      <c r="L58" s="291"/>
      <c r="M58" s="291"/>
      <c r="N58" s="291"/>
    </row>
  </sheetData>
  <mergeCells count="33">
    <mergeCell ref="C40:N40"/>
    <mergeCell ref="I46:N47"/>
    <mergeCell ref="B48:H48"/>
    <mergeCell ref="B49:H49"/>
    <mergeCell ref="I48:N48"/>
    <mergeCell ref="I49:N49"/>
    <mergeCell ref="B45:H45"/>
    <mergeCell ref="B46:H47"/>
    <mergeCell ref="B41:N41"/>
    <mergeCell ref="B42:N42"/>
    <mergeCell ref="F20:H20"/>
    <mergeCell ref="A7:N7"/>
    <mergeCell ref="F21:H21"/>
    <mergeCell ref="C39:N39"/>
    <mergeCell ref="F23:H23"/>
    <mergeCell ref="F24:H24"/>
    <mergeCell ref="E13:N13"/>
    <mergeCell ref="B1:N1"/>
    <mergeCell ref="A2:N2"/>
    <mergeCell ref="A3:N3"/>
    <mergeCell ref="A4:N4"/>
    <mergeCell ref="A6:N6"/>
    <mergeCell ref="E12:N12"/>
    <mergeCell ref="B43:N43"/>
    <mergeCell ref="B44:N44"/>
    <mergeCell ref="I45:N45"/>
    <mergeCell ref="B34:N36"/>
    <mergeCell ref="E14:N14"/>
    <mergeCell ref="E15:N15"/>
    <mergeCell ref="E16:N16"/>
    <mergeCell ref="F22:H22"/>
    <mergeCell ref="B38:N38"/>
    <mergeCell ref="E17:N17"/>
  </mergeCells>
  <phoneticPr fontId="8" type="noConversion"/>
  <printOptions horizontalCentered="1" verticalCentered="1"/>
  <pageMargins left="0.5" right="0.5" top="0.5" bottom="0.25" header="0.5" footer="0.25"/>
  <pageSetup scale="80" orientation="portrait" r:id="rId1"/>
  <headerFooter alignWithMargins="0">
    <oddFooter>&amp;LDSS-16 10-24-2016&amp;RPage 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0FF84-1BA1-4AF0-9411-63EE50A3C892}">
  <sheetPr>
    <tabColor rgb="FF92D050"/>
    <pageSetUpPr fitToPage="1"/>
  </sheetPr>
  <dimension ref="A1:S59"/>
  <sheetViews>
    <sheetView topLeftCell="A10" zoomScaleNormal="100" workbookViewId="0">
      <selection activeCell="M37" sqref="M37"/>
    </sheetView>
  </sheetViews>
  <sheetFormatPr defaultColWidth="9.7265625" defaultRowHeight="13" x14ac:dyDescent="0.3"/>
  <cols>
    <col min="1" max="1" width="4.7265625" style="22" customWidth="1"/>
    <col min="2" max="2" width="14.26953125" style="22" customWidth="1"/>
    <col min="3" max="3" width="35.1796875" style="22" customWidth="1"/>
    <col min="4" max="4" width="13" style="22" customWidth="1"/>
    <col min="5" max="5" width="12.453125" style="31" customWidth="1"/>
    <col min="6" max="6" width="12.1796875" style="22" customWidth="1"/>
    <col min="7" max="7" width="11.7265625" style="22" customWidth="1"/>
    <col min="8" max="8" width="13.453125" style="22" customWidth="1"/>
    <col min="9" max="9" width="11.26953125" style="22" customWidth="1"/>
    <col min="10" max="10" width="14.1796875" style="22" customWidth="1"/>
    <col min="11" max="16384" width="9.7265625" style="22"/>
  </cols>
  <sheetData>
    <row r="1" spans="1:19" s="18" customFormat="1" ht="13.5" x14ac:dyDescent="0.35">
      <c r="A1" s="1396" t="s">
        <v>45</v>
      </c>
      <c r="B1" s="1396"/>
      <c r="C1" s="1396"/>
      <c r="D1" s="1396"/>
      <c r="E1" s="1396"/>
      <c r="F1" s="1396"/>
      <c r="G1" s="1396"/>
      <c r="H1" s="1396"/>
      <c r="I1" s="1396"/>
      <c r="J1" s="1396"/>
      <c r="K1" s="75"/>
      <c r="L1" s="75"/>
      <c r="M1" s="75"/>
      <c r="N1" s="75"/>
      <c r="O1" s="75"/>
    </row>
    <row r="2" spans="1:19" s="18" customFormat="1" ht="13.5" x14ac:dyDescent="0.35">
      <c r="A2" s="1396" t="s">
        <v>46</v>
      </c>
      <c r="B2" s="1396"/>
      <c r="C2" s="1396"/>
      <c r="D2" s="1396"/>
      <c r="E2" s="1396"/>
      <c r="F2" s="1396"/>
      <c r="G2" s="1396"/>
      <c r="H2" s="1396"/>
      <c r="I2" s="1396"/>
      <c r="J2" s="1396"/>
      <c r="K2" s="75"/>
      <c r="L2" s="75"/>
      <c r="M2" s="75"/>
      <c r="N2" s="75"/>
      <c r="O2" s="75"/>
    </row>
    <row r="3" spans="1:19" s="18" customFormat="1" ht="13.5" x14ac:dyDescent="0.35">
      <c r="A3" s="1396" t="s">
        <v>47</v>
      </c>
      <c r="B3" s="1396"/>
      <c r="C3" s="1396"/>
      <c r="D3" s="1396"/>
      <c r="E3" s="1396"/>
      <c r="F3" s="1396"/>
      <c r="G3" s="1396"/>
      <c r="H3" s="1396"/>
      <c r="I3" s="1396"/>
      <c r="J3" s="1396"/>
      <c r="K3" s="75"/>
      <c r="L3" s="75"/>
      <c r="M3" s="75"/>
      <c r="N3" s="75"/>
      <c r="O3" s="75"/>
    </row>
    <row r="4" spans="1:19" s="18" customFormat="1" ht="13.5" x14ac:dyDescent="0.35">
      <c r="A4" s="1396" t="s">
        <v>48</v>
      </c>
      <c r="B4" s="1396"/>
      <c r="C4" s="1396"/>
      <c r="D4" s="1396"/>
      <c r="E4" s="1396"/>
      <c r="F4" s="1396"/>
      <c r="G4" s="1396"/>
      <c r="H4" s="1396"/>
      <c r="I4" s="1396"/>
      <c r="J4" s="1396"/>
      <c r="K4" s="75"/>
      <c r="L4" s="75"/>
      <c r="M4" s="75"/>
      <c r="N4" s="75"/>
      <c r="O4" s="75"/>
    </row>
    <row r="5" spans="1:19" s="18" customFormat="1" ht="14" thickBot="1" x14ac:dyDescent="0.4">
      <c r="A5" s="12"/>
      <c r="B5" s="13"/>
      <c r="C5" s="13"/>
      <c r="D5" s="440"/>
      <c r="E5" s="440"/>
      <c r="F5" s="440"/>
      <c r="G5" s="440"/>
      <c r="H5" s="440"/>
      <c r="I5" s="440"/>
      <c r="J5" s="440"/>
      <c r="K5" s="76"/>
      <c r="L5" s="76"/>
      <c r="M5" s="76"/>
      <c r="N5" s="76"/>
      <c r="O5" s="76"/>
      <c r="P5" s="87"/>
      <c r="Q5" s="87"/>
      <c r="R5" s="87"/>
      <c r="S5" s="87"/>
    </row>
    <row r="6" spans="1:19" s="18" customFormat="1" ht="20.25" customHeight="1" x14ac:dyDescent="0.3">
      <c r="A6" s="93"/>
      <c r="B6" s="77" t="s">
        <v>54</v>
      </c>
      <c r="C6" s="78"/>
      <c r="D6" s="78" t="s">
        <v>6</v>
      </c>
      <c r="E6" s="1389">
        <f>'P1 Info &amp; Certification'!L20</f>
        <v>45108</v>
      </c>
      <c r="F6" s="1389"/>
      <c r="G6" s="96"/>
      <c r="H6" s="95" t="s">
        <v>7</v>
      </c>
      <c r="I6" s="1389">
        <f>'P1 Info &amp; Certification'!N20</f>
        <v>45473</v>
      </c>
      <c r="J6" s="1432"/>
      <c r="K6" s="88"/>
      <c r="L6" s="32"/>
      <c r="M6" s="92"/>
      <c r="N6" s="92"/>
      <c r="O6" s="32"/>
      <c r="P6" s="87"/>
      <c r="Q6" s="87"/>
      <c r="R6" s="87"/>
      <c r="S6" s="87"/>
    </row>
    <row r="7" spans="1:19" s="18" customFormat="1" x14ac:dyDescent="0.3">
      <c r="A7" s="83"/>
      <c r="B7" s="458"/>
      <c r="C7" s="458"/>
      <c r="D7" s="458"/>
      <c r="E7" s="13"/>
      <c r="F7" s="13"/>
      <c r="G7" s="13"/>
      <c r="H7" s="13"/>
      <c r="I7" s="13"/>
      <c r="J7" s="81"/>
      <c r="K7" s="13"/>
      <c r="L7" s="13"/>
      <c r="M7" s="13"/>
      <c r="N7" s="13"/>
      <c r="O7" s="13"/>
      <c r="P7" s="87"/>
      <c r="Q7" s="87"/>
      <c r="R7" s="87"/>
      <c r="S7" s="87"/>
    </row>
    <row r="8" spans="1:19" s="18" customFormat="1" ht="21.75" customHeight="1" thickBot="1" x14ac:dyDescent="0.35">
      <c r="A8" s="97"/>
      <c r="B8" s="445" t="s">
        <v>59</v>
      </c>
      <c r="C8" s="1397" t="str">
        <f>'P1 Info &amp; Certification'!E12</f>
        <v>COMMUNITY HEALTH CENTER, INC.</v>
      </c>
      <c r="D8" s="1397"/>
      <c r="E8" s="1397"/>
      <c r="F8" s="1397"/>
      <c r="G8" s="1397"/>
      <c r="H8" s="1397"/>
      <c r="I8" s="463"/>
      <c r="J8" s="464"/>
      <c r="K8" s="91"/>
      <c r="L8" s="91"/>
      <c r="M8" s="91"/>
      <c r="N8" s="91"/>
      <c r="O8" s="91"/>
      <c r="P8" s="87"/>
      <c r="Q8" s="87"/>
      <c r="R8" s="87"/>
      <c r="S8" s="87"/>
    </row>
    <row r="9" spans="1:19" s="18" customFormat="1" x14ac:dyDescent="0.3">
      <c r="A9" s="16"/>
      <c r="B9" s="19"/>
      <c r="C9" s="19"/>
      <c r="D9" s="19"/>
      <c r="E9" s="20"/>
      <c r="F9" s="19"/>
      <c r="G9" s="21"/>
      <c r="H9" s="19"/>
      <c r="I9" s="19"/>
      <c r="J9" s="19"/>
    </row>
    <row r="10" spans="1:19" s="18" customFormat="1" ht="16" thickBot="1" x14ac:dyDescent="0.4">
      <c r="A10" s="16"/>
      <c r="B10" s="19"/>
      <c r="C10" s="19"/>
      <c r="D10" s="19"/>
      <c r="E10" s="20"/>
      <c r="F10" s="19"/>
      <c r="G10" s="21"/>
      <c r="H10" s="19"/>
      <c r="I10" s="19"/>
      <c r="J10" s="112" t="s">
        <v>219</v>
      </c>
    </row>
    <row r="11" spans="1:19" s="18" customFormat="1" ht="19.5" customHeight="1" x14ac:dyDescent="0.35">
      <c r="A11" s="1440" t="s">
        <v>290</v>
      </c>
      <c r="B11" s="1441"/>
      <c r="C11" s="1441"/>
      <c r="D11" s="1441"/>
      <c r="E11" s="1441"/>
      <c r="F11" s="1441"/>
      <c r="G11" s="1441"/>
      <c r="H11" s="1441"/>
      <c r="I11" s="1441"/>
      <c r="J11" s="1442"/>
    </row>
    <row r="12" spans="1:19" s="18" customFormat="1" ht="13.5" thickBot="1" x14ac:dyDescent="0.35">
      <c r="A12" s="113"/>
      <c r="B12" s="114"/>
      <c r="C12" s="114"/>
      <c r="D12" s="114"/>
      <c r="E12" s="115"/>
      <c r="F12" s="114"/>
      <c r="G12" s="114"/>
      <c r="H12" s="114"/>
      <c r="I12" s="114"/>
      <c r="J12" s="116"/>
    </row>
    <row r="13" spans="1:19" s="30" customFormat="1" ht="11.15" customHeight="1" x14ac:dyDescent="0.3">
      <c r="A13" s="117"/>
      <c r="B13" s="118"/>
      <c r="C13" s="119"/>
      <c r="D13" s="1"/>
      <c r="E13" s="2" t="s">
        <v>2</v>
      </c>
      <c r="F13" s="1"/>
      <c r="G13" s="1" t="s">
        <v>10</v>
      </c>
      <c r="H13" s="1" t="s">
        <v>11</v>
      </c>
      <c r="I13" s="1" t="s">
        <v>12</v>
      </c>
      <c r="J13" s="212" t="s">
        <v>13</v>
      </c>
    </row>
    <row r="14" spans="1:19" s="30" customFormat="1" ht="11.15" customHeight="1" x14ac:dyDescent="0.3">
      <c r="A14" s="1443" t="s">
        <v>74</v>
      </c>
      <c r="B14" s="1444"/>
      <c r="C14" s="1445"/>
      <c r="D14" s="1" t="s">
        <v>9</v>
      </c>
      <c r="E14" s="2" t="s">
        <v>14</v>
      </c>
      <c r="F14" s="1"/>
      <c r="G14" s="1" t="s">
        <v>15</v>
      </c>
      <c r="H14" s="1" t="s">
        <v>16</v>
      </c>
      <c r="I14" s="1" t="s">
        <v>17</v>
      </c>
      <c r="J14" s="212" t="s">
        <v>18</v>
      </c>
    </row>
    <row r="15" spans="1:19" ht="11.15" customHeight="1" thickBot="1" x14ac:dyDescent="0.35">
      <c r="A15" s="1454"/>
      <c r="B15" s="1455"/>
      <c r="C15" s="1456"/>
      <c r="D15" s="1" t="s">
        <v>0</v>
      </c>
      <c r="E15" s="2" t="s">
        <v>19</v>
      </c>
      <c r="F15" s="1" t="s">
        <v>1</v>
      </c>
      <c r="G15" s="1" t="s">
        <v>20</v>
      </c>
      <c r="H15" s="1" t="s">
        <v>21</v>
      </c>
      <c r="I15" s="1" t="s">
        <v>291</v>
      </c>
      <c r="J15" s="212" t="s">
        <v>22</v>
      </c>
    </row>
    <row r="16" spans="1:19" ht="18.75" customHeight="1" x14ac:dyDescent="0.3">
      <c r="A16" s="213" t="s">
        <v>83</v>
      </c>
      <c r="B16" s="1446" t="s">
        <v>251</v>
      </c>
      <c r="C16" s="1446"/>
      <c r="D16" s="3" t="s">
        <v>60</v>
      </c>
      <c r="E16" s="4" t="s">
        <v>61</v>
      </c>
      <c r="F16" s="5" t="s">
        <v>62</v>
      </c>
      <c r="G16" s="6" t="s">
        <v>63</v>
      </c>
      <c r="H16" s="6" t="s">
        <v>64</v>
      </c>
      <c r="I16" s="6" t="s">
        <v>65</v>
      </c>
      <c r="J16" s="6" t="s">
        <v>66</v>
      </c>
    </row>
    <row r="17" spans="1:11" ht="12" customHeight="1" x14ac:dyDescent="0.3">
      <c r="A17" s="214"/>
      <c r="B17" s="1453" t="s">
        <v>85</v>
      </c>
      <c r="C17" s="1453"/>
      <c r="D17" s="8"/>
      <c r="E17" s="9"/>
      <c r="F17" s="8"/>
      <c r="G17" s="8"/>
      <c r="H17" s="8"/>
      <c r="I17" s="8"/>
      <c r="J17" s="215"/>
    </row>
    <row r="18" spans="1:11" ht="12" customHeight="1" x14ac:dyDescent="0.3">
      <c r="A18" s="216" t="s">
        <v>49</v>
      </c>
      <c r="B18" s="1447" t="s">
        <v>67</v>
      </c>
      <c r="C18" s="1448"/>
      <c r="D18" s="100"/>
      <c r="E18" s="101"/>
      <c r="F18" s="100"/>
      <c r="G18" s="100"/>
      <c r="H18" s="8"/>
      <c r="I18" s="100"/>
      <c r="J18" s="217"/>
    </row>
    <row r="19" spans="1:11" x14ac:dyDescent="0.3">
      <c r="A19" s="218" t="s">
        <v>70</v>
      </c>
      <c r="B19" s="1449" t="s">
        <v>23</v>
      </c>
      <c r="C19" s="1450"/>
      <c r="D19" s="34">
        <f>+'Attachment A'!AM5</f>
        <v>8589636.1410780661</v>
      </c>
      <c r="E19" s="34">
        <f>+'Attachment A'!AN5</f>
        <v>2137423.5246904283</v>
      </c>
      <c r="F19" s="325">
        <f>SUM(D19:E19)</f>
        <v>10727059.665768495</v>
      </c>
      <c r="G19" s="322"/>
      <c r="H19" s="36">
        <f t="shared" ref="H19:H34" si="0">F19+G19</f>
        <v>10727059.665768495</v>
      </c>
      <c r="I19" s="37"/>
      <c r="J19" s="219">
        <f t="shared" ref="J19:J34" si="1">H19+I19</f>
        <v>10727059.665768495</v>
      </c>
    </row>
    <row r="20" spans="1:11" x14ac:dyDescent="0.3">
      <c r="A20" s="220" t="s">
        <v>71</v>
      </c>
      <c r="B20" s="1433" t="s">
        <v>68</v>
      </c>
      <c r="C20" s="1434"/>
      <c r="D20" s="38">
        <f>+'Attachment A'!AM6</f>
        <v>1355175.6942243862</v>
      </c>
      <c r="E20" s="38">
        <f>+'Attachment A'!AN6</f>
        <v>337218.52257182368</v>
      </c>
      <c r="F20" s="40">
        <f t="shared" ref="F20:F34" si="2">SUM(D20:E20)</f>
        <v>1692394.21679621</v>
      </c>
      <c r="G20" s="139"/>
      <c r="H20" s="36">
        <f t="shared" si="0"/>
        <v>1692394.21679621</v>
      </c>
      <c r="I20" s="39"/>
      <c r="J20" s="221">
        <f t="shared" si="1"/>
        <v>1692394.21679621</v>
      </c>
    </row>
    <row r="21" spans="1:11" x14ac:dyDescent="0.3">
      <c r="A21" s="220" t="s">
        <v>72</v>
      </c>
      <c r="B21" s="1433" t="s">
        <v>288</v>
      </c>
      <c r="C21" s="1434"/>
      <c r="D21" s="38">
        <f>+'Attachment A'!AM7</f>
        <v>14632712.606656689</v>
      </c>
      <c r="E21" s="38">
        <f>+'Attachment A'!AN7</f>
        <v>3641167.5234914906</v>
      </c>
      <c r="F21" s="40">
        <f>SUM(D21:E21)</f>
        <v>18273880.13014818</v>
      </c>
      <c r="G21" s="139"/>
      <c r="H21" s="36">
        <f t="shared" si="0"/>
        <v>18273880.13014818</v>
      </c>
      <c r="I21" s="39"/>
      <c r="J21" s="221">
        <f t="shared" si="1"/>
        <v>18273880.13014818</v>
      </c>
    </row>
    <row r="22" spans="1:11" x14ac:dyDescent="0.3">
      <c r="A22" s="220" t="s">
        <v>73</v>
      </c>
      <c r="B22" s="1433" t="s">
        <v>69</v>
      </c>
      <c r="C22" s="1434"/>
      <c r="D22" s="38"/>
      <c r="E22" s="38"/>
      <c r="F22" s="40"/>
      <c r="G22" s="139"/>
      <c r="H22" s="36"/>
      <c r="I22" s="39"/>
      <c r="J22" s="221"/>
    </row>
    <row r="23" spans="1:11" x14ac:dyDescent="0.3">
      <c r="A23" s="220"/>
      <c r="B23" s="137"/>
      <c r="C23" s="460" t="s">
        <v>444</v>
      </c>
      <c r="D23" s="38">
        <f>+'Attachment A'!AR69</f>
        <v>14583232.645298686</v>
      </c>
      <c r="E23" s="38">
        <f>+'Attachment A'!AS69</f>
        <v>3628855.0539444252</v>
      </c>
      <c r="F23" s="40">
        <f t="shared" si="2"/>
        <v>18212087.69924311</v>
      </c>
      <c r="G23" s="139"/>
      <c r="H23" s="36">
        <f t="shared" si="0"/>
        <v>18212087.69924311</v>
      </c>
      <c r="I23" s="39"/>
      <c r="J23" s="221">
        <f t="shared" si="1"/>
        <v>18212087.69924311</v>
      </c>
    </row>
    <row r="24" spans="1:11" x14ac:dyDescent="0.3">
      <c r="A24" s="220"/>
      <c r="B24" s="26"/>
      <c r="C24" s="461" t="s">
        <v>631</v>
      </c>
      <c r="D24" s="38"/>
      <c r="E24" s="38">
        <f>+'Attachment A'!C6</f>
        <v>2548505</v>
      </c>
      <c r="F24" s="40">
        <f t="shared" si="2"/>
        <v>2548505</v>
      </c>
      <c r="G24" s="139"/>
      <c r="H24" s="36">
        <f t="shared" si="0"/>
        <v>2548505</v>
      </c>
      <c r="I24" s="39"/>
      <c r="J24" s="221">
        <f t="shared" si="1"/>
        <v>2548505</v>
      </c>
    </row>
    <row r="25" spans="1:11" x14ac:dyDescent="0.3">
      <c r="A25" s="220"/>
      <c r="B25" s="137"/>
      <c r="C25" s="462"/>
      <c r="D25" s="38"/>
      <c r="E25" s="38"/>
      <c r="F25" s="40">
        <f t="shared" si="2"/>
        <v>0</v>
      </c>
      <c r="G25" s="139"/>
      <c r="H25" s="36">
        <f t="shared" si="0"/>
        <v>0</v>
      </c>
      <c r="I25" s="39"/>
      <c r="J25" s="221">
        <f t="shared" si="1"/>
        <v>0</v>
      </c>
    </row>
    <row r="26" spans="1:11" x14ac:dyDescent="0.3">
      <c r="A26" s="220"/>
      <c r="B26" s="137"/>
      <c r="C26" s="461"/>
      <c r="D26" s="38"/>
      <c r="E26" s="38"/>
      <c r="F26" s="40">
        <f t="shared" si="2"/>
        <v>0</v>
      </c>
      <c r="G26" s="139"/>
      <c r="H26" s="36">
        <f t="shared" si="0"/>
        <v>0</v>
      </c>
      <c r="I26" s="39"/>
      <c r="J26" s="221">
        <f t="shared" si="1"/>
        <v>0</v>
      </c>
    </row>
    <row r="27" spans="1:11" x14ac:dyDescent="0.3">
      <c r="A27" s="220"/>
      <c r="B27" s="137"/>
      <c r="C27" s="461"/>
      <c r="D27" s="38"/>
      <c r="E27" s="38"/>
      <c r="F27" s="40">
        <f t="shared" si="2"/>
        <v>0</v>
      </c>
      <c r="G27" s="139"/>
      <c r="H27" s="36">
        <f t="shared" si="0"/>
        <v>0</v>
      </c>
      <c r="I27" s="39"/>
      <c r="J27" s="221">
        <f t="shared" si="1"/>
        <v>0</v>
      </c>
    </row>
    <row r="28" spans="1:11" x14ac:dyDescent="0.3">
      <c r="A28" s="220"/>
      <c r="B28" s="137"/>
      <c r="C28" s="462"/>
      <c r="D28" s="38"/>
      <c r="E28" s="38"/>
      <c r="F28" s="40">
        <f t="shared" si="2"/>
        <v>0</v>
      </c>
      <c r="G28" s="139"/>
      <c r="H28" s="36">
        <f t="shared" si="0"/>
        <v>0</v>
      </c>
      <c r="I28" s="39"/>
      <c r="J28" s="221">
        <f t="shared" si="1"/>
        <v>0</v>
      </c>
    </row>
    <row r="29" spans="1:11" x14ac:dyDescent="0.3">
      <c r="A29" s="220"/>
      <c r="B29" s="137"/>
      <c r="C29" s="462"/>
      <c r="D29" s="38"/>
      <c r="E29" s="38"/>
      <c r="F29" s="40">
        <f t="shared" si="2"/>
        <v>0</v>
      </c>
      <c r="G29" s="139"/>
      <c r="H29" s="36">
        <f t="shared" si="0"/>
        <v>0</v>
      </c>
      <c r="I29" s="39"/>
      <c r="J29" s="221">
        <f t="shared" si="1"/>
        <v>0</v>
      </c>
    </row>
    <row r="30" spans="1:11" x14ac:dyDescent="0.3">
      <c r="A30" s="220"/>
      <c r="B30" s="27"/>
      <c r="C30" s="462"/>
      <c r="D30" s="38"/>
      <c r="E30" s="38"/>
      <c r="F30" s="40">
        <f t="shared" si="2"/>
        <v>0</v>
      </c>
      <c r="G30" s="139"/>
      <c r="H30" s="36">
        <f t="shared" si="0"/>
        <v>0</v>
      </c>
      <c r="I30" s="39"/>
      <c r="J30" s="221">
        <f t="shared" si="1"/>
        <v>0</v>
      </c>
    </row>
    <row r="31" spans="1:11" x14ac:dyDescent="0.3">
      <c r="A31" s="220"/>
      <c r="B31" s="137"/>
      <c r="C31" s="462"/>
      <c r="D31" s="38"/>
      <c r="E31" s="38"/>
      <c r="F31" s="40">
        <f t="shared" si="2"/>
        <v>0</v>
      </c>
      <c r="G31" s="139"/>
      <c r="H31" s="40">
        <f t="shared" si="0"/>
        <v>0</v>
      </c>
      <c r="I31" s="38"/>
      <c r="J31" s="222">
        <f t="shared" si="1"/>
        <v>0</v>
      </c>
      <c r="K31" s="33"/>
    </row>
    <row r="32" spans="1:11" x14ac:dyDescent="0.3">
      <c r="A32" s="220"/>
      <c r="B32" s="137"/>
      <c r="C32" s="462"/>
      <c r="D32" s="38"/>
      <c r="E32" s="38"/>
      <c r="F32" s="40">
        <f t="shared" si="2"/>
        <v>0</v>
      </c>
      <c r="G32" s="139"/>
      <c r="H32" s="40">
        <f t="shared" si="0"/>
        <v>0</v>
      </c>
      <c r="I32" s="38"/>
      <c r="J32" s="222">
        <f t="shared" si="1"/>
        <v>0</v>
      </c>
      <c r="K32" s="33"/>
    </row>
    <row r="33" spans="1:11" ht="12.75" customHeight="1" x14ac:dyDescent="0.3">
      <c r="A33" s="223"/>
      <c r="B33" s="25"/>
      <c r="C33" s="462"/>
      <c r="D33" s="38"/>
      <c r="E33" s="38"/>
      <c r="F33" s="40">
        <f t="shared" si="2"/>
        <v>0</v>
      </c>
      <c r="G33" s="139"/>
      <c r="H33" s="40">
        <f t="shared" si="0"/>
        <v>0</v>
      </c>
      <c r="I33" s="38"/>
      <c r="J33" s="222">
        <f t="shared" si="1"/>
        <v>0</v>
      </c>
      <c r="K33" s="33"/>
    </row>
    <row r="34" spans="1:11" ht="12.75" customHeight="1" x14ac:dyDescent="0.3">
      <c r="A34" s="223"/>
      <c r="B34" s="110"/>
      <c r="C34" s="460"/>
      <c r="D34" s="104"/>
      <c r="E34" s="321"/>
      <c r="F34" s="326">
        <f t="shared" si="2"/>
        <v>0</v>
      </c>
      <c r="G34" s="323"/>
      <c r="H34" s="40">
        <f t="shared" si="0"/>
        <v>0</v>
      </c>
      <c r="I34" s="41"/>
      <c r="J34" s="222">
        <f t="shared" si="1"/>
        <v>0</v>
      </c>
      <c r="K34" s="33"/>
    </row>
    <row r="35" spans="1:11" s="126" customFormat="1" x14ac:dyDescent="0.3">
      <c r="A35" s="224" t="s">
        <v>80</v>
      </c>
      <c r="B35" s="1435" t="s">
        <v>99</v>
      </c>
      <c r="C35" s="1436"/>
      <c r="D35" s="129">
        <f>SUM(D19:D34)</f>
        <v>39160757.087257832</v>
      </c>
      <c r="E35" s="129">
        <f t="shared" ref="E35:J35" si="3">SUM(E19:E34)</f>
        <v>12293169.624698168</v>
      </c>
      <c r="F35" s="324">
        <f t="shared" si="3"/>
        <v>51453926.711955994</v>
      </c>
      <c r="G35" s="129">
        <f t="shared" si="3"/>
        <v>0</v>
      </c>
      <c r="H35" s="129">
        <f t="shared" si="3"/>
        <v>51453926.711955994</v>
      </c>
      <c r="I35" s="129">
        <f t="shared" si="3"/>
        <v>0</v>
      </c>
      <c r="J35" s="225">
        <f t="shared" si="3"/>
        <v>51453926.711955994</v>
      </c>
    </row>
    <row r="36" spans="1:11" ht="12" customHeight="1" x14ac:dyDescent="0.3">
      <c r="A36" s="226" t="s">
        <v>50</v>
      </c>
      <c r="B36" s="7" t="s">
        <v>214</v>
      </c>
      <c r="C36" s="7"/>
      <c r="D36" s="8"/>
      <c r="E36" s="9"/>
      <c r="F36" s="8"/>
      <c r="G36" s="8"/>
      <c r="H36" s="8"/>
      <c r="I36" s="8"/>
      <c r="J36" s="215"/>
    </row>
    <row r="37" spans="1:11" x14ac:dyDescent="0.3">
      <c r="A37" s="218" t="s">
        <v>70</v>
      </c>
      <c r="B37" s="441" t="s">
        <v>76</v>
      </c>
      <c r="C37" s="446"/>
      <c r="D37" s="138"/>
      <c r="E37" s="29">
        <f>+'Attachment A'!C7</f>
        <v>21135193</v>
      </c>
      <c r="F37" s="325">
        <f>SUM(D37:E37)</f>
        <v>21135193</v>
      </c>
      <c r="G37" s="29"/>
      <c r="H37" s="28">
        <f t="shared" ref="H37:H49" si="4">F37+G37</f>
        <v>21135193</v>
      </c>
      <c r="I37" s="29"/>
      <c r="J37" s="227">
        <f t="shared" ref="J37:J49" si="5">H37+I37</f>
        <v>21135193</v>
      </c>
    </row>
    <row r="38" spans="1:11" x14ac:dyDescent="0.3">
      <c r="A38" s="220" t="s">
        <v>71</v>
      </c>
      <c r="B38" s="441" t="s">
        <v>77</v>
      </c>
      <c r="C38" s="446"/>
      <c r="D38" s="29"/>
      <c r="E38" s="29">
        <f>+'Attachment A'!C8</f>
        <v>253660.05999999991</v>
      </c>
      <c r="F38" s="40">
        <f t="shared" ref="F38:F48" si="6">SUM(D38:E38)</f>
        <v>253660.05999999991</v>
      </c>
      <c r="G38" s="29">
        <f>-'Attachment A'!AC61</f>
        <v>-25286.816753980416</v>
      </c>
      <c r="H38" s="28">
        <f t="shared" si="4"/>
        <v>228373.2432460195</v>
      </c>
      <c r="I38" s="29"/>
      <c r="J38" s="227">
        <f t="shared" si="5"/>
        <v>228373.2432460195</v>
      </c>
    </row>
    <row r="39" spans="1:11" x14ac:dyDescent="0.3">
      <c r="A39" s="220" t="s">
        <v>72</v>
      </c>
      <c r="B39" s="23" t="s">
        <v>78</v>
      </c>
      <c r="C39" s="23"/>
      <c r="D39" s="29"/>
      <c r="E39" s="29">
        <f>+'Attachment A'!C9</f>
        <v>1386814.4599999997</v>
      </c>
      <c r="F39" s="40">
        <f t="shared" si="6"/>
        <v>1386814.4599999997</v>
      </c>
      <c r="G39" s="29">
        <f>-'Attachment A'!AD61</f>
        <v>-65646.980650722806</v>
      </c>
      <c r="H39" s="28">
        <f t="shared" si="4"/>
        <v>1321167.479349277</v>
      </c>
      <c r="I39" s="29"/>
      <c r="J39" s="227">
        <f t="shared" si="5"/>
        <v>1321167.479349277</v>
      </c>
    </row>
    <row r="40" spans="1:11" x14ac:dyDescent="0.3">
      <c r="A40" s="220" t="s">
        <v>73</v>
      </c>
      <c r="B40" s="23" t="s">
        <v>79</v>
      </c>
      <c r="C40" s="23"/>
      <c r="D40" s="29"/>
      <c r="E40" s="29">
        <f>+'Attachment A'!C10</f>
        <v>580152</v>
      </c>
      <c r="F40" s="40">
        <f t="shared" si="6"/>
        <v>580152</v>
      </c>
      <c r="G40" s="29"/>
      <c r="H40" s="28">
        <f t="shared" si="4"/>
        <v>580152</v>
      </c>
      <c r="I40" s="29"/>
      <c r="J40" s="227">
        <f t="shared" si="5"/>
        <v>580152</v>
      </c>
    </row>
    <row r="41" spans="1:11" x14ac:dyDescent="0.3">
      <c r="A41" s="220" t="s">
        <v>80</v>
      </c>
      <c r="B41" s="1433" t="s">
        <v>328</v>
      </c>
      <c r="C41" s="1434"/>
      <c r="D41" s="29"/>
      <c r="E41" s="29"/>
      <c r="F41" s="40">
        <f t="shared" si="6"/>
        <v>0</v>
      </c>
      <c r="G41" s="29"/>
      <c r="H41" s="28">
        <f t="shared" si="4"/>
        <v>0</v>
      </c>
      <c r="I41" s="29"/>
      <c r="J41" s="227">
        <f t="shared" si="5"/>
        <v>0</v>
      </c>
    </row>
    <row r="42" spans="1:11" x14ac:dyDescent="0.3">
      <c r="A42" s="220" t="s">
        <v>81</v>
      </c>
      <c r="B42" s="1433" t="s">
        <v>217</v>
      </c>
      <c r="C42" s="1434"/>
      <c r="D42" s="29"/>
      <c r="E42" s="29"/>
      <c r="F42" s="40">
        <f t="shared" si="6"/>
        <v>0</v>
      </c>
      <c r="G42" s="29"/>
      <c r="H42" s="28">
        <f t="shared" si="4"/>
        <v>0</v>
      </c>
      <c r="I42" s="29"/>
      <c r="J42" s="227">
        <f t="shared" si="5"/>
        <v>0</v>
      </c>
    </row>
    <row r="43" spans="1:11" x14ac:dyDescent="0.3">
      <c r="A43" s="220" t="s">
        <v>112</v>
      </c>
      <c r="B43" s="441" t="s">
        <v>329</v>
      </c>
      <c r="C43" s="442"/>
      <c r="D43" s="29"/>
      <c r="E43" s="29"/>
      <c r="F43" s="40">
        <f t="shared" si="6"/>
        <v>0</v>
      </c>
      <c r="G43" s="29"/>
      <c r="H43" s="28">
        <f t="shared" si="4"/>
        <v>0</v>
      </c>
      <c r="I43" s="29"/>
      <c r="J43" s="227">
        <f t="shared" si="5"/>
        <v>0</v>
      </c>
    </row>
    <row r="44" spans="1:11" x14ac:dyDescent="0.3">
      <c r="A44" s="220" t="s">
        <v>114</v>
      </c>
      <c r="B44" s="1433" t="s">
        <v>69</v>
      </c>
      <c r="C44" s="1434"/>
      <c r="D44" s="29"/>
      <c r="E44" s="29"/>
      <c r="F44" s="40"/>
      <c r="G44" s="29"/>
      <c r="H44" s="28"/>
      <c r="I44" s="29"/>
      <c r="J44" s="227"/>
    </row>
    <row r="45" spans="1:11" x14ac:dyDescent="0.3">
      <c r="A45" s="220"/>
      <c r="B45" s="137"/>
      <c r="C45" s="460" t="s">
        <v>444</v>
      </c>
      <c r="D45" s="29"/>
      <c r="E45" s="29">
        <f>+'Attachment A'!C11+'Attachment A'!C12+'Attachment A'!C13</f>
        <v>10791663.639058869</v>
      </c>
      <c r="F45" s="40">
        <f t="shared" si="6"/>
        <v>10791663.639058869</v>
      </c>
      <c r="G45" s="29"/>
      <c r="H45" s="28">
        <f t="shared" si="4"/>
        <v>10791663.639058869</v>
      </c>
      <c r="I45" s="29"/>
      <c r="J45" s="227">
        <f t="shared" si="5"/>
        <v>10791663.639058869</v>
      </c>
    </row>
    <row r="46" spans="1:11" x14ac:dyDescent="0.3">
      <c r="A46" s="220"/>
      <c r="B46" s="26"/>
      <c r="C46" s="461" t="s">
        <v>643</v>
      </c>
      <c r="D46" s="29"/>
      <c r="E46" s="29"/>
      <c r="F46" s="40">
        <f t="shared" si="6"/>
        <v>0</v>
      </c>
      <c r="G46" s="29">
        <f>-'Attachment A'!AE61</f>
        <v>-427918.09805036307</v>
      </c>
      <c r="H46" s="28">
        <f t="shared" si="4"/>
        <v>-427918.09805036307</v>
      </c>
      <c r="I46" s="29"/>
      <c r="J46" s="227">
        <f t="shared" si="5"/>
        <v>-427918.09805036307</v>
      </c>
    </row>
    <row r="47" spans="1:11" x14ac:dyDescent="0.3">
      <c r="A47" s="223"/>
      <c r="B47" s="137"/>
      <c r="C47" s="462"/>
      <c r="D47" s="29"/>
      <c r="E47" s="29"/>
      <c r="F47" s="40">
        <f t="shared" si="6"/>
        <v>0</v>
      </c>
      <c r="G47" s="29"/>
      <c r="H47" s="28">
        <f t="shared" si="4"/>
        <v>0</v>
      </c>
      <c r="I47" s="29"/>
      <c r="J47" s="227">
        <f t="shared" si="5"/>
        <v>0</v>
      </c>
    </row>
    <row r="48" spans="1:11" x14ac:dyDescent="0.3">
      <c r="A48" s="223"/>
      <c r="B48" s="137"/>
      <c r="C48" s="462"/>
      <c r="D48" s="29"/>
      <c r="E48" s="29"/>
      <c r="F48" s="40">
        <f t="shared" si="6"/>
        <v>0</v>
      </c>
      <c r="G48" s="29"/>
      <c r="H48" s="28">
        <f t="shared" si="4"/>
        <v>0</v>
      </c>
      <c r="I48" s="29"/>
      <c r="J48" s="227">
        <f t="shared" si="5"/>
        <v>0</v>
      </c>
    </row>
    <row r="49" spans="1:13" x14ac:dyDescent="0.3">
      <c r="A49" s="223"/>
      <c r="B49" s="106"/>
      <c r="C49" s="437"/>
      <c r="D49" s="105"/>
      <c r="E49" s="29"/>
      <c r="F49" s="326">
        <f>SUM(D49:E49)</f>
        <v>0</v>
      </c>
      <c r="G49" s="29"/>
      <c r="H49" s="28">
        <f t="shared" si="4"/>
        <v>0</v>
      </c>
      <c r="I49" s="29"/>
      <c r="J49" s="227">
        <f t="shared" si="5"/>
        <v>0</v>
      </c>
    </row>
    <row r="50" spans="1:13" s="126" customFormat="1" x14ac:dyDescent="0.3">
      <c r="A50" s="228" t="s">
        <v>113</v>
      </c>
      <c r="B50" s="111" t="s">
        <v>100</v>
      </c>
      <c r="C50" s="127"/>
      <c r="D50" s="128">
        <f t="shared" ref="D50:J50" si="7">SUM(D37:D49)</f>
        <v>0</v>
      </c>
      <c r="E50" s="128">
        <f t="shared" si="7"/>
        <v>34147483.159058869</v>
      </c>
      <c r="F50" s="128">
        <f t="shared" si="7"/>
        <v>34147483.159058869</v>
      </c>
      <c r="G50" s="128">
        <f t="shared" si="7"/>
        <v>-518851.89545506629</v>
      </c>
      <c r="H50" s="128">
        <f t="shared" si="7"/>
        <v>33628631.263603799</v>
      </c>
      <c r="I50" s="128">
        <f t="shared" si="7"/>
        <v>0</v>
      </c>
      <c r="J50" s="229">
        <f t="shared" si="7"/>
        <v>33628631.263603799</v>
      </c>
    </row>
    <row r="51" spans="1:13" x14ac:dyDescent="0.3">
      <c r="A51" s="230"/>
      <c r="B51" s="10"/>
      <c r="C51" s="107"/>
      <c r="D51" s="109"/>
      <c r="E51" s="109"/>
      <c r="F51" s="109"/>
      <c r="G51" s="109"/>
      <c r="H51" s="109"/>
      <c r="I51" s="109"/>
      <c r="J51" s="231"/>
    </row>
    <row r="52" spans="1:13" s="126" customFormat="1" x14ac:dyDescent="0.3">
      <c r="A52" s="332" t="s">
        <v>82</v>
      </c>
      <c r="B52" s="11" t="s">
        <v>334</v>
      </c>
      <c r="C52" s="11"/>
      <c r="D52" s="129">
        <f>D50+D35</f>
        <v>39160757.087257832</v>
      </c>
      <c r="E52" s="129">
        <f t="shared" ref="E52:J52" si="8">E50+E35</f>
        <v>46440652.783757038</v>
      </c>
      <c r="F52" s="129">
        <f t="shared" si="8"/>
        <v>85601409.871014863</v>
      </c>
      <c r="G52" s="129">
        <f t="shared" si="8"/>
        <v>-518851.89545506629</v>
      </c>
      <c r="H52" s="129">
        <f t="shared" si="8"/>
        <v>85082557.975559801</v>
      </c>
      <c r="I52" s="129">
        <f t="shared" si="8"/>
        <v>0</v>
      </c>
      <c r="J52" s="225">
        <f t="shared" si="8"/>
        <v>85082557.975559801</v>
      </c>
    </row>
    <row r="53" spans="1:13" ht="13.5" thickBot="1" x14ac:dyDescent="0.35">
      <c r="A53" s="233"/>
      <c r="B53" s="234"/>
      <c r="C53" s="234"/>
      <c r="D53" s="235"/>
      <c r="E53" s="235"/>
      <c r="F53" s="235"/>
      <c r="G53" s="235"/>
      <c r="H53" s="235"/>
      <c r="I53" s="235"/>
      <c r="J53" s="320"/>
    </row>
    <row r="56" spans="1:13" x14ac:dyDescent="0.3">
      <c r="M56" s="333"/>
    </row>
    <row r="59" spans="1:13" x14ac:dyDescent="0.3">
      <c r="M59" s="333"/>
    </row>
  </sheetData>
  <sheetProtection password="E1AE" sheet="1" formatColumns="0" formatRows="0"/>
  <mergeCells count="20">
    <mergeCell ref="B42:C42"/>
    <mergeCell ref="A1:J1"/>
    <mergeCell ref="A2:J2"/>
    <mergeCell ref="A3:J3"/>
    <mergeCell ref="A4:J4"/>
    <mergeCell ref="I6:J6"/>
    <mergeCell ref="B19:C19"/>
    <mergeCell ref="B18:C18"/>
    <mergeCell ref="A14:C15"/>
    <mergeCell ref="E6:F6"/>
    <mergeCell ref="B44:C44"/>
    <mergeCell ref="B35:C35"/>
    <mergeCell ref="C8:H8"/>
    <mergeCell ref="B17:C17"/>
    <mergeCell ref="B16:C16"/>
    <mergeCell ref="A11:J11"/>
    <mergeCell ref="B20:C20"/>
    <mergeCell ref="B21:C21"/>
    <mergeCell ref="B22:C22"/>
    <mergeCell ref="B41:C41"/>
  </mergeCells>
  <printOptions horizontalCentered="1" verticalCentered="1"/>
  <pageMargins left="0.25" right="0.25" top="0.5" bottom="0.5" header="0.5" footer="0.25"/>
  <pageSetup scale="66" fitToWidth="0" orientation="landscape" r:id="rId1"/>
  <headerFooter alignWithMargins="0">
    <oddFooter>&amp;LDSS-16 10-24-2016&amp;RPage 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BCF1D-DC73-4CFE-8C61-2930FB5470EC}">
  <sheetPr>
    <tabColor rgb="FF92D050"/>
  </sheetPr>
  <dimension ref="A1:S50"/>
  <sheetViews>
    <sheetView zoomScaleNormal="100" workbookViewId="0">
      <selection activeCell="N41" sqref="N41"/>
    </sheetView>
  </sheetViews>
  <sheetFormatPr defaultColWidth="9.7265625" defaultRowHeight="13" x14ac:dyDescent="0.3"/>
  <cols>
    <col min="1" max="1" width="4.7265625" style="125" customWidth="1"/>
    <col min="2" max="2" width="13.54296875" style="22" customWidth="1"/>
    <col min="3" max="3" width="35.1796875" style="22" customWidth="1"/>
    <col min="4" max="4" width="13" style="22" customWidth="1"/>
    <col min="5" max="5" width="12.453125" style="31" customWidth="1"/>
    <col min="6" max="6" width="12.1796875" style="22" customWidth="1"/>
    <col min="7" max="7" width="11.7265625" style="22" customWidth="1"/>
    <col min="8" max="8" width="13.453125" style="22" customWidth="1"/>
    <col min="9" max="9" width="11.26953125" style="22" customWidth="1"/>
    <col min="10" max="10" width="14.1796875" style="22" customWidth="1"/>
    <col min="11" max="16384" width="9.7265625" style="22"/>
  </cols>
  <sheetData>
    <row r="1" spans="1:19" s="18" customFormat="1" ht="13.5" x14ac:dyDescent="0.35">
      <c r="A1" s="1396" t="s">
        <v>45</v>
      </c>
      <c r="B1" s="1396"/>
      <c r="C1" s="1396"/>
      <c r="D1" s="1396"/>
      <c r="E1" s="1396"/>
      <c r="F1" s="1396"/>
      <c r="G1" s="1396"/>
      <c r="H1" s="1396"/>
      <c r="I1" s="1396"/>
      <c r="J1" s="1396"/>
      <c r="K1" s="75"/>
      <c r="L1" s="75"/>
      <c r="M1" s="75"/>
      <c r="N1" s="75"/>
      <c r="O1" s="75"/>
    </row>
    <row r="2" spans="1:19" s="18" customFormat="1" ht="13.5" x14ac:dyDescent="0.35">
      <c r="A2" s="1396" t="s">
        <v>46</v>
      </c>
      <c r="B2" s="1396"/>
      <c r="C2" s="1396"/>
      <c r="D2" s="1396"/>
      <c r="E2" s="1396"/>
      <c r="F2" s="1396"/>
      <c r="G2" s="1396"/>
      <c r="H2" s="1396"/>
      <c r="I2" s="1396"/>
      <c r="J2" s="1396"/>
      <c r="K2" s="75"/>
      <c r="L2" s="75"/>
      <c r="M2" s="75"/>
      <c r="N2" s="75"/>
      <c r="O2" s="75"/>
    </row>
    <row r="3" spans="1:19" s="18" customFormat="1" ht="13.5" x14ac:dyDescent="0.35">
      <c r="A3" s="1396" t="s">
        <v>47</v>
      </c>
      <c r="B3" s="1396"/>
      <c r="C3" s="1396"/>
      <c r="D3" s="1396"/>
      <c r="E3" s="1396"/>
      <c r="F3" s="1396"/>
      <c r="G3" s="1396"/>
      <c r="H3" s="1396"/>
      <c r="I3" s="1396"/>
      <c r="J3" s="1396"/>
      <c r="K3" s="75"/>
      <c r="L3" s="75"/>
      <c r="M3" s="75"/>
      <c r="N3" s="75"/>
      <c r="O3" s="75"/>
    </row>
    <row r="4" spans="1:19" s="18" customFormat="1" ht="13.5" x14ac:dyDescent="0.35">
      <c r="A4" s="1396" t="s">
        <v>48</v>
      </c>
      <c r="B4" s="1396"/>
      <c r="C4" s="1396"/>
      <c r="D4" s="1396"/>
      <c r="E4" s="1396"/>
      <c r="F4" s="1396"/>
      <c r="G4" s="1396"/>
      <c r="H4" s="1396"/>
      <c r="I4" s="1396"/>
      <c r="J4" s="1396"/>
      <c r="K4" s="75"/>
      <c r="L4" s="75"/>
      <c r="M4" s="75"/>
      <c r="N4" s="75"/>
      <c r="O4" s="75"/>
    </row>
    <row r="5" spans="1:19" s="18" customFormat="1" ht="14" thickBot="1" x14ac:dyDescent="0.4">
      <c r="A5" s="151"/>
      <c r="B5" s="13"/>
      <c r="C5" s="13"/>
      <c r="D5" s="440"/>
      <c r="E5" s="440"/>
      <c r="F5" s="440"/>
      <c r="G5" s="440"/>
      <c r="H5" s="440"/>
      <c r="I5" s="440"/>
      <c r="J5" s="440"/>
      <c r="K5" s="76"/>
      <c r="L5" s="76"/>
      <c r="M5" s="76"/>
      <c r="N5" s="76"/>
      <c r="O5" s="76"/>
      <c r="P5" s="87"/>
      <c r="Q5" s="87"/>
      <c r="R5" s="87"/>
      <c r="S5" s="87"/>
    </row>
    <row r="6" spans="1:19" s="18" customFormat="1" ht="20.25" customHeight="1" x14ac:dyDescent="0.3">
      <c r="A6" s="152"/>
      <c r="B6" s="77" t="s">
        <v>54</v>
      </c>
      <c r="C6" s="78"/>
      <c r="D6" s="78" t="s">
        <v>6</v>
      </c>
      <c r="E6" s="1389">
        <f>'P1 Info &amp; Certification'!L20</f>
        <v>45108</v>
      </c>
      <c r="F6" s="1389"/>
      <c r="G6" s="96"/>
      <c r="H6" s="95" t="s">
        <v>7</v>
      </c>
      <c r="I6" s="1389">
        <f>'P1 Info &amp; Certification'!N20</f>
        <v>45473</v>
      </c>
      <c r="J6" s="1432"/>
      <c r="K6" s="88"/>
      <c r="L6" s="32"/>
      <c r="M6" s="92"/>
      <c r="N6" s="92"/>
      <c r="O6" s="32"/>
      <c r="P6" s="87"/>
      <c r="Q6" s="87"/>
      <c r="R6" s="87"/>
      <c r="S6" s="87"/>
    </row>
    <row r="7" spans="1:19" s="18" customFormat="1" x14ac:dyDescent="0.3">
      <c r="A7" s="238"/>
      <c r="B7" s="458"/>
      <c r="C7" s="458"/>
      <c r="D7" s="458"/>
      <c r="E7" s="13"/>
      <c r="F7" s="13"/>
      <c r="G7" s="13"/>
      <c r="H7" s="13"/>
      <c r="I7" s="13"/>
      <c r="J7" s="81"/>
      <c r="K7" s="13"/>
      <c r="L7" s="13"/>
      <c r="M7" s="13"/>
      <c r="N7" s="13"/>
      <c r="O7" s="13"/>
      <c r="P7" s="87"/>
      <c r="Q7" s="87"/>
      <c r="R7" s="87"/>
      <c r="S7" s="87"/>
    </row>
    <row r="8" spans="1:19" s="18" customFormat="1" ht="26.25" customHeight="1" thickBot="1" x14ac:dyDescent="0.35">
      <c r="A8" s="154"/>
      <c r="B8" s="445" t="s">
        <v>59</v>
      </c>
      <c r="C8" s="1439" t="str">
        <f>'P1 Info &amp; Certification'!E12</f>
        <v>COMMUNITY HEALTH CENTER, INC.</v>
      </c>
      <c r="D8" s="1439"/>
      <c r="E8" s="1439"/>
      <c r="F8" s="1439"/>
      <c r="G8" s="1439"/>
      <c r="H8" s="1439"/>
      <c r="I8" s="463"/>
      <c r="J8" s="464"/>
      <c r="K8" s="91"/>
      <c r="L8" s="91"/>
      <c r="M8" s="91"/>
      <c r="N8" s="91"/>
      <c r="O8" s="91"/>
      <c r="P8" s="87"/>
      <c r="Q8" s="87"/>
      <c r="R8" s="87"/>
      <c r="S8" s="87"/>
    </row>
    <row r="9" spans="1:19" s="18" customFormat="1" x14ac:dyDescent="0.3">
      <c r="A9" s="17"/>
      <c r="B9" s="19"/>
      <c r="C9" s="19"/>
      <c r="D9" s="19"/>
      <c r="E9" s="20"/>
      <c r="F9" s="19"/>
      <c r="G9" s="21"/>
      <c r="H9" s="19"/>
      <c r="I9" s="19"/>
      <c r="J9" s="19"/>
    </row>
    <row r="10" spans="1:19" s="18" customFormat="1" ht="13.5" thickBot="1" x14ac:dyDescent="0.35">
      <c r="A10" s="17"/>
      <c r="B10" s="19"/>
      <c r="C10" s="19"/>
      <c r="D10" s="19"/>
      <c r="E10" s="20"/>
      <c r="F10" s="19"/>
      <c r="G10" s="21"/>
      <c r="H10" s="19"/>
      <c r="I10" s="19"/>
      <c r="J10" s="17" t="s">
        <v>220</v>
      </c>
    </row>
    <row r="11" spans="1:19" s="18" customFormat="1" ht="19.5" customHeight="1" x14ac:dyDescent="0.35">
      <c r="A11" s="1440" t="s">
        <v>290</v>
      </c>
      <c r="B11" s="1441"/>
      <c r="C11" s="1441"/>
      <c r="D11" s="1441"/>
      <c r="E11" s="1441"/>
      <c r="F11" s="1441"/>
      <c r="G11" s="1441"/>
      <c r="H11" s="1441"/>
      <c r="I11" s="1441"/>
      <c r="J11" s="1442"/>
    </row>
    <row r="12" spans="1:19" s="18" customFormat="1" ht="13.5" thickBot="1" x14ac:dyDescent="0.35">
      <c r="A12" s="239"/>
      <c r="B12" s="114"/>
      <c r="C12" s="114"/>
      <c r="D12" s="114"/>
      <c r="E12" s="115"/>
      <c r="F12" s="114"/>
      <c r="G12" s="114"/>
      <c r="H12" s="114"/>
      <c r="I12" s="114"/>
      <c r="J12" s="116"/>
    </row>
    <row r="13" spans="1:19" s="30" customFormat="1" ht="11.15" customHeight="1" x14ac:dyDescent="0.3">
      <c r="A13" s="240"/>
      <c r="B13" s="118"/>
      <c r="C13" s="119"/>
      <c r="D13" s="1"/>
      <c r="E13" s="2" t="s">
        <v>2</v>
      </c>
      <c r="F13" s="1"/>
      <c r="G13" s="1" t="s">
        <v>10</v>
      </c>
      <c r="H13" s="1" t="s">
        <v>11</v>
      </c>
      <c r="I13" s="1" t="s">
        <v>12</v>
      </c>
      <c r="J13" s="212" t="s">
        <v>13</v>
      </c>
    </row>
    <row r="14" spans="1:19" s="30" customFormat="1" ht="11.15" customHeight="1" x14ac:dyDescent="0.3">
      <c r="A14" s="1443" t="s">
        <v>74</v>
      </c>
      <c r="B14" s="1444"/>
      <c r="C14" s="1445"/>
      <c r="D14" s="1" t="s">
        <v>9</v>
      </c>
      <c r="E14" s="2" t="s">
        <v>14</v>
      </c>
      <c r="F14" s="1"/>
      <c r="G14" s="1" t="s">
        <v>15</v>
      </c>
      <c r="H14" s="1" t="s">
        <v>16</v>
      </c>
      <c r="I14" s="1" t="s">
        <v>17</v>
      </c>
      <c r="J14" s="212" t="s">
        <v>18</v>
      </c>
    </row>
    <row r="15" spans="1:19" ht="11.15" customHeight="1" x14ac:dyDescent="0.3">
      <c r="A15" s="1443"/>
      <c r="B15" s="1444"/>
      <c r="C15" s="1445"/>
      <c r="D15" s="1" t="s">
        <v>0</v>
      </c>
      <c r="E15" s="2" t="s">
        <v>19</v>
      </c>
      <c r="F15" s="1" t="s">
        <v>1</v>
      </c>
      <c r="G15" s="1" t="s">
        <v>20</v>
      </c>
      <c r="H15" s="1" t="s">
        <v>21</v>
      </c>
      <c r="I15" s="1" t="s">
        <v>291</v>
      </c>
      <c r="J15" s="212" t="s">
        <v>22</v>
      </c>
    </row>
    <row r="16" spans="1:19" ht="11.15" customHeight="1" thickBot="1" x14ac:dyDescent="0.35">
      <c r="A16" s="241"/>
      <c r="B16" s="121"/>
      <c r="C16" s="122"/>
      <c r="D16" s="6" t="s">
        <v>60</v>
      </c>
      <c r="E16" s="4" t="s">
        <v>61</v>
      </c>
      <c r="F16" s="5" t="s">
        <v>62</v>
      </c>
      <c r="G16" s="6" t="s">
        <v>63</v>
      </c>
      <c r="H16" s="6" t="s">
        <v>64</v>
      </c>
      <c r="I16" s="6" t="s">
        <v>65</v>
      </c>
      <c r="J16" s="6" t="s">
        <v>66</v>
      </c>
    </row>
    <row r="17" spans="1:12" ht="12" customHeight="1" x14ac:dyDescent="0.3">
      <c r="A17" s="213" t="s">
        <v>84</v>
      </c>
      <c r="B17" s="1446" t="s">
        <v>252</v>
      </c>
      <c r="C17" s="1446"/>
      <c r="D17" s="8"/>
      <c r="E17" s="9"/>
      <c r="F17" s="8"/>
      <c r="G17" s="8"/>
      <c r="H17" s="8"/>
      <c r="I17" s="8"/>
      <c r="J17" s="215"/>
    </row>
    <row r="18" spans="1:12" ht="12" customHeight="1" x14ac:dyDescent="0.3">
      <c r="A18" s="244" t="s">
        <v>49</v>
      </c>
      <c r="B18" s="1447" t="s">
        <v>67</v>
      </c>
      <c r="C18" s="1448"/>
      <c r="D18" s="100"/>
      <c r="E18" s="101"/>
      <c r="F18" s="100"/>
      <c r="G18" s="100"/>
      <c r="H18" s="8"/>
      <c r="I18" s="100"/>
      <c r="J18" s="217"/>
      <c r="L18" s="22" t="s">
        <v>2</v>
      </c>
    </row>
    <row r="19" spans="1:12" x14ac:dyDescent="0.3">
      <c r="A19" s="218" t="s">
        <v>70</v>
      </c>
      <c r="B19" s="1449" t="s">
        <v>86</v>
      </c>
      <c r="C19" s="1450"/>
      <c r="D19" s="34">
        <f>+'Attachment A'!AM10</f>
        <v>2489756.1884837979</v>
      </c>
      <c r="E19" s="34">
        <f>+'Attachment A'!AN10</f>
        <v>619544.68857640505</v>
      </c>
      <c r="F19" s="35">
        <f>SUM(D19:E19)</f>
        <v>3109300.8770602029</v>
      </c>
      <c r="G19" s="34"/>
      <c r="H19" s="36">
        <f t="shared" ref="H19:H34" si="0">F19+G19</f>
        <v>3109300.8770602029</v>
      </c>
      <c r="I19" s="37"/>
      <c r="J19" s="219">
        <f t="shared" ref="J19:J34" si="1">H19+I19</f>
        <v>3109300.8770602029</v>
      </c>
    </row>
    <row r="20" spans="1:12" x14ac:dyDescent="0.3">
      <c r="A20" s="220" t="s">
        <v>71</v>
      </c>
      <c r="B20" s="1433" t="s">
        <v>87</v>
      </c>
      <c r="C20" s="1434"/>
      <c r="D20" s="38">
        <f>+'Attachment A'!AM11</f>
        <v>1023041.1463775205</v>
      </c>
      <c r="E20" s="38">
        <f>+'Attachment A'!AN11</f>
        <v>254570.994286509</v>
      </c>
      <c r="F20" s="40">
        <f t="shared" ref="F20:F33" si="2">SUM(D20:E20)</f>
        <v>1277612.1406640294</v>
      </c>
      <c r="G20" s="38"/>
      <c r="H20" s="36">
        <f t="shared" si="0"/>
        <v>1277612.1406640294</v>
      </c>
      <c r="I20" s="39"/>
      <c r="J20" s="221">
        <f t="shared" si="1"/>
        <v>1277612.1406640294</v>
      </c>
    </row>
    <row r="21" spans="1:12" x14ac:dyDescent="0.3">
      <c r="A21" s="220" t="s">
        <v>72</v>
      </c>
      <c r="B21" s="441" t="s">
        <v>69</v>
      </c>
      <c r="C21" s="442"/>
      <c r="D21" s="38"/>
      <c r="E21" s="38"/>
      <c r="F21" s="40"/>
      <c r="G21" s="38"/>
      <c r="H21" s="36"/>
      <c r="I21" s="39"/>
      <c r="J21" s="221"/>
    </row>
    <row r="22" spans="1:12" x14ac:dyDescent="0.3">
      <c r="A22" s="220"/>
      <c r="B22" s="137"/>
      <c r="C22" s="460" t="s">
        <v>444</v>
      </c>
      <c r="D22" s="38">
        <f>+'Attachment A'!AV14</f>
        <v>1627412.8776937188</v>
      </c>
      <c r="E22" s="38">
        <f>+'Attachment A'!AW14</f>
        <v>404961.34085723059</v>
      </c>
      <c r="F22" s="40">
        <f t="shared" si="2"/>
        <v>2032374.2185509494</v>
      </c>
      <c r="G22" s="38"/>
      <c r="H22" s="36">
        <f t="shared" si="0"/>
        <v>2032374.2185509494</v>
      </c>
      <c r="I22" s="39"/>
      <c r="J22" s="221">
        <f t="shared" si="1"/>
        <v>2032374.2185509494</v>
      </c>
    </row>
    <row r="23" spans="1:12" x14ac:dyDescent="0.3">
      <c r="A23" s="220"/>
      <c r="B23" s="137"/>
      <c r="C23" s="461" t="s">
        <v>631</v>
      </c>
      <c r="D23" s="38"/>
      <c r="E23" s="38">
        <f>+'Attachment A'!J50</f>
        <v>84714</v>
      </c>
      <c r="F23" s="40">
        <f t="shared" si="2"/>
        <v>84714</v>
      </c>
      <c r="G23" s="38"/>
      <c r="H23" s="36">
        <f t="shared" si="0"/>
        <v>84714</v>
      </c>
      <c r="I23" s="39"/>
      <c r="J23" s="221">
        <f t="shared" si="1"/>
        <v>84714</v>
      </c>
    </row>
    <row r="24" spans="1:12" x14ac:dyDescent="0.3">
      <c r="A24" s="220"/>
      <c r="B24" s="26"/>
      <c r="C24" s="461" t="s">
        <v>859</v>
      </c>
      <c r="D24" s="38"/>
      <c r="E24" s="38"/>
      <c r="F24" s="40">
        <f t="shared" si="2"/>
        <v>0</v>
      </c>
      <c r="G24" s="38">
        <v>0</v>
      </c>
      <c r="H24" s="36">
        <f t="shared" si="0"/>
        <v>0</v>
      </c>
      <c r="I24" s="39"/>
      <c r="J24" s="221">
        <f t="shared" si="1"/>
        <v>0</v>
      </c>
    </row>
    <row r="25" spans="1:12" x14ac:dyDescent="0.3">
      <c r="A25" s="220"/>
      <c r="B25" s="137"/>
      <c r="C25" s="462"/>
      <c r="D25" s="38"/>
      <c r="E25" s="38"/>
      <c r="F25" s="40">
        <f t="shared" si="2"/>
        <v>0</v>
      </c>
      <c r="G25" s="38"/>
      <c r="H25" s="36">
        <f t="shared" si="0"/>
        <v>0</v>
      </c>
      <c r="I25" s="39"/>
      <c r="J25" s="221">
        <f t="shared" si="1"/>
        <v>0</v>
      </c>
    </row>
    <row r="26" spans="1:12" x14ac:dyDescent="0.3">
      <c r="A26" s="220"/>
      <c r="B26" s="137"/>
      <c r="C26" s="460"/>
      <c r="D26" s="38"/>
      <c r="E26" s="38"/>
      <c r="F26" s="40">
        <f t="shared" si="2"/>
        <v>0</v>
      </c>
      <c r="G26" s="38"/>
      <c r="H26" s="36">
        <f t="shared" si="0"/>
        <v>0</v>
      </c>
      <c r="I26" s="39"/>
      <c r="J26" s="221">
        <f t="shared" si="1"/>
        <v>0</v>
      </c>
    </row>
    <row r="27" spans="1:12" x14ac:dyDescent="0.3">
      <c r="A27" s="220"/>
      <c r="B27" s="137"/>
      <c r="C27" s="462"/>
      <c r="D27" s="38"/>
      <c r="E27" s="38"/>
      <c r="F27" s="40">
        <f t="shared" si="2"/>
        <v>0</v>
      </c>
      <c r="G27" s="38"/>
      <c r="H27" s="36">
        <f t="shared" si="0"/>
        <v>0</v>
      </c>
      <c r="I27" s="39"/>
      <c r="J27" s="221">
        <f t="shared" si="1"/>
        <v>0</v>
      </c>
    </row>
    <row r="28" spans="1:12" x14ac:dyDescent="0.3">
      <c r="A28" s="220"/>
      <c r="B28" s="137"/>
      <c r="C28" s="462"/>
      <c r="D28" s="38"/>
      <c r="E28" s="38"/>
      <c r="F28" s="40">
        <f t="shared" si="2"/>
        <v>0</v>
      </c>
      <c r="G28" s="38"/>
      <c r="H28" s="36">
        <f t="shared" si="0"/>
        <v>0</v>
      </c>
      <c r="I28" s="39"/>
      <c r="J28" s="221">
        <f t="shared" si="1"/>
        <v>0</v>
      </c>
    </row>
    <row r="29" spans="1:12" x14ac:dyDescent="0.3">
      <c r="A29" s="220"/>
      <c r="B29" s="137"/>
      <c r="C29" s="462"/>
      <c r="D29" s="38"/>
      <c r="E29" s="38"/>
      <c r="F29" s="40">
        <f t="shared" si="2"/>
        <v>0</v>
      </c>
      <c r="G29" s="38"/>
      <c r="H29" s="36">
        <f t="shared" si="0"/>
        <v>0</v>
      </c>
      <c r="I29" s="39"/>
      <c r="J29" s="221">
        <f t="shared" si="1"/>
        <v>0</v>
      </c>
    </row>
    <row r="30" spans="1:12" x14ac:dyDescent="0.3">
      <c r="A30" s="220"/>
      <c r="B30" s="27"/>
      <c r="C30" s="462"/>
      <c r="D30" s="38"/>
      <c r="E30" s="38"/>
      <c r="F30" s="40">
        <f t="shared" si="2"/>
        <v>0</v>
      </c>
      <c r="G30" s="38"/>
      <c r="H30" s="36">
        <f t="shared" si="0"/>
        <v>0</v>
      </c>
      <c r="I30" s="39"/>
      <c r="J30" s="221">
        <f t="shared" si="1"/>
        <v>0</v>
      </c>
    </row>
    <row r="31" spans="1:12" x14ac:dyDescent="0.3">
      <c r="A31" s="220"/>
      <c r="B31" s="137"/>
      <c r="C31" s="462"/>
      <c r="D31" s="38"/>
      <c r="E31" s="38"/>
      <c r="F31" s="40">
        <f t="shared" si="2"/>
        <v>0</v>
      </c>
      <c r="G31" s="38"/>
      <c r="H31" s="40">
        <f t="shared" si="0"/>
        <v>0</v>
      </c>
      <c r="I31" s="38"/>
      <c r="J31" s="222">
        <f t="shared" si="1"/>
        <v>0</v>
      </c>
      <c r="K31" s="33"/>
    </row>
    <row r="32" spans="1:12" x14ac:dyDescent="0.3">
      <c r="A32" s="220"/>
      <c r="B32" s="137"/>
      <c r="C32" s="462"/>
      <c r="D32" s="38"/>
      <c r="E32" s="38"/>
      <c r="F32" s="40">
        <f t="shared" si="2"/>
        <v>0</v>
      </c>
      <c r="G32" s="38"/>
      <c r="H32" s="40">
        <f t="shared" si="0"/>
        <v>0</v>
      </c>
      <c r="I32" s="38"/>
      <c r="J32" s="222">
        <f t="shared" si="1"/>
        <v>0</v>
      </c>
      <c r="K32" s="33"/>
    </row>
    <row r="33" spans="1:11" ht="12.75" customHeight="1" x14ac:dyDescent="0.3">
      <c r="A33" s="223"/>
      <c r="B33" s="25"/>
      <c r="C33" s="462"/>
      <c r="D33" s="38"/>
      <c r="E33" s="38"/>
      <c r="F33" s="40">
        <f t="shared" si="2"/>
        <v>0</v>
      </c>
      <c r="G33" s="38"/>
      <c r="H33" s="40">
        <f t="shared" si="0"/>
        <v>0</v>
      </c>
      <c r="I33" s="38"/>
      <c r="J33" s="222">
        <f t="shared" si="1"/>
        <v>0</v>
      </c>
      <c r="K33" s="33"/>
    </row>
    <row r="34" spans="1:11" ht="12.75" customHeight="1" x14ac:dyDescent="0.3">
      <c r="A34" s="223"/>
      <c r="B34" s="110"/>
      <c r="C34" s="103"/>
      <c r="D34" s="104"/>
      <c r="E34" s="41"/>
      <c r="F34" s="40">
        <f>SUM(D34:E34)</f>
        <v>0</v>
      </c>
      <c r="G34" s="41"/>
      <c r="H34" s="40">
        <f t="shared" si="0"/>
        <v>0</v>
      </c>
      <c r="I34" s="41"/>
      <c r="J34" s="222">
        <f t="shared" si="1"/>
        <v>0</v>
      </c>
      <c r="K34" s="33"/>
    </row>
    <row r="35" spans="1:11" s="126" customFormat="1" x14ac:dyDescent="0.3">
      <c r="A35" s="224" t="s">
        <v>73</v>
      </c>
      <c r="B35" s="1435" t="s">
        <v>101</v>
      </c>
      <c r="C35" s="1436"/>
      <c r="D35" s="129">
        <f t="shared" ref="D35:J35" si="3">SUM(D19:D34)</f>
        <v>5140210.2125550378</v>
      </c>
      <c r="E35" s="129">
        <f t="shared" si="3"/>
        <v>1363791.0237201448</v>
      </c>
      <c r="F35" s="129">
        <f t="shared" si="3"/>
        <v>6504001.2362751821</v>
      </c>
      <c r="G35" s="129">
        <f t="shared" si="3"/>
        <v>0</v>
      </c>
      <c r="H35" s="129">
        <f t="shared" si="3"/>
        <v>6504001.2362751821</v>
      </c>
      <c r="I35" s="129">
        <f t="shared" si="3"/>
        <v>0</v>
      </c>
      <c r="J35" s="225">
        <f t="shared" si="3"/>
        <v>6504001.2362751821</v>
      </c>
    </row>
    <row r="36" spans="1:11" ht="12" customHeight="1" x14ac:dyDescent="0.3">
      <c r="A36" s="245">
        <v>2</v>
      </c>
      <c r="B36" s="7" t="s">
        <v>221</v>
      </c>
      <c r="C36" s="7"/>
      <c r="D36" s="8"/>
      <c r="E36" s="9"/>
      <c r="F36" s="8"/>
      <c r="G36" s="8"/>
      <c r="H36" s="8"/>
      <c r="I36" s="8"/>
      <c r="J36" s="215"/>
    </row>
    <row r="37" spans="1:11" x14ac:dyDescent="0.3">
      <c r="A37" s="218" t="s">
        <v>70</v>
      </c>
      <c r="B37" s="444" t="s">
        <v>222</v>
      </c>
      <c r="C37" s="442"/>
      <c r="D37" s="29"/>
      <c r="E37" s="29">
        <f>+'Attachment A'!C16</f>
        <v>736339.77</v>
      </c>
      <c r="F37" s="35">
        <f>SUM(D37:E37)</f>
        <v>736339.77</v>
      </c>
      <c r="G37" s="29"/>
      <c r="H37" s="28">
        <f t="shared" ref="H37:H46" si="4">F37+G37</f>
        <v>736339.77</v>
      </c>
      <c r="I37" s="29"/>
      <c r="J37" s="227">
        <f t="shared" ref="J37:J46" si="5">H37+I37</f>
        <v>736339.77</v>
      </c>
    </row>
    <row r="38" spans="1:11" x14ac:dyDescent="0.3">
      <c r="A38" s="220" t="s">
        <v>71</v>
      </c>
      <c r="B38" s="441" t="s">
        <v>77</v>
      </c>
      <c r="C38" s="446"/>
      <c r="D38" s="29"/>
      <c r="E38" s="29">
        <f>+'Attachment A'!C17</f>
        <v>19801.640000000003</v>
      </c>
      <c r="F38" s="40">
        <f t="shared" ref="F38:F45" si="6">SUM(D38:E38)</f>
        <v>19801.640000000003</v>
      </c>
      <c r="G38" s="29"/>
      <c r="H38" s="28">
        <f t="shared" si="4"/>
        <v>19801.640000000003</v>
      </c>
      <c r="I38" s="29"/>
      <c r="J38" s="227">
        <f t="shared" si="5"/>
        <v>19801.640000000003</v>
      </c>
    </row>
    <row r="39" spans="1:11" x14ac:dyDescent="0.3">
      <c r="A39" s="220" t="s">
        <v>72</v>
      </c>
      <c r="B39" s="23" t="s">
        <v>88</v>
      </c>
      <c r="C39" s="23"/>
      <c r="D39" s="29"/>
      <c r="E39" s="29">
        <f>+'Attachment A'!C18</f>
        <v>231815.97</v>
      </c>
      <c r="F39" s="40">
        <f t="shared" si="6"/>
        <v>231815.97</v>
      </c>
      <c r="G39" s="29"/>
      <c r="H39" s="28">
        <f t="shared" si="4"/>
        <v>231815.97</v>
      </c>
      <c r="I39" s="29"/>
      <c r="J39" s="227">
        <f t="shared" si="5"/>
        <v>231815.97</v>
      </c>
    </row>
    <row r="40" spans="1:11" x14ac:dyDescent="0.3">
      <c r="A40" s="220" t="s">
        <v>73</v>
      </c>
      <c r="B40" s="23" t="s">
        <v>79</v>
      </c>
      <c r="C40" s="23"/>
      <c r="D40" s="29"/>
      <c r="E40" s="29">
        <f>+'Attachment A'!C19</f>
        <v>81034</v>
      </c>
      <c r="F40" s="40">
        <f t="shared" si="6"/>
        <v>81034</v>
      </c>
      <c r="G40" s="29"/>
      <c r="H40" s="28">
        <f t="shared" si="4"/>
        <v>81034</v>
      </c>
      <c r="I40" s="29"/>
      <c r="J40" s="227">
        <f t="shared" si="5"/>
        <v>81034</v>
      </c>
    </row>
    <row r="41" spans="1:11" x14ac:dyDescent="0.3">
      <c r="A41" s="220" t="s">
        <v>80</v>
      </c>
      <c r="B41" s="1433" t="s">
        <v>69</v>
      </c>
      <c r="C41" s="1434"/>
      <c r="D41" s="29"/>
      <c r="E41" s="29"/>
      <c r="F41" s="40"/>
      <c r="G41" s="29"/>
      <c r="H41" s="28"/>
      <c r="I41" s="29"/>
      <c r="J41" s="227"/>
    </row>
    <row r="42" spans="1:11" x14ac:dyDescent="0.3">
      <c r="A42" s="220"/>
      <c r="B42" s="137"/>
      <c r="C42" s="460" t="s">
        <v>444</v>
      </c>
      <c r="D42" s="29"/>
      <c r="E42" s="29">
        <f>+'Attachment A'!C20+'Attachment A'!C21+'Attachment A'!C22</f>
        <v>1426125.104424834</v>
      </c>
      <c r="F42" s="40">
        <f t="shared" si="6"/>
        <v>1426125.104424834</v>
      </c>
      <c r="G42" s="29"/>
      <c r="H42" s="28">
        <f t="shared" si="4"/>
        <v>1426125.104424834</v>
      </c>
      <c r="I42" s="29"/>
      <c r="J42" s="227">
        <f t="shared" si="5"/>
        <v>1426125.104424834</v>
      </c>
    </row>
    <row r="43" spans="1:11" x14ac:dyDescent="0.3">
      <c r="A43" s="220"/>
      <c r="B43" s="26"/>
      <c r="C43" s="461"/>
      <c r="D43" s="29"/>
      <c r="E43" s="29"/>
      <c r="F43" s="40">
        <f t="shared" si="6"/>
        <v>0</v>
      </c>
      <c r="G43" s="29"/>
      <c r="H43" s="28">
        <f t="shared" si="4"/>
        <v>0</v>
      </c>
      <c r="I43" s="29"/>
      <c r="J43" s="227">
        <f t="shared" si="5"/>
        <v>0</v>
      </c>
    </row>
    <row r="44" spans="1:11" x14ac:dyDescent="0.3">
      <c r="A44" s="223"/>
      <c r="B44" s="137"/>
      <c r="C44" s="462"/>
      <c r="D44" s="29"/>
      <c r="E44" s="29"/>
      <c r="F44" s="40">
        <f t="shared" si="6"/>
        <v>0</v>
      </c>
      <c r="G44" s="29"/>
      <c r="H44" s="28">
        <f t="shared" si="4"/>
        <v>0</v>
      </c>
      <c r="I44" s="29"/>
      <c r="J44" s="227">
        <f t="shared" si="5"/>
        <v>0</v>
      </c>
    </row>
    <row r="45" spans="1:11" x14ac:dyDescent="0.3">
      <c r="A45" s="223"/>
      <c r="B45" s="137"/>
      <c r="C45" s="462"/>
      <c r="D45" s="29"/>
      <c r="E45" s="29"/>
      <c r="F45" s="40">
        <f t="shared" si="6"/>
        <v>0</v>
      </c>
      <c r="G45" s="29"/>
      <c r="H45" s="28">
        <f t="shared" si="4"/>
        <v>0</v>
      </c>
      <c r="I45" s="29"/>
      <c r="J45" s="227">
        <f t="shared" si="5"/>
        <v>0</v>
      </c>
    </row>
    <row r="46" spans="1:11" x14ac:dyDescent="0.3">
      <c r="A46" s="223"/>
      <c r="B46" s="106"/>
      <c r="C46" s="437"/>
      <c r="D46" s="105"/>
      <c r="E46" s="29"/>
      <c r="F46" s="40">
        <f>SUM(D46:E46)</f>
        <v>0</v>
      </c>
      <c r="G46" s="29"/>
      <c r="H46" s="28">
        <f t="shared" si="4"/>
        <v>0</v>
      </c>
      <c r="I46" s="29"/>
      <c r="J46" s="227">
        <f t="shared" si="5"/>
        <v>0</v>
      </c>
    </row>
    <row r="47" spans="1:11" s="126" customFormat="1" x14ac:dyDescent="0.3">
      <c r="A47" s="228" t="s">
        <v>81</v>
      </c>
      <c r="B47" s="111" t="s">
        <v>98</v>
      </c>
      <c r="C47" s="127"/>
      <c r="D47" s="128">
        <f t="shared" ref="D47:J47" si="7">SUM(D37:D46)</f>
        <v>0</v>
      </c>
      <c r="E47" s="128">
        <f t="shared" si="7"/>
        <v>2495116.4844248341</v>
      </c>
      <c r="F47" s="128">
        <f t="shared" si="7"/>
        <v>2495116.4844248341</v>
      </c>
      <c r="G47" s="128">
        <f t="shared" si="7"/>
        <v>0</v>
      </c>
      <c r="H47" s="128">
        <f t="shared" si="7"/>
        <v>2495116.4844248341</v>
      </c>
      <c r="I47" s="128">
        <f t="shared" si="7"/>
        <v>0</v>
      </c>
      <c r="J47" s="229">
        <f t="shared" si="7"/>
        <v>2495116.4844248341</v>
      </c>
    </row>
    <row r="48" spans="1:11" x14ac:dyDescent="0.3">
      <c r="A48" s="230"/>
      <c r="B48" s="10"/>
      <c r="C48" s="107"/>
      <c r="D48" s="109"/>
      <c r="E48" s="109"/>
      <c r="F48" s="109"/>
      <c r="G48" s="109"/>
      <c r="H48" s="109"/>
      <c r="I48" s="109"/>
      <c r="J48" s="231"/>
    </row>
    <row r="49" spans="1:10" s="126" customFormat="1" x14ac:dyDescent="0.3">
      <c r="A49" s="242">
        <v>3</v>
      </c>
      <c r="B49" s="11" t="s">
        <v>336</v>
      </c>
      <c r="C49" s="11"/>
      <c r="D49" s="129">
        <f>D47+D35</f>
        <v>5140210.2125550378</v>
      </c>
      <c r="E49" s="129">
        <f t="shared" ref="E49:J49" si="8">E47+E35</f>
        <v>3858907.5081449789</v>
      </c>
      <c r="F49" s="129">
        <f t="shared" si="8"/>
        <v>8999117.7207000162</v>
      </c>
      <c r="G49" s="129">
        <f t="shared" si="8"/>
        <v>0</v>
      </c>
      <c r="H49" s="129">
        <f t="shared" si="8"/>
        <v>8999117.7207000162</v>
      </c>
      <c r="I49" s="129">
        <f t="shared" si="8"/>
        <v>0</v>
      </c>
      <c r="J49" s="225">
        <f t="shared" si="8"/>
        <v>8999117.7207000162</v>
      </c>
    </row>
    <row r="50" spans="1:10" ht="13.5" thickBot="1" x14ac:dyDescent="0.35">
      <c r="A50" s="243"/>
      <c r="B50" s="234"/>
      <c r="C50" s="234"/>
      <c r="D50" s="235"/>
      <c r="E50" s="235"/>
      <c r="F50" s="235"/>
      <c r="G50" s="235"/>
      <c r="H50" s="235"/>
      <c r="I50" s="235"/>
      <c r="J50" s="237"/>
    </row>
  </sheetData>
  <sheetProtection password="E1AE" sheet="1" formatColumns="0" formatRows="0"/>
  <mergeCells count="15">
    <mergeCell ref="A1:J1"/>
    <mergeCell ref="A2:J2"/>
    <mergeCell ref="A3:J3"/>
    <mergeCell ref="A4:J4"/>
    <mergeCell ref="I6:J6"/>
    <mergeCell ref="B35:C35"/>
    <mergeCell ref="E6:F6"/>
    <mergeCell ref="B41:C41"/>
    <mergeCell ref="C8:H8"/>
    <mergeCell ref="B17:C17"/>
    <mergeCell ref="A11:J11"/>
    <mergeCell ref="A14:C15"/>
    <mergeCell ref="B18:C18"/>
    <mergeCell ref="B19:C19"/>
    <mergeCell ref="B20:C20"/>
  </mergeCells>
  <printOptions horizontalCentered="1" verticalCentered="1"/>
  <pageMargins left="0.25" right="0.25" top="0.25" bottom="0.5" header="0.5" footer="0.25"/>
  <pageSetup scale="82" orientation="landscape" r:id="rId1"/>
  <headerFooter alignWithMargins="0">
    <oddFooter xml:space="preserve">&amp;LDSS-16 10-24-2016&amp;RPage 4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98D3A-C9E1-40C8-B6A2-83FD7E971C61}">
  <sheetPr>
    <tabColor rgb="FF92D050"/>
  </sheetPr>
  <dimension ref="A1:S48"/>
  <sheetViews>
    <sheetView topLeftCell="A4" zoomScaleNormal="100" workbookViewId="0">
      <selection activeCell="M23" sqref="M23"/>
    </sheetView>
  </sheetViews>
  <sheetFormatPr defaultColWidth="9.7265625" defaultRowHeight="13" x14ac:dyDescent="0.3"/>
  <cols>
    <col min="1" max="1" width="4.7265625" style="22" customWidth="1"/>
    <col min="2" max="2" width="13.54296875" style="22" customWidth="1"/>
    <col min="3" max="3" width="47.81640625" style="22" customWidth="1"/>
    <col min="4" max="4" width="13" style="22" customWidth="1"/>
    <col min="5" max="5" width="12.453125" style="31" customWidth="1"/>
    <col min="6" max="6" width="12.1796875" style="22" customWidth="1"/>
    <col min="7" max="7" width="11.7265625" style="22" customWidth="1"/>
    <col min="8" max="8" width="13.453125" style="22" customWidth="1"/>
    <col min="9" max="9" width="11.26953125" style="22" customWidth="1"/>
    <col min="10" max="10" width="14.1796875" style="22" customWidth="1"/>
    <col min="11" max="16384" width="9.7265625" style="22"/>
  </cols>
  <sheetData>
    <row r="1" spans="1:19" s="18" customFormat="1" ht="13.5" x14ac:dyDescent="0.35">
      <c r="A1" s="1396" t="s">
        <v>45</v>
      </c>
      <c r="B1" s="1396"/>
      <c r="C1" s="1396"/>
      <c r="D1" s="1396"/>
      <c r="E1" s="1396"/>
      <c r="F1" s="1396"/>
      <c r="G1" s="1396"/>
      <c r="H1" s="1396"/>
      <c r="I1" s="1396"/>
      <c r="J1" s="1396"/>
      <c r="K1" s="75"/>
      <c r="L1" s="75"/>
      <c r="M1" s="75"/>
      <c r="N1" s="75"/>
      <c r="O1" s="75"/>
    </row>
    <row r="2" spans="1:19" s="18" customFormat="1" ht="13.5" x14ac:dyDescent="0.35">
      <c r="A2" s="1396" t="s">
        <v>46</v>
      </c>
      <c r="B2" s="1396"/>
      <c r="C2" s="1396"/>
      <c r="D2" s="1396"/>
      <c r="E2" s="1396"/>
      <c r="F2" s="1396"/>
      <c r="G2" s="1396"/>
      <c r="H2" s="1396"/>
      <c r="I2" s="1396"/>
      <c r="J2" s="1396"/>
      <c r="K2" s="75"/>
      <c r="L2" s="75"/>
      <c r="M2" s="75"/>
      <c r="N2" s="75"/>
      <c r="O2" s="75"/>
    </row>
    <row r="3" spans="1:19" s="18" customFormat="1" ht="13.5" x14ac:dyDescent="0.35">
      <c r="A3" s="1396" t="s">
        <v>47</v>
      </c>
      <c r="B3" s="1396"/>
      <c r="C3" s="1396"/>
      <c r="D3" s="1396"/>
      <c r="E3" s="1396"/>
      <c r="F3" s="1396"/>
      <c r="G3" s="1396"/>
      <c r="H3" s="1396"/>
      <c r="I3" s="1396"/>
      <c r="J3" s="1396"/>
      <c r="K3" s="75"/>
      <c r="L3" s="75"/>
      <c r="M3" s="75"/>
      <c r="N3" s="75"/>
      <c r="O3" s="75"/>
    </row>
    <row r="4" spans="1:19" s="18" customFormat="1" ht="13.5" x14ac:dyDescent="0.35">
      <c r="A4" s="1396" t="s">
        <v>48</v>
      </c>
      <c r="B4" s="1396"/>
      <c r="C4" s="1396"/>
      <c r="D4" s="1396"/>
      <c r="E4" s="1396"/>
      <c r="F4" s="1396"/>
      <c r="G4" s="1396"/>
      <c r="H4" s="1396"/>
      <c r="I4" s="1396"/>
      <c r="J4" s="1396"/>
      <c r="K4" s="75"/>
      <c r="L4" s="75"/>
      <c r="M4" s="75"/>
      <c r="N4" s="75"/>
      <c r="O4" s="75"/>
    </row>
    <row r="5" spans="1:19" s="18" customFormat="1" ht="14" thickBot="1" x14ac:dyDescent="0.4">
      <c r="A5" s="12"/>
      <c r="B5" s="13"/>
      <c r="C5" s="13"/>
      <c r="D5" s="440"/>
      <c r="E5" s="440"/>
      <c r="F5" s="440"/>
      <c r="G5" s="440"/>
      <c r="H5" s="440"/>
      <c r="I5" s="440"/>
      <c r="J5" s="440"/>
      <c r="K5" s="76"/>
      <c r="L5" s="76"/>
      <c r="M5" s="76"/>
      <c r="N5" s="76"/>
      <c r="O5" s="76"/>
      <c r="P5" s="87"/>
      <c r="Q5" s="87"/>
      <c r="R5" s="87"/>
      <c r="S5" s="87"/>
    </row>
    <row r="6" spans="1:19" s="18" customFormat="1" ht="20.25" customHeight="1" x14ac:dyDescent="0.3">
      <c r="A6" s="93"/>
      <c r="B6" s="77" t="s">
        <v>54</v>
      </c>
      <c r="C6" s="78"/>
      <c r="D6" s="78" t="s">
        <v>6</v>
      </c>
      <c r="E6" s="1389">
        <f>'P1 Info &amp; Certification'!L20</f>
        <v>45108</v>
      </c>
      <c r="F6" s="1389"/>
      <c r="G6" s="96"/>
      <c r="H6" s="95" t="s">
        <v>7</v>
      </c>
      <c r="I6" s="1389">
        <f>'P1 Info &amp; Certification'!N20</f>
        <v>45473</v>
      </c>
      <c r="J6" s="1432"/>
      <c r="K6" s="88"/>
      <c r="L6" s="32"/>
      <c r="M6" s="92"/>
      <c r="N6" s="92"/>
      <c r="O6" s="32"/>
      <c r="P6" s="87"/>
      <c r="Q6" s="87"/>
      <c r="R6" s="87"/>
      <c r="S6" s="87"/>
    </row>
    <row r="7" spans="1:19" s="18" customFormat="1" x14ac:dyDescent="0.3">
      <c r="A7" s="83"/>
      <c r="B7" s="458"/>
      <c r="C7" s="458"/>
      <c r="D7" s="458"/>
      <c r="E7" s="13"/>
      <c r="F7" s="13"/>
      <c r="G7" s="13"/>
      <c r="H7" s="13"/>
      <c r="I7" s="13"/>
      <c r="J7" s="81"/>
      <c r="K7" s="13"/>
      <c r="L7" s="13"/>
      <c r="M7" s="13"/>
      <c r="N7" s="13"/>
      <c r="O7" s="13"/>
      <c r="P7" s="87"/>
      <c r="Q7" s="87"/>
      <c r="R7" s="87"/>
      <c r="S7" s="87"/>
    </row>
    <row r="8" spans="1:19" s="18" customFormat="1" ht="26.25" customHeight="1" thickBot="1" x14ac:dyDescent="0.35">
      <c r="A8" s="97"/>
      <c r="B8" s="445" t="s">
        <v>59</v>
      </c>
      <c r="C8" s="1439" t="str">
        <f>'P1 Info &amp; Certification'!E12</f>
        <v>COMMUNITY HEALTH CENTER, INC.</v>
      </c>
      <c r="D8" s="1439"/>
      <c r="E8" s="1439"/>
      <c r="F8" s="1439"/>
      <c r="G8" s="1439"/>
      <c r="H8" s="1439"/>
      <c r="I8" s="463"/>
      <c r="J8" s="464"/>
      <c r="K8" s="91"/>
      <c r="L8" s="91"/>
      <c r="M8" s="91"/>
      <c r="N8" s="91"/>
      <c r="O8" s="91"/>
      <c r="P8" s="87"/>
      <c r="Q8" s="87"/>
      <c r="R8" s="87"/>
      <c r="S8" s="87"/>
    </row>
    <row r="9" spans="1:19" s="18" customFormat="1" x14ac:dyDescent="0.3">
      <c r="A9" s="16"/>
      <c r="B9" s="19"/>
      <c r="C9" s="19"/>
      <c r="D9" s="19"/>
      <c r="E9" s="20"/>
      <c r="F9" s="19"/>
      <c r="G9" s="21"/>
      <c r="H9" s="19"/>
      <c r="I9" s="19"/>
      <c r="J9" s="19"/>
    </row>
    <row r="10" spans="1:19" s="18" customFormat="1" ht="13.5" thickBot="1" x14ac:dyDescent="0.35">
      <c r="A10" s="16"/>
      <c r="B10" s="19"/>
      <c r="C10" s="19"/>
      <c r="D10" s="19"/>
      <c r="E10" s="20"/>
      <c r="F10" s="19"/>
      <c r="G10" s="21"/>
      <c r="H10" s="19"/>
      <c r="I10" s="19"/>
      <c r="J10" s="17" t="s">
        <v>223</v>
      </c>
    </row>
    <row r="11" spans="1:19" s="18" customFormat="1" ht="19.5" customHeight="1" x14ac:dyDescent="0.35">
      <c r="A11" s="1440" t="s">
        <v>290</v>
      </c>
      <c r="B11" s="1441"/>
      <c r="C11" s="1441"/>
      <c r="D11" s="1441"/>
      <c r="E11" s="1441"/>
      <c r="F11" s="1441"/>
      <c r="G11" s="1441"/>
      <c r="H11" s="1441"/>
      <c r="I11" s="1441"/>
      <c r="J11" s="1442"/>
    </row>
    <row r="12" spans="1:19" s="18" customFormat="1" ht="13.5" thickBot="1" x14ac:dyDescent="0.35">
      <c r="A12" s="113"/>
      <c r="B12" s="114"/>
      <c r="C12" s="114"/>
      <c r="D12" s="114"/>
      <c r="E12" s="115"/>
      <c r="F12" s="114"/>
      <c r="G12" s="114"/>
      <c r="H12" s="114"/>
      <c r="I12" s="114"/>
      <c r="J12" s="116"/>
    </row>
    <row r="13" spans="1:19" s="30" customFormat="1" ht="11.15" customHeight="1" x14ac:dyDescent="0.3">
      <c r="A13" s="117"/>
      <c r="B13" s="118"/>
      <c r="C13" s="119"/>
      <c r="D13" s="1"/>
      <c r="E13" s="2" t="s">
        <v>2</v>
      </c>
      <c r="F13" s="1"/>
      <c r="G13" s="1" t="s">
        <v>10</v>
      </c>
      <c r="H13" s="1" t="s">
        <v>11</v>
      </c>
      <c r="I13" s="1" t="s">
        <v>12</v>
      </c>
      <c r="J13" s="212" t="s">
        <v>13</v>
      </c>
    </row>
    <row r="14" spans="1:19" s="30" customFormat="1" ht="11.15" customHeight="1" x14ac:dyDescent="0.3">
      <c r="A14" s="1443" t="s">
        <v>74</v>
      </c>
      <c r="B14" s="1444"/>
      <c r="C14" s="1445"/>
      <c r="D14" s="1" t="s">
        <v>9</v>
      </c>
      <c r="E14" s="2" t="s">
        <v>14</v>
      </c>
      <c r="F14" s="1"/>
      <c r="G14" s="1" t="s">
        <v>15</v>
      </c>
      <c r="H14" s="1" t="s">
        <v>16</v>
      </c>
      <c r="I14" s="1" t="s">
        <v>17</v>
      </c>
      <c r="J14" s="212" t="s">
        <v>18</v>
      </c>
    </row>
    <row r="15" spans="1:19" ht="11.15" customHeight="1" x14ac:dyDescent="0.3">
      <c r="A15" s="1443"/>
      <c r="B15" s="1444"/>
      <c r="C15" s="1445"/>
      <c r="D15" s="1" t="s">
        <v>0</v>
      </c>
      <c r="E15" s="2" t="s">
        <v>19</v>
      </c>
      <c r="F15" s="1" t="s">
        <v>1</v>
      </c>
      <c r="G15" s="1" t="s">
        <v>20</v>
      </c>
      <c r="H15" s="1" t="s">
        <v>21</v>
      </c>
      <c r="I15" s="1" t="s">
        <v>291</v>
      </c>
      <c r="J15" s="212" t="s">
        <v>22</v>
      </c>
    </row>
    <row r="16" spans="1:19" ht="11.15" customHeight="1" thickBot="1" x14ac:dyDescent="0.35">
      <c r="A16" s="120"/>
      <c r="B16" s="121"/>
      <c r="C16" s="122"/>
      <c r="D16" s="6" t="s">
        <v>60</v>
      </c>
      <c r="E16" s="4" t="s">
        <v>61</v>
      </c>
      <c r="F16" s="5" t="s">
        <v>62</v>
      </c>
      <c r="G16" s="6" t="s">
        <v>63</v>
      </c>
      <c r="H16" s="6" t="s">
        <v>64</v>
      </c>
      <c r="I16" s="6" t="s">
        <v>65</v>
      </c>
      <c r="J16" s="6" t="s">
        <v>66</v>
      </c>
    </row>
    <row r="17" spans="1:11" ht="12" customHeight="1" x14ac:dyDescent="0.3">
      <c r="A17" s="213" t="s">
        <v>91</v>
      </c>
      <c r="B17" s="1446" t="s">
        <v>253</v>
      </c>
      <c r="C17" s="1446"/>
      <c r="D17" s="8"/>
      <c r="E17" s="9"/>
      <c r="F17" s="8"/>
      <c r="G17" s="8"/>
      <c r="H17" s="8"/>
      <c r="I17" s="8"/>
      <c r="J17" s="215"/>
    </row>
    <row r="18" spans="1:11" ht="12" customHeight="1" x14ac:dyDescent="0.3">
      <c r="A18" s="244" t="s">
        <v>49</v>
      </c>
      <c r="B18" s="1447" t="s">
        <v>67</v>
      </c>
      <c r="C18" s="1448"/>
      <c r="D18" s="100"/>
      <c r="E18" s="101"/>
      <c r="F18" s="100"/>
      <c r="G18" s="100"/>
      <c r="H18" s="8"/>
      <c r="I18" s="100"/>
      <c r="J18" s="217"/>
    </row>
    <row r="19" spans="1:11" x14ac:dyDescent="0.3">
      <c r="A19" s="218" t="s">
        <v>70</v>
      </c>
      <c r="B19" s="1449" t="s">
        <v>89</v>
      </c>
      <c r="C19" s="1450"/>
      <c r="D19" s="34">
        <f>+'Attachment A'!AM14</f>
        <v>3040379.2364870217</v>
      </c>
      <c r="E19" s="34">
        <f>+'Attachment A'!AN14</f>
        <v>756560.34752969968</v>
      </c>
      <c r="F19" s="35">
        <f>SUM(D19:E19)</f>
        <v>3796939.5840167212</v>
      </c>
      <c r="G19" s="34"/>
      <c r="H19" s="36">
        <f t="shared" ref="H19:H29" si="0">F19+G19</f>
        <v>3796939.5840167212</v>
      </c>
      <c r="I19" s="37"/>
      <c r="J19" s="219">
        <f t="shared" ref="J19:J29" si="1">H19+I19</f>
        <v>3796939.5840167212</v>
      </c>
    </row>
    <row r="20" spans="1:11" x14ac:dyDescent="0.3">
      <c r="A20" s="220" t="s">
        <v>71</v>
      </c>
      <c r="B20" s="1433" t="s">
        <v>90</v>
      </c>
      <c r="C20" s="1434"/>
      <c r="D20" s="38">
        <f>+'Attachment A'!AM15</f>
        <v>13702530.800930675</v>
      </c>
      <c r="E20" s="38">
        <f>+'Attachment A'!AN15</f>
        <v>3409703.4147512256</v>
      </c>
      <c r="F20" s="36">
        <f>SUM(D20:E20)</f>
        <v>17112234.215681899</v>
      </c>
      <c r="G20" s="38"/>
      <c r="H20" s="36">
        <f t="shared" si="0"/>
        <v>17112234.215681899</v>
      </c>
      <c r="I20" s="39"/>
      <c r="J20" s="221">
        <f t="shared" si="1"/>
        <v>17112234.215681899</v>
      </c>
    </row>
    <row r="21" spans="1:11" x14ac:dyDescent="0.3">
      <c r="A21" s="220" t="s">
        <v>72</v>
      </c>
      <c r="B21" s="441" t="s">
        <v>69</v>
      </c>
      <c r="C21" s="442"/>
      <c r="D21" s="38"/>
      <c r="E21" s="38"/>
      <c r="F21" s="36"/>
      <c r="G21" s="38"/>
      <c r="H21" s="36"/>
      <c r="I21" s="39"/>
      <c r="J21" s="221"/>
    </row>
    <row r="22" spans="1:11" x14ac:dyDescent="0.3">
      <c r="A22" s="220"/>
      <c r="B22" s="465"/>
      <c r="C22" s="460" t="s">
        <v>444</v>
      </c>
      <c r="D22" s="38">
        <f>+'Attachment A'!AZ28</f>
        <v>8512863.4762695022</v>
      </c>
      <c r="E22" s="38">
        <f>+'Attachment A'!BA28</f>
        <v>2118319.6072345725</v>
      </c>
      <c r="F22" s="36">
        <f>SUM(D22:E22)</f>
        <v>10631183.083504075</v>
      </c>
      <c r="G22" s="38"/>
      <c r="H22" s="36">
        <f t="shared" si="0"/>
        <v>10631183.083504075</v>
      </c>
      <c r="I22" s="39"/>
      <c r="J22" s="221">
        <f t="shared" si="1"/>
        <v>10631183.083504075</v>
      </c>
    </row>
    <row r="23" spans="1:11" x14ac:dyDescent="0.3">
      <c r="A23" s="220"/>
      <c r="B23" s="465"/>
      <c r="C23" s="461" t="s">
        <v>631</v>
      </c>
      <c r="D23" s="38"/>
      <c r="E23" s="38">
        <f>+'Attachment A'!M50</f>
        <v>761694.65999999992</v>
      </c>
      <c r="F23" s="36">
        <f t="shared" ref="F23:F28" si="2">SUM(D23:E23)</f>
        <v>761694.65999999992</v>
      </c>
      <c r="G23" s="38"/>
      <c r="H23" s="36">
        <f t="shared" si="0"/>
        <v>761694.65999999992</v>
      </c>
      <c r="I23" s="39"/>
      <c r="J23" s="221">
        <f t="shared" si="1"/>
        <v>761694.65999999992</v>
      </c>
    </row>
    <row r="24" spans="1:11" x14ac:dyDescent="0.3">
      <c r="A24" s="220"/>
      <c r="B24" s="466"/>
      <c r="C24" s="461"/>
      <c r="D24" s="38"/>
      <c r="E24" s="38"/>
      <c r="F24" s="36">
        <f t="shared" si="2"/>
        <v>0</v>
      </c>
      <c r="G24" s="38"/>
      <c r="H24" s="36">
        <f t="shared" si="0"/>
        <v>0</v>
      </c>
      <c r="I24" s="39"/>
      <c r="J24" s="221">
        <f t="shared" si="1"/>
        <v>0</v>
      </c>
    </row>
    <row r="25" spans="1:11" x14ac:dyDescent="0.3">
      <c r="A25" s="220"/>
      <c r="B25" s="465"/>
      <c r="C25" s="462"/>
      <c r="D25" s="38"/>
      <c r="E25" s="38"/>
      <c r="F25" s="36">
        <f t="shared" si="2"/>
        <v>0</v>
      </c>
      <c r="G25" s="38"/>
      <c r="H25" s="36">
        <f t="shared" si="0"/>
        <v>0</v>
      </c>
      <c r="I25" s="39"/>
      <c r="J25" s="221">
        <f t="shared" si="1"/>
        <v>0</v>
      </c>
    </row>
    <row r="26" spans="1:11" x14ac:dyDescent="0.3">
      <c r="A26" s="220"/>
      <c r="B26" s="465"/>
      <c r="C26" s="462"/>
      <c r="D26" s="38"/>
      <c r="E26" s="38"/>
      <c r="F26" s="36">
        <f t="shared" si="2"/>
        <v>0</v>
      </c>
      <c r="G26" s="38"/>
      <c r="H26" s="40">
        <f t="shared" si="0"/>
        <v>0</v>
      </c>
      <c r="I26" s="38"/>
      <c r="J26" s="222">
        <f t="shared" si="1"/>
        <v>0</v>
      </c>
      <c r="K26" s="33"/>
    </row>
    <row r="27" spans="1:11" x14ac:dyDescent="0.3">
      <c r="A27" s="220"/>
      <c r="B27" s="465"/>
      <c r="C27" s="462"/>
      <c r="D27" s="38"/>
      <c r="E27" s="38"/>
      <c r="F27" s="36">
        <f t="shared" si="2"/>
        <v>0</v>
      </c>
      <c r="G27" s="38"/>
      <c r="H27" s="40">
        <f t="shared" si="0"/>
        <v>0</v>
      </c>
      <c r="I27" s="38"/>
      <c r="J27" s="222">
        <f t="shared" si="1"/>
        <v>0</v>
      </c>
      <c r="K27" s="33"/>
    </row>
    <row r="28" spans="1:11" ht="12.75" customHeight="1" x14ac:dyDescent="0.3">
      <c r="A28" s="223"/>
      <c r="B28" s="25"/>
      <c r="C28" s="462"/>
      <c r="D28" s="38"/>
      <c r="E28" s="38"/>
      <c r="F28" s="36">
        <f t="shared" si="2"/>
        <v>0</v>
      </c>
      <c r="G28" s="38"/>
      <c r="H28" s="40">
        <f t="shared" si="0"/>
        <v>0</v>
      </c>
      <c r="I28" s="38"/>
      <c r="J28" s="222">
        <f t="shared" si="1"/>
        <v>0</v>
      </c>
      <c r="K28" s="33"/>
    </row>
    <row r="29" spans="1:11" ht="12.75" customHeight="1" x14ac:dyDescent="0.3">
      <c r="A29" s="223"/>
      <c r="B29" s="110"/>
      <c r="C29" s="460"/>
      <c r="D29" s="104"/>
      <c r="E29" s="41"/>
      <c r="F29" s="40">
        <f>SUM(D29:E29)</f>
        <v>0</v>
      </c>
      <c r="G29" s="41"/>
      <c r="H29" s="40">
        <f t="shared" si="0"/>
        <v>0</v>
      </c>
      <c r="I29" s="41"/>
      <c r="J29" s="222">
        <f t="shared" si="1"/>
        <v>0</v>
      </c>
      <c r="K29" s="33"/>
    </row>
    <row r="30" spans="1:11" s="126" customFormat="1" x14ac:dyDescent="0.3">
      <c r="A30" s="224" t="s">
        <v>73</v>
      </c>
      <c r="B30" s="1435" t="s">
        <v>224</v>
      </c>
      <c r="C30" s="1436"/>
      <c r="D30" s="129">
        <f t="shared" ref="D30:J30" si="3">SUM(D19:D29)</f>
        <v>25255773.513687201</v>
      </c>
      <c r="E30" s="129">
        <f t="shared" si="3"/>
        <v>7046278.0295154974</v>
      </c>
      <c r="F30" s="129">
        <f t="shared" si="3"/>
        <v>32302051.543202695</v>
      </c>
      <c r="G30" s="129">
        <f t="shared" si="3"/>
        <v>0</v>
      </c>
      <c r="H30" s="129">
        <f t="shared" si="3"/>
        <v>32302051.543202695</v>
      </c>
      <c r="I30" s="129">
        <f t="shared" si="3"/>
        <v>0</v>
      </c>
      <c r="J30" s="225">
        <f t="shared" si="3"/>
        <v>32302051.543202695</v>
      </c>
    </row>
    <row r="31" spans="1:11" ht="12" customHeight="1" x14ac:dyDescent="0.3">
      <c r="A31" s="335" t="s">
        <v>50</v>
      </c>
      <c r="B31" s="7" t="s">
        <v>225</v>
      </c>
      <c r="C31" s="7"/>
      <c r="D31" s="8"/>
      <c r="E31" s="9"/>
      <c r="F31" s="8"/>
      <c r="G31" s="8"/>
      <c r="H31" s="8"/>
      <c r="I31" s="8"/>
      <c r="J31" s="215"/>
    </row>
    <row r="32" spans="1:11" x14ac:dyDescent="0.3">
      <c r="A32" s="218" t="s">
        <v>70</v>
      </c>
      <c r="B32" s="446" t="s">
        <v>76</v>
      </c>
      <c r="C32" s="442"/>
      <c r="D32" s="29"/>
      <c r="E32" s="29">
        <f>+'Attachment A'!C24</f>
        <v>2973.11</v>
      </c>
      <c r="F32" s="35">
        <f>SUM(D32:E32)</f>
        <v>2973.11</v>
      </c>
      <c r="G32" s="29"/>
      <c r="H32" s="28">
        <f t="shared" ref="H32:H41" si="4">F32+G32</f>
        <v>2973.11</v>
      </c>
      <c r="I32" s="29"/>
      <c r="J32" s="227">
        <f t="shared" ref="J32:J41" si="5">H32+I32</f>
        <v>2973.11</v>
      </c>
    </row>
    <row r="33" spans="1:10" x14ac:dyDescent="0.3">
      <c r="A33" s="220" t="s">
        <v>71</v>
      </c>
      <c r="B33" s="441" t="s">
        <v>77</v>
      </c>
      <c r="C33" s="446"/>
      <c r="D33" s="29"/>
      <c r="E33" s="29">
        <f>+'Attachment A'!C25</f>
        <v>23228.49</v>
      </c>
      <c r="F33" s="36">
        <f t="shared" ref="F33:F40" si="6">SUM(D33:E33)</f>
        <v>23228.49</v>
      </c>
      <c r="G33" s="29">
        <f>+'Attachment A'!AC61</f>
        <v>25286.816753980416</v>
      </c>
      <c r="H33" s="28">
        <f t="shared" si="4"/>
        <v>48515.306753980418</v>
      </c>
      <c r="I33" s="29"/>
      <c r="J33" s="227">
        <f t="shared" si="5"/>
        <v>48515.306753980418</v>
      </c>
    </row>
    <row r="34" spans="1:10" x14ac:dyDescent="0.3">
      <c r="A34" s="220" t="s">
        <v>72</v>
      </c>
      <c r="B34" s="23" t="s">
        <v>216</v>
      </c>
      <c r="C34" s="23"/>
      <c r="D34" s="29"/>
      <c r="E34" s="29">
        <f>+'Attachment A'!C26</f>
        <v>102232.73</v>
      </c>
      <c r="F34" s="36">
        <f t="shared" si="6"/>
        <v>102232.73</v>
      </c>
      <c r="G34" s="29">
        <f>+'Attachment A'!AD61</f>
        <v>65646.980650722806</v>
      </c>
      <c r="H34" s="28">
        <f t="shared" si="4"/>
        <v>167879.71065072279</v>
      </c>
      <c r="I34" s="29"/>
      <c r="J34" s="227">
        <f t="shared" si="5"/>
        <v>167879.71065072279</v>
      </c>
    </row>
    <row r="35" spans="1:10" x14ac:dyDescent="0.3">
      <c r="A35" s="220" t="s">
        <v>73</v>
      </c>
      <c r="B35" s="23" t="s">
        <v>79</v>
      </c>
      <c r="C35" s="23"/>
      <c r="D35" s="29"/>
      <c r="E35" s="29">
        <f>+'Attachment A'!C27</f>
        <v>382483</v>
      </c>
      <c r="F35" s="36">
        <f t="shared" si="6"/>
        <v>382483</v>
      </c>
      <c r="G35" s="29"/>
      <c r="H35" s="28">
        <f t="shared" si="4"/>
        <v>382483</v>
      </c>
      <c r="I35" s="29"/>
      <c r="J35" s="227">
        <f t="shared" si="5"/>
        <v>382483</v>
      </c>
    </row>
    <row r="36" spans="1:10" x14ac:dyDescent="0.3">
      <c r="A36" s="220" t="s">
        <v>80</v>
      </c>
      <c r="B36" s="1433" t="s">
        <v>69</v>
      </c>
      <c r="C36" s="1434"/>
      <c r="D36" s="29"/>
      <c r="E36" s="29"/>
      <c r="F36" s="36"/>
      <c r="G36" s="29"/>
      <c r="H36" s="28"/>
      <c r="I36" s="29"/>
      <c r="J36" s="227"/>
    </row>
    <row r="37" spans="1:10" x14ac:dyDescent="0.3">
      <c r="A37" s="220"/>
      <c r="B37" s="465"/>
      <c r="C37" s="460" t="s">
        <v>444</v>
      </c>
      <c r="D37" s="29"/>
      <c r="E37" s="29">
        <f>+'Attachment A'!C28+'Attachment A'!C29+'Attachment A'!C30</f>
        <v>4741323.3465162981</v>
      </c>
      <c r="F37" s="36">
        <f t="shared" si="6"/>
        <v>4741323.3465162981</v>
      </c>
      <c r="G37" s="29"/>
      <c r="H37" s="28">
        <f t="shared" si="4"/>
        <v>4741323.3465162981</v>
      </c>
      <c r="I37" s="29"/>
      <c r="J37" s="227">
        <f t="shared" si="5"/>
        <v>4741323.3465162981</v>
      </c>
    </row>
    <row r="38" spans="1:10" x14ac:dyDescent="0.3">
      <c r="A38" s="220"/>
      <c r="B38" s="466"/>
      <c r="C38" s="461" t="s">
        <v>643</v>
      </c>
      <c r="D38" s="29"/>
      <c r="E38" s="29">
        <v>0</v>
      </c>
      <c r="F38" s="36">
        <f t="shared" si="6"/>
        <v>0</v>
      </c>
      <c r="G38" s="29">
        <f>+'Attachment A'!AE61</f>
        <v>427918.09805036307</v>
      </c>
      <c r="H38" s="28">
        <f t="shared" si="4"/>
        <v>427918.09805036307</v>
      </c>
      <c r="I38" s="29"/>
      <c r="J38" s="227">
        <f t="shared" si="5"/>
        <v>427918.09805036307</v>
      </c>
    </row>
    <row r="39" spans="1:10" x14ac:dyDescent="0.3">
      <c r="A39" s="223"/>
      <c r="B39" s="465"/>
      <c r="C39" s="461"/>
      <c r="D39" s="29"/>
      <c r="E39" s="29"/>
      <c r="F39" s="36">
        <f t="shared" si="6"/>
        <v>0</v>
      </c>
      <c r="G39" s="29">
        <v>0</v>
      </c>
      <c r="H39" s="28">
        <f t="shared" si="4"/>
        <v>0</v>
      </c>
      <c r="I39" s="29"/>
      <c r="J39" s="227">
        <f t="shared" si="5"/>
        <v>0</v>
      </c>
    </row>
    <row r="40" spans="1:10" x14ac:dyDescent="0.3">
      <c r="A40" s="223"/>
      <c r="B40" s="465"/>
      <c r="C40" s="462"/>
      <c r="D40" s="29"/>
      <c r="E40" s="29"/>
      <c r="F40" s="36">
        <f t="shared" si="6"/>
        <v>0</v>
      </c>
      <c r="G40" s="29"/>
      <c r="H40" s="28">
        <f t="shared" si="4"/>
        <v>0</v>
      </c>
      <c r="I40" s="29"/>
      <c r="J40" s="227">
        <f t="shared" si="5"/>
        <v>0</v>
      </c>
    </row>
    <row r="41" spans="1:10" x14ac:dyDescent="0.3">
      <c r="A41" s="223"/>
      <c r="B41" s="106"/>
      <c r="C41" s="437"/>
      <c r="D41" s="105"/>
      <c r="E41" s="29"/>
      <c r="F41" s="40">
        <f>SUM(D41:E41)</f>
        <v>0</v>
      </c>
      <c r="G41" s="29"/>
      <c r="H41" s="28">
        <f t="shared" si="4"/>
        <v>0</v>
      </c>
      <c r="I41" s="29"/>
      <c r="J41" s="227">
        <f t="shared" si="5"/>
        <v>0</v>
      </c>
    </row>
    <row r="42" spans="1:10" s="126" customFormat="1" x14ac:dyDescent="0.3">
      <c r="A42" s="228" t="s">
        <v>81</v>
      </c>
      <c r="B42" s="111" t="s">
        <v>226</v>
      </c>
      <c r="C42" s="127"/>
      <c r="D42" s="128">
        <f t="shared" ref="D42:J42" si="7">SUM(D32:D41)</f>
        <v>0</v>
      </c>
      <c r="E42" s="128">
        <f t="shared" si="7"/>
        <v>5252240.6765162982</v>
      </c>
      <c r="F42" s="128">
        <f t="shared" si="7"/>
        <v>5252240.6765162982</v>
      </c>
      <c r="G42" s="128">
        <f t="shared" si="7"/>
        <v>518851.89545506629</v>
      </c>
      <c r="H42" s="128">
        <f t="shared" si="7"/>
        <v>5771092.5719713643</v>
      </c>
      <c r="I42" s="128">
        <f t="shared" si="7"/>
        <v>0</v>
      </c>
      <c r="J42" s="229">
        <f t="shared" si="7"/>
        <v>5771092.5719713643</v>
      </c>
    </row>
    <row r="43" spans="1:10" x14ac:dyDescent="0.3">
      <c r="A43" s="230"/>
      <c r="B43" s="10"/>
      <c r="C43" s="107"/>
      <c r="D43" s="109"/>
      <c r="E43" s="109"/>
      <c r="F43" s="109"/>
      <c r="G43" s="109"/>
      <c r="H43" s="109"/>
      <c r="I43" s="109"/>
      <c r="J43" s="231"/>
    </row>
    <row r="44" spans="1:10" x14ac:dyDescent="0.3">
      <c r="A44" s="232" t="s">
        <v>82</v>
      </c>
      <c r="B44" s="130" t="s">
        <v>335</v>
      </c>
      <c r="C44" s="130"/>
      <c r="D44" s="131">
        <f>D42+D30</f>
        <v>25255773.513687201</v>
      </c>
      <c r="E44" s="131">
        <f t="shared" ref="E44:J44" si="8">E42+E30</f>
        <v>12298518.706031796</v>
      </c>
      <c r="F44" s="131">
        <f t="shared" si="8"/>
        <v>37554292.219718993</v>
      </c>
      <c r="G44" s="131">
        <f t="shared" si="8"/>
        <v>518851.89545506629</v>
      </c>
      <c r="H44" s="131">
        <f t="shared" si="8"/>
        <v>38073144.115174055</v>
      </c>
      <c r="I44" s="131">
        <f t="shared" si="8"/>
        <v>0</v>
      </c>
      <c r="J44" s="246">
        <f t="shared" si="8"/>
        <v>38073144.115174055</v>
      </c>
    </row>
    <row r="45" spans="1:10" s="126" customFormat="1" ht="24" customHeight="1" thickBot="1" x14ac:dyDescent="0.35">
      <c r="A45" s="247" t="s">
        <v>92</v>
      </c>
      <c r="B45" s="1457" t="s">
        <v>337</v>
      </c>
      <c r="C45" s="1457"/>
      <c r="D45" s="331">
        <f>D44+'P4 Form A-2 - Dental'!D49+'P3 Form A-1 Health Care'!D52</f>
        <v>69556740.813500077</v>
      </c>
      <c r="E45" s="331">
        <f>E44+'P4 Form A-2 - Dental'!E49+'P3 Form A-1 Health Care'!E52</f>
        <v>62598078.997933812</v>
      </c>
      <c r="F45" s="331">
        <f>F44+'P4 Form A-2 - Dental'!F49+'P3 Form A-1 Health Care'!F52</f>
        <v>132154819.81143388</v>
      </c>
      <c r="G45" s="331">
        <f>G44+'P4 Form A-2 - Dental'!G49+'P3 Form A-1 Health Care'!G52</f>
        <v>0</v>
      </c>
      <c r="H45" s="331">
        <f>H44+'P4 Form A-2 - Dental'!H49+'P3 Form A-1 Health Care'!H52</f>
        <v>132154819.81143388</v>
      </c>
      <c r="I45" s="331">
        <f>I44+'P4 Form A-2 - Dental'!I49+'P3 Form A-1 Health Care'!I52</f>
        <v>0</v>
      </c>
      <c r="J45" s="331">
        <f>J44+'P4 Form A-2 - Dental'!J49+'P3 Form A-1 Health Care'!J52</f>
        <v>132154819.81143388</v>
      </c>
    </row>
    <row r="46" spans="1:10" ht="14" thickTop="1" thickBot="1" x14ac:dyDescent="0.35">
      <c r="A46" s="248"/>
      <c r="B46" s="249"/>
      <c r="C46" s="249"/>
      <c r="D46" s="249"/>
      <c r="E46" s="250"/>
      <c r="F46" s="249"/>
      <c r="G46" s="249"/>
      <c r="H46" s="249"/>
      <c r="I46" s="249"/>
      <c r="J46" s="236"/>
    </row>
    <row r="47" spans="1:10" x14ac:dyDescent="0.3">
      <c r="A47" s="125"/>
    </row>
    <row r="48" spans="1:10" x14ac:dyDescent="0.3">
      <c r="A48" s="125"/>
    </row>
  </sheetData>
  <sheetProtection password="E1AE" sheet="1" formatColumns="0" formatRows="0"/>
  <mergeCells count="16">
    <mergeCell ref="A1:J1"/>
    <mergeCell ref="A2:J2"/>
    <mergeCell ref="A3:J3"/>
    <mergeCell ref="A4:J4"/>
    <mergeCell ref="I6:J6"/>
    <mergeCell ref="C8:H8"/>
    <mergeCell ref="E6:F6"/>
    <mergeCell ref="B30:C30"/>
    <mergeCell ref="B36:C36"/>
    <mergeCell ref="B45:C45"/>
    <mergeCell ref="A11:J11"/>
    <mergeCell ref="A14:C15"/>
    <mergeCell ref="B17:C17"/>
    <mergeCell ref="B18:C18"/>
    <mergeCell ref="B19:C19"/>
    <mergeCell ref="B20:C20"/>
  </mergeCells>
  <printOptions horizontalCentered="1" verticalCentered="1"/>
  <pageMargins left="0.25" right="0.25" top="0.25" bottom="0.5" header="0.5" footer="0.25"/>
  <pageSetup scale="82" orientation="landscape" r:id="rId1"/>
  <headerFooter alignWithMargins="0">
    <oddFooter>&amp;LDSS-16 10-24-2016&amp;RPage 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72F49-F983-43EC-87BC-3AA432117B1A}">
  <sheetPr>
    <tabColor rgb="FF92D050"/>
  </sheetPr>
  <dimension ref="A1:S38"/>
  <sheetViews>
    <sheetView topLeftCell="A5" zoomScaleNormal="100" workbookViewId="0">
      <selection activeCell="F37" sqref="F37"/>
    </sheetView>
  </sheetViews>
  <sheetFormatPr defaultColWidth="9.1796875" defaultRowHeight="12.5" x14ac:dyDescent="0.25"/>
  <cols>
    <col min="1" max="1" width="3.54296875" style="155" customWidth="1"/>
    <col min="2" max="3" width="16.453125" style="14" customWidth="1"/>
    <col min="4" max="4" width="15.453125" style="14" customWidth="1"/>
    <col min="5" max="5" width="19.453125" style="14" bestFit="1" customWidth="1"/>
    <col min="6" max="6" width="16.453125" style="14" customWidth="1"/>
    <col min="7" max="7" width="13.54296875" style="14" customWidth="1"/>
    <col min="8" max="8" width="17.7265625" style="14" customWidth="1"/>
    <col min="9" max="9" width="16.54296875" style="14" customWidth="1"/>
    <col min="10" max="16384" width="9.1796875" style="14"/>
  </cols>
  <sheetData>
    <row r="1" spans="1:19" ht="13.5" x14ac:dyDescent="0.35">
      <c r="A1" s="1396" t="s">
        <v>45</v>
      </c>
      <c r="B1" s="1396"/>
      <c r="C1" s="1396"/>
      <c r="D1" s="1396"/>
      <c r="E1" s="1396"/>
      <c r="F1" s="1396"/>
      <c r="G1" s="1396"/>
      <c r="H1" s="1396"/>
      <c r="I1" s="1396"/>
      <c r="J1" s="75"/>
      <c r="K1" s="75"/>
      <c r="L1" s="75"/>
      <c r="M1" s="75"/>
      <c r="N1" s="75"/>
      <c r="O1" s="75"/>
      <c r="P1" s="75"/>
      <c r="Q1" s="75"/>
      <c r="R1" s="75"/>
    </row>
    <row r="2" spans="1:19" ht="13.5" x14ac:dyDescent="0.35">
      <c r="A2" s="1396" t="s">
        <v>46</v>
      </c>
      <c r="B2" s="1396"/>
      <c r="C2" s="1396"/>
      <c r="D2" s="1396"/>
      <c r="E2" s="1396"/>
      <c r="F2" s="1396"/>
      <c r="G2" s="1396"/>
      <c r="H2" s="1396"/>
      <c r="I2" s="1396"/>
      <c r="J2" s="75"/>
      <c r="K2" s="75"/>
      <c r="L2" s="75"/>
      <c r="M2" s="75"/>
      <c r="N2" s="75"/>
      <c r="O2" s="75"/>
      <c r="P2" s="75"/>
      <c r="Q2" s="75"/>
      <c r="R2" s="75"/>
    </row>
    <row r="3" spans="1:19" ht="13.5" x14ac:dyDescent="0.35">
      <c r="A3" s="1396" t="s">
        <v>47</v>
      </c>
      <c r="B3" s="1396"/>
      <c r="C3" s="1396"/>
      <c r="D3" s="1396"/>
      <c r="E3" s="1396"/>
      <c r="F3" s="1396"/>
      <c r="G3" s="1396"/>
      <c r="H3" s="1396"/>
      <c r="I3" s="1396"/>
      <c r="J3" s="75"/>
      <c r="K3" s="75"/>
      <c r="L3" s="75"/>
      <c r="M3" s="75"/>
      <c r="N3" s="75"/>
      <c r="O3" s="75"/>
      <c r="P3" s="75"/>
      <c r="Q3" s="75"/>
      <c r="R3" s="75"/>
    </row>
    <row r="4" spans="1:19" ht="13.5" x14ac:dyDescent="0.35">
      <c r="A4" s="1396" t="s">
        <v>48</v>
      </c>
      <c r="B4" s="1396"/>
      <c r="C4" s="1396"/>
      <c r="D4" s="1396"/>
      <c r="E4" s="1396"/>
      <c r="F4" s="1396"/>
      <c r="G4" s="1396"/>
      <c r="H4" s="1396"/>
      <c r="I4" s="1396"/>
      <c r="J4" s="75"/>
      <c r="K4" s="75"/>
      <c r="L4" s="75"/>
      <c r="M4" s="75"/>
      <c r="N4" s="75"/>
      <c r="O4" s="75"/>
      <c r="P4" s="75"/>
      <c r="Q4" s="75"/>
      <c r="R4" s="75"/>
    </row>
    <row r="5" spans="1:19" ht="14" thickBot="1" x14ac:dyDescent="0.4">
      <c r="A5" s="151"/>
      <c r="B5" s="12"/>
      <c r="C5" s="12"/>
      <c r="D5" s="12"/>
      <c r="E5" s="12"/>
      <c r="F5" s="440"/>
      <c r="G5" s="440"/>
      <c r="H5" s="440"/>
      <c r="I5" s="440"/>
      <c r="J5" s="85"/>
      <c r="K5" s="85"/>
      <c r="L5" s="85"/>
      <c r="M5" s="85"/>
      <c r="N5" s="85"/>
      <c r="O5" s="85"/>
      <c r="P5" s="85"/>
      <c r="Q5" s="85"/>
      <c r="R5" s="85"/>
    </row>
    <row r="6" spans="1:19" ht="21.75" customHeight="1" x14ac:dyDescent="0.35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45108</v>
      </c>
      <c r="G6" s="148"/>
      <c r="H6" s="95" t="str">
        <f>'P1 Info &amp; Certification'!M20</f>
        <v>To</v>
      </c>
      <c r="I6" s="443">
        <f>'P1 Info &amp; Certification'!N20</f>
        <v>45473</v>
      </c>
      <c r="J6" s="147"/>
      <c r="K6" s="89"/>
      <c r="L6" s="13"/>
      <c r="M6" s="88"/>
      <c r="N6" s="32"/>
      <c r="O6" s="147"/>
      <c r="P6" s="147"/>
      <c r="Q6" s="32"/>
      <c r="R6" s="146"/>
      <c r="S6" s="146"/>
    </row>
    <row r="7" spans="1:19" ht="13" x14ac:dyDescent="0.3">
      <c r="A7" s="153"/>
      <c r="B7" s="458"/>
      <c r="C7" s="458"/>
      <c r="D7" s="458"/>
      <c r="E7" s="458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3">
      <c r="A8" s="154"/>
      <c r="B8" s="84" t="s">
        <v>59</v>
      </c>
      <c r="C8" s="1397" t="str">
        <f>'P1 Info &amp; Certification'!E12</f>
        <v>COMMUNITY HEALTH CENTER, INC.</v>
      </c>
      <c r="D8" s="1397"/>
      <c r="E8" s="1397"/>
      <c r="F8" s="1397"/>
      <c r="G8" s="1397"/>
      <c r="H8" s="1397"/>
      <c r="I8" s="464"/>
      <c r="J8" s="145"/>
      <c r="K8" s="145"/>
      <c r="L8" s="145"/>
      <c r="M8" s="145"/>
      <c r="N8" s="145"/>
      <c r="O8" s="145"/>
      <c r="P8" s="145"/>
      <c r="Q8" s="145"/>
      <c r="R8" s="146"/>
      <c r="S8" s="146"/>
    </row>
    <row r="9" spans="1:19" ht="13" x14ac:dyDescent="0.25">
      <c r="A9" s="471"/>
      <c r="B9" s="472"/>
      <c r="C9" s="472"/>
      <c r="D9" s="472"/>
      <c r="E9" s="472"/>
      <c r="F9" s="472"/>
      <c r="G9" s="472"/>
      <c r="H9" s="472"/>
      <c r="I9" s="472"/>
      <c r="J9" s="43"/>
      <c r="K9" s="43"/>
      <c r="L9" s="43"/>
      <c r="M9" s="43"/>
      <c r="N9" s="43"/>
      <c r="O9" s="43"/>
      <c r="P9" s="43"/>
      <c r="Q9" s="43"/>
      <c r="R9" s="146"/>
      <c r="S9" s="146"/>
    </row>
    <row r="10" spans="1:19" x14ac:dyDescent="0.25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35">
      <c r="A11" s="156"/>
      <c r="B11" s="146"/>
      <c r="C11" s="146"/>
      <c r="D11" s="146"/>
      <c r="E11" s="146"/>
      <c r="F11" s="146"/>
      <c r="G11" s="146"/>
      <c r="H11" s="146"/>
      <c r="I11" s="296" t="s">
        <v>274</v>
      </c>
    </row>
    <row r="12" spans="1:19" ht="28.5" customHeight="1" x14ac:dyDescent="0.35">
      <c r="A12" s="1465" t="s">
        <v>273</v>
      </c>
      <c r="B12" s="1466"/>
      <c r="C12" s="1466"/>
      <c r="D12" s="1466"/>
      <c r="E12" s="1467"/>
      <c r="F12" s="1467"/>
      <c r="G12" s="1467"/>
      <c r="H12" s="1466"/>
      <c r="I12" s="1468"/>
    </row>
    <row r="13" spans="1:19" ht="13" x14ac:dyDescent="0.3">
      <c r="A13" s="1477" t="s">
        <v>267</v>
      </c>
      <c r="B13" s="1478"/>
      <c r="C13" s="1478"/>
      <c r="D13" s="1478"/>
      <c r="E13" s="369"/>
      <c r="F13" s="366"/>
      <c r="G13" s="413"/>
      <c r="H13" s="1469" t="s">
        <v>271</v>
      </c>
      <c r="I13" s="1470"/>
    </row>
    <row r="14" spans="1:19" ht="13" x14ac:dyDescent="0.3">
      <c r="A14" s="1479"/>
      <c r="B14" s="1480"/>
      <c r="C14" s="1480"/>
      <c r="D14" s="1480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3">
      <c r="A15" s="1481"/>
      <c r="B15" s="1461"/>
      <c r="C15" s="1461"/>
      <c r="D15" s="1461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3">
      <c r="A16" s="452"/>
      <c r="B16" s="447"/>
      <c r="C16" s="447"/>
      <c r="D16" s="447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10" ht="12.75" customHeight="1" x14ac:dyDescent="0.3">
      <c r="A17" s="298"/>
      <c r="B17" s="1458" t="s">
        <v>268</v>
      </c>
      <c r="C17" s="1459"/>
      <c r="D17" s="1459"/>
      <c r="E17" s="372" t="s">
        <v>269</v>
      </c>
      <c r="F17" s="411">
        <v>125000</v>
      </c>
      <c r="G17" s="365">
        <v>1500</v>
      </c>
      <c r="H17" s="337">
        <v>1040</v>
      </c>
      <c r="I17" s="341">
        <f>H17/2080</f>
        <v>0.5</v>
      </c>
    </row>
    <row r="18" spans="1:10" ht="19.5" customHeight="1" x14ac:dyDescent="0.3">
      <c r="A18" s="207" t="s">
        <v>83</v>
      </c>
      <c r="B18" s="1460" t="s">
        <v>229</v>
      </c>
      <c r="C18" s="1461"/>
      <c r="D18" s="1461"/>
      <c r="E18" s="371"/>
      <c r="F18" s="412"/>
      <c r="G18" s="338"/>
      <c r="H18" s="339"/>
      <c r="I18" s="342"/>
    </row>
    <row r="19" spans="1:10" ht="19.5" customHeight="1" x14ac:dyDescent="0.25">
      <c r="A19" s="474" t="s">
        <v>49</v>
      </c>
      <c r="B19" s="1462" t="s">
        <v>474</v>
      </c>
      <c r="C19" s="1463"/>
      <c r="D19" s="1464"/>
      <c r="E19" s="475"/>
      <c r="F19" s="394">
        <f>+'P3 Form A-1 Health Care'!D19</f>
        <v>8589636.1410780661</v>
      </c>
      <c r="G19" s="476">
        <f>+'Form B-1 Detail'!G66</f>
        <v>134142</v>
      </c>
      <c r="H19" s="394">
        <f>+'Form B-1 Detail'!H66</f>
        <v>90631</v>
      </c>
      <c r="I19" s="373">
        <f>ROUND(H19/2080,2)</f>
        <v>43.57</v>
      </c>
    </row>
    <row r="20" spans="1:10" ht="19.5" customHeight="1" x14ac:dyDescent="0.25">
      <c r="A20" s="474" t="s">
        <v>50</v>
      </c>
      <c r="B20" s="1462"/>
      <c r="C20" s="1463"/>
      <c r="D20" s="1464"/>
      <c r="E20" s="475"/>
      <c r="F20" s="394"/>
      <c r="G20" s="477"/>
      <c r="H20" s="394"/>
      <c r="I20" s="373">
        <f t="shared" ref="I20:I28" si="0">ROUND(H20/2080,2)</f>
        <v>0</v>
      </c>
    </row>
    <row r="21" spans="1:10" ht="19.5" customHeight="1" x14ac:dyDescent="0.25">
      <c r="A21" s="474" t="s">
        <v>82</v>
      </c>
      <c r="B21" s="1462"/>
      <c r="C21" s="1463"/>
      <c r="D21" s="1464"/>
      <c r="E21" s="475"/>
      <c r="F21" s="394"/>
      <c r="G21" s="476"/>
      <c r="H21" s="394"/>
      <c r="I21" s="373">
        <f t="shared" si="0"/>
        <v>0</v>
      </c>
    </row>
    <row r="22" spans="1:10" ht="19.5" customHeight="1" x14ac:dyDescent="0.25">
      <c r="A22" s="474" t="s">
        <v>51</v>
      </c>
      <c r="B22" s="1462"/>
      <c r="C22" s="1463"/>
      <c r="D22" s="1464"/>
      <c r="E22" s="475"/>
      <c r="F22" s="394"/>
      <c r="G22" s="477"/>
      <c r="H22" s="394"/>
      <c r="I22" s="373">
        <f t="shared" si="0"/>
        <v>0</v>
      </c>
    </row>
    <row r="23" spans="1:10" ht="19.5" customHeight="1" x14ac:dyDescent="0.25">
      <c r="A23" s="474" t="s">
        <v>156</v>
      </c>
      <c r="B23" s="1462"/>
      <c r="C23" s="1463"/>
      <c r="D23" s="1464"/>
      <c r="E23" s="475"/>
      <c r="F23" s="394"/>
      <c r="G23" s="477"/>
      <c r="H23" s="394"/>
      <c r="I23" s="373">
        <f t="shared" si="0"/>
        <v>0</v>
      </c>
    </row>
    <row r="24" spans="1:10" ht="19.5" customHeight="1" x14ac:dyDescent="0.25">
      <c r="A24" s="474" t="s">
        <v>55</v>
      </c>
      <c r="B24" s="1462"/>
      <c r="C24" s="1463"/>
      <c r="D24" s="1464"/>
      <c r="E24" s="475"/>
      <c r="F24" s="394"/>
      <c r="G24" s="477"/>
      <c r="H24" s="394"/>
      <c r="I24" s="373">
        <f t="shared" si="0"/>
        <v>0</v>
      </c>
    </row>
    <row r="25" spans="1:10" ht="19.5" customHeight="1" x14ac:dyDescent="0.25">
      <c r="A25" s="474" t="s">
        <v>56</v>
      </c>
      <c r="B25" s="1462"/>
      <c r="C25" s="1463"/>
      <c r="D25" s="1464"/>
      <c r="E25" s="475"/>
      <c r="F25" s="394"/>
      <c r="G25" s="477"/>
      <c r="H25" s="394"/>
      <c r="I25" s="373">
        <f t="shared" si="0"/>
        <v>0</v>
      </c>
    </row>
    <row r="26" spans="1:10" ht="19.5" customHeight="1" x14ac:dyDescent="0.25">
      <c r="A26" s="474" t="s">
        <v>161</v>
      </c>
      <c r="B26" s="1462"/>
      <c r="C26" s="1463"/>
      <c r="D26" s="1464"/>
      <c r="E26" s="475"/>
      <c r="F26" s="394"/>
      <c r="G26" s="477"/>
      <c r="H26" s="394"/>
      <c r="I26" s="373">
        <f t="shared" si="0"/>
        <v>0</v>
      </c>
    </row>
    <row r="27" spans="1:10" ht="19.5" customHeight="1" x14ac:dyDescent="0.25">
      <c r="A27" s="474" t="s">
        <v>162</v>
      </c>
      <c r="B27" s="1462"/>
      <c r="C27" s="1463"/>
      <c r="D27" s="1464"/>
      <c r="E27" s="475"/>
      <c r="F27" s="394"/>
      <c r="G27" s="477"/>
      <c r="H27" s="394"/>
      <c r="I27" s="373">
        <f t="shared" si="0"/>
        <v>0</v>
      </c>
    </row>
    <row r="28" spans="1:10" ht="19.5" customHeight="1" x14ac:dyDescent="0.25">
      <c r="A28" s="474" t="s">
        <v>163</v>
      </c>
      <c r="B28" s="1462"/>
      <c r="C28" s="1463"/>
      <c r="D28" s="1464"/>
      <c r="E28" s="475"/>
      <c r="F28" s="394"/>
      <c r="G28" s="477"/>
      <c r="H28" s="394"/>
      <c r="I28" s="373">
        <f t="shared" si="0"/>
        <v>0</v>
      </c>
    </row>
    <row r="29" spans="1:10" ht="24.75" customHeight="1" thickBot="1" x14ac:dyDescent="0.35">
      <c r="A29" s="253"/>
      <c r="B29" s="1482" t="s">
        <v>255</v>
      </c>
      <c r="C29" s="1483"/>
      <c r="D29" s="1484"/>
      <c r="E29" s="397"/>
      <c r="F29" s="473">
        <f>SUM(F19:F28)</f>
        <v>8589636.1410780661</v>
      </c>
      <c r="G29" s="473">
        <f>SUM(G19:G28)</f>
        <v>134142</v>
      </c>
      <c r="H29" s="473">
        <f>SUM(H19:H28)</f>
        <v>90631</v>
      </c>
      <c r="I29" s="395">
        <f>SUM(I19:I28)</f>
        <v>43.57</v>
      </c>
    </row>
    <row r="30" spans="1:10" ht="19.5" customHeight="1" thickTop="1" x14ac:dyDescent="0.25">
      <c r="A30" s="253"/>
      <c r="B30" s="1485"/>
      <c r="C30" s="1485"/>
      <c r="D30" s="1485"/>
      <c r="E30" s="454"/>
      <c r="F30" s="295"/>
      <c r="G30" s="294"/>
      <c r="H30" s="295"/>
      <c r="I30" s="396"/>
      <c r="J30" s="146"/>
    </row>
    <row r="31" spans="1:10" ht="19.5" customHeight="1" x14ac:dyDescent="0.3">
      <c r="A31" s="389" t="s">
        <v>84</v>
      </c>
      <c r="B31" s="1486" t="s">
        <v>206</v>
      </c>
      <c r="C31" s="1486"/>
      <c r="D31" s="1486"/>
      <c r="E31" s="455"/>
      <c r="F31" s="338"/>
      <c r="G31" s="338"/>
      <c r="H31" s="390"/>
      <c r="I31" s="391"/>
    </row>
    <row r="32" spans="1:10" ht="19.5" customHeight="1" x14ac:dyDescent="0.25">
      <c r="A32" s="474" t="s">
        <v>49</v>
      </c>
      <c r="B32" s="1462" t="s">
        <v>474</v>
      </c>
      <c r="C32" s="1463"/>
      <c r="D32" s="1464"/>
      <c r="E32" s="479"/>
      <c r="F32" s="392">
        <f>+'P3 Form A-1 Health Care'!D20</f>
        <v>1355175.6942243862</v>
      </c>
      <c r="G32" s="480">
        <f>+'Form B-1 Detail'!G106</f>
        <v>30962</v>
      </c>
      <c r="H32" s="392">
        <f>+'Form B-1 Detail'!H106</f>
        <v>19918</v>
      </c>
      <c r="I32" s="393">
        <f>ROUND(H32/2080,2)</f>
        <v>9.58</v>
      </c>
    </row>
    <row r="33" spans="1:9" ht="19.5" customHeight="1" x14ac:dyDescent="0.25">
      <c r="A33" s="474" t="s">
        <v>50</v>
      </c>
      <c r="B33" s="1471"/>
      <c r="C33" s="1472"/>
      <c r="D33" s="1473"/>
      <c r="E33" s="475"/>
      <c r="F33" s="394"/>
      <c r="G33" s="477"/>
      <c r="H33" s="394"/>
      <c r="I33" s="393">
        <f>ROUND(H33/2080,2)</f>
        <v>0</v>
      </c>
    </row>
    <row r="34" spans="1:9" ht="19.5" customHeight="1" x14ac:dyDescent="0.25">
      <c r="A34" s="474" t="s">
        <v>82</v>
      </c>
      <c r="B34" s="1471"/>
      <c r="C34" s="1472"/>
      <c r="D34" s="1473"/>
      <c r="E34" s="475"/>
      <c r="F34" s="394"/>
      <c r="G34" s="477"/>
      <c r="H34" s="394"/>
      <c r="I34" s="393">
        <f>ROUND(H34/2080,2)</f>
        <v>0</v>
      </c>
    </row>
    <row r="35" spans="1:9" ht="19.5" customHeight="1" x14ac:dyDescent="0.25">
      <c r="A35" s="474" t="s">
        <v>51</v>
      </c>
      <c r="B35" s="1471"/>
      <c r="C35" s="1472"/>
      <c r="D35" s="1473"/>
      <c r="E35" s="475"/>
      <c r="F35" s="394"/>
      <c r="G35" s="477"/>
      <c r="H35" s="394"/>
      <c r="I35" s="393">
        <f>ROUND(H35/2080,2)</f>
        <v>0</v>
      </c>
    </row>
    <row r="36" spans="1:9" ht="19.5" customHeight="1" x14ac:dyDescent="0.25">
      <c r="A36" s="474" t="s">
        <v>156</v>
      </c>
      <c r="B36" s="1471"/>
      <c r="C36" s="1472"/>
      <c r="D36" s="1473"/>
      <c r="E36" s="475"/>
      <c r="F36" s="394"/>
      <c r="G36" s="477"/>
      <c r="H36" s="394"/>
      <c r="I36" s="393">
        <f>ROUND(H36/2080,2)</f>
        <v>0</v>
      </c>
    </row>
    <row r="37" spans="1:9" ht="24.75" customHeight="1" thickBot="1" x14ac:dyDescent="0.35">
      <c r="A37" s="293"/>
      <c r="B37" s="1474" t="s">
        <v>256</v>
      </c>
      <c r="C37" s="1475"/>
      <c r="D37" s="1476"/>
      <c r="E37" s="453"/>
      <c r="F37" s="473">
        <f>SUM(F32:F36)</f>
        <v>1355175.6942243862</v>
      </c>
      <c r="G37" s="473">
        <f>SUM(G32:G36)</f>
        <v>30962</v>
      </c>
      <c r="H37" s="473">
        <f>SUM(H32:H36)</f>
        <v>19918</v>
      </c>
      <c r="I37" s="395">
        <f>SUM(I32:I36)</f>
        <v>9.58</v>
      </c>
    </row>
    <row r="38" spans="1:9" ht="13" thickTop="1" x14ac:dyDescent="0.25"/>
  </sheetData>
  <sheetProtection password="E1AE" sheet="1" formatColumns="0" formatRows="0"/>
  <mergeCells count="29">
    <mergeCell ref="B34:D34"/>
    <mergeCell ref="B37:D37"/>
    <mergeCell ref="A13:D15"/>
    <mergeCell ref="B35:D35"/>
    <mergeCell ref="B36:D36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18:D18"/>
    <mergeCell ref="B19:D19"/>
    <mergeCell ref="B20:D20"/>
    <mergeCell ref="B21:D21"/>
    <mergeCell ref="A12:I12"/>
    <mergeCell ref="H13:I13"/>
    <mergeCell ref="A1:I1"/>
    <mergeCell ref="A2:I2"/>
    <mergeCell ref="A3:I3"/>
    <mergeCell ref="A4:I4"/>
    <mergeCell ref="C8:H8"/>
    <mergeCell ref="B17:D17"/>
  </mergeCells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4E661-0BE5-40D9-93C4-10AB1C079754}">
  <sheetPr>
    <tabColor rgb="FF92D050"/>
  </sheetPr>
  <dimension ref="A1:S39"/>
  <sheetViews>
    <sheetView zoomScaleNormal="100" workbookViewId="0">
      <selection activeCell="L19" sqref="L19"/>
    </sheetView>
  </sheetViews>
  <sheetFormatPr defaultColWidth="9.1796875" defaultRowHeight="12.5" x14ac:dyDescent="0.25"/>
  <cols>
    <col min="1" max="1" width="3.54296875" style="155" customWidth="1"/>
    <col min="2" max="3" width="16.453125" style="14" customWidth="1"/>
    <col min="4" max="4" width="15.453125" style="14" customWidth="1"/>
    <col min="5" max="5" width="19.453125" style="14" bestFit="1" customWidth="1"/>
    <col min="6" max="6" width="16.453125" style="14" customWidth="1"/>
    <col min="7" max="7" width="13.54296875" style="14" customWidth="1"/>
    <col min="8" max="8" width="17.7265625" style="14" customWidth="1"/>
    <col min="9" max="9" width="16.54296875" style="14" customWidth="1"/>
    <col min="10" max="16384" width="9.1796875" style="14"/>
  </cols>
  <sheetData>
    <row r="1" spans="1:19" ht="13.5" x14ac:dyDescent="0.35">
      <c r="A1" s="1396" t="s">
        <v>45</v>
      </c>
      <c r="B1" s="1396"/>
      <c r="C1" s="1396"/>
      <c r="D1" s="1396"/>
      <c r="E1" s="1396"/>
      <c r="F1" s="1396"/>
      <c r="G1" s="1396"/>
      <c r="H1" s="1396"/>
      <c r="I1" s="1396"/>
      <c r="J1" s="75"/>
      <c r="K1" s="75"/>
      <c r="L1" s="75"/>
      <c r="M1" s="75"/>
      <c r="N1" s="75"/>
      <c r="O1" s="75"/>
      <c r="P1" s="75"/>
      <c r="Q1" s="75"/>
      <c r="R1" s="75"/>
    </row>
    <row r="2" spans="1:19" ht="13.5" x14ac:dyDescent="0.35">
      <c r="A2" s="1396" t="s">
        <v>46</v>
      </c>
      <c r="B2" s="1396"/>
      <c r="C2" s="1396"/>
      <c r="D2" s="1396"/>
      <c r="E2" s="1396"/>
      <c r="F2" s="1396"/>
      <c r="G2" s="1396"/>
      <c r="H2" s="1396"/>
      <c r="I2" s="1396"/>
      <c r="J2" s="75"/>
      <c r="K2" s="75"/>
      <c r="L2" s="75"/>
      <c r="M2" s="75"/>
      <c r="N2" s="75"/>
      <c r="O2" s="75"/>
      <c r="P2" s="75"/>
      <c r="Q2" s="75"/>
      <c r="R2" s="75"/>
    </row>
    <row r="3" spans="1:19" ht="13.5" x14ac:dyDescent="0.35">
      <c r="A3" s="1396" t="s">
        <v>47</v>
      </c>
      <c r="B3" s="1396"/>
      <c r="C3" s="1396"/>
      <c r="D3" s="1396"/>
      <c r="E3" s="1396"/>
      <c r="F3" s="1396"/>
      <c r="G3" s="1396"/>
      <c r="H3" s="1396"/>
      <c r="I3" s="1396"/>
      <c r="J3" s="75"/>
      <c r="K3" s="75"/>
      <c r="L3" s="75"/>
      <c r="M3" s="75"/>
      <c r="N3" s="75"/>
      <c r="O3" s="75"/>
      <c r="P3" s="75"/>
      <c r="Q3" s="75"/>
      <c r="R3" s="75"/>
    </row>
    <row r="4" spans="1:19" ht="13.5" x14ac:dyDescent="0.35">
      <c r="A4" s="1396" t="s">
        <v>48</v>
      </c>
      <c r="B4" s="1396"/>
      <c r="C4" s="1396"/>
      <c r="D4" s="1396"/>
      <c r="E4" s="1396"/>
      <c r="F4" s="1396"/>
      <c r="G4" s="1396"/>
      <c r="H4" s="1396"/>
      <c r="I4" s="1396"/>
      <c r="J4" s="75"/>
      <c r="K4" s="75"/>
      <c r="L4" s="75"/>
      <c r="M4" s="75"/>
      <c r="N4" s="75"/>
      <c r="O4" s="75"/>
      <c r="P4" s="75"/>
      <c r="Q4" s="75"/>
      <c r="R4" s="75"/>
    </row>
    <row r="5" spans="1:19" ht="14" thickBot="1" x14ac:dyDescent="0.4">
      <c r="A5" s="151"/>
      <c r="B5" s="12"/>
      <c r="C5" s="12"/>
      <c r="D5" s="12"/>
      <c r="E5" s="12"/>
      <c r="F5" s="440"/>
      <c r="G5" s="440"/>
      <c r="H5" s="440"/>
      <c r="I5" s="440"/>
      <c r="J5" s="314"/>
      <c r="K5" s="314"/>
      <c r="L5" s="314"/>
      <c r="M5" s="314"/>
      <c r="N5" s="314"/>
      <c r="O5" s="314"/>
      <c r="P5" s="314"/>
      <c r="Q5" s="314"/>
      <c r="R5" s="314"/>
    </row>
    <row r="6" spans="1:19" ht="21.75" customHeight="1" x14ac:dyDescent="0.35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45108</v>
      </c>
      <c r="G6" s="148"/>
      <c r="H6" s="95" t="str">
        <f>'P1 Info &amp; Certification'!M20</f>
        <v>To</v>
      </c>
      <c r="I6" s="443">
        <f>'P1 Info &amp; Certification'!N20</f>
        <v>45473</v>
      </c>
      <c r="J6" s="147"/>
      <c r="K6" s="319"/>
      <c r="L6" s="13"/>
      <c r="M6" s="316"/>
      <c r="N6" s="318"/>
      <c r="O6" s="147"/>
      <c r="P6" s="147"/>
      <c r="Q6" s="318"/>
      <c r="R6" s="146"/>
      <c r="S6" s="146"/>
    </row>
    <row r="7" spans="1:19" ht="13" x14ac:dyDescent="0.3">
      <c r="A7" s="153"/>
      <c r="B7" s="458"/>
      <c r="C7" s="458"/>
      <c r="D7" s="458"/>
      <c r="E7" s="458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3">
      <c r="A8" s="154"/>
      <c r="B8" s="84" t="s">
        <v>59</v>
      </c>
      <c r="C8" s="1397" t="str">
        <f>'P1 Info &amp; Certification'!E12</f>
        <v>COMMUNITY HEALTH CENTER, INC.</v>
      </c>
      <c r="D8" s="1397"/>
      <c r="E8" s="1397"/>
      <c r="F8" s="1397"/>
      <c r="G8" s="1397"/>
      <c r="H8" s="1397"/>
      <c r="I8" s="464"/>
      <c r="J8" s="317"/>
      <c r="K8" s="317"/>
      <c r="L8" s="317"/>
      <c r="M8" s="317"/>
      <c r="N8" s="317"/>
      <c r="O8" s="317"/>
      <c r="P8" s="317"/>
      <c r="Q8" s="317"/>
      <c r="R8" s="146"/>
      <c r="S8" s="146"/>
    </row>
    <row r="9" spans="1:19" ht="13" x14ac:dyDescent="0.25">
      <c r="A9" s="471"/>
      <c r="B9" s="472"/>
      <c r="C9" s="472"/>
      <c r="D9" s="472"/>
      <c r="E9" s="472"/>
      <c r="F9" s="472"/>
      <c r="G9" s="472"/>
      <c r="H9" s="472"/>
      <c r="I9" s="472"/>
      <c r="J9" s="315"/>
      <c r="K9" s="315"/>
      <c r="L9" s="315"/>
      <c r="M9" s="315"/>
      <c r="N9" s="315"/>
      <c r="O9" s="315"/>
      <c r="P9" s="315"/>
      <c r="Q9" s="315"/>
      <c r="R9" s="146"/>
      <c r="S9" s="146"/>
    </row>
    <row r="10" spans="1:19" x14ac:dyDescent="0.25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35">
      <c r="A11" s="156"/>
      <c r="B11" s="146"/>
      <c r="C11" s="146"/>
      <c r="D11" s="146"/>
      <c r="E11" s="146"/>
      <c r="F11" s="146"/>
      <c r="G11" s="146"/>
      <c r="H11" s="146"/>
      <c r="I11" s="296" t="s">
        <v>275</v>
      </c>
    </row>
    <row r="12" spans="1:19" ht="28.5" customHeight="1" x14ac:dyDescent="0.35">
      <c r="A12" s="1465" t="s">
        <v>273</v>
      </c>
      <c r="B12" s="1466"/>
      <c r="C12" s="1466"/>
      <c r="D12" s="1466"/>
      <c r="E12" s="1466"/>
      <c r="F12" s="1466"/>
      <c r="G12" s="1466"/>
      <c r="H12" s="1466"/>
      <c r="I12" s="1468"/>
    </row>
    <row r="13" spans="1:19" ht="12.75" customHeight="1" x14ac:dyDescent="0.3">
      <c r="A13" s="1477" t="s">
        <v>267</v>
      </c>
      <c r="B13" s="1478"/>
      <c r="C13" s="1478"/>
      <c r="D13" s="1478"/>
      <c r="E13" s="369"/>
      <c r="F13" s="366"/>
      <c r="G13" s="413"/>
      <c r="H13" s="1469" t="s">
        <v>271</v>
      </c>
      <c r="I13" s="1470"/>
    </row>
    <row r="14" spans="1:19" ht="13" x14ac:dyDescent="0.3">
      <c r="A14" s="1479"/>
      <c r="B14" s="1480"/>
      <c r="C14" s="1480"/>
      <c r="D14" s="1480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3">
      <c r="A15" s="1481"/>
      <c r="B15" s="1461"/>
      <c r="C15" s="1461"/>
      <c r="D15" s="1461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3">
      <c r="A16" s="452"/>
      <c r="B16" s="447"/>
      <c r="C16" s="447"/>
      <c r="D16" s="447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9" ht="12.75" customHeight="1" x14ac:dyDescent="0.3">
      <c r="A17" s="298"/>
      <c r="B17" s="1458" t="s">
        <v>268</v>
      </c>
      <c r="C17" s="1459"/>
      <c r="D17" s="1459"/>
      <c r="E17" s="386" t="s">
        <v>269</v>
      </c>
      <c r="F17" s="387">
        <v>125000</v>
      </c>
      <c r="G17" s="387">
        <v>1500</v>
      </c>
      <c r="H17" s="347">
        <v>1040</v>
      </c>
      <c r="I17" s="348">
        <f>H17/2080</f>
        <v>0.5</v>
      </c>
    </row>
    <row r="18" spans="1:9" ht="19.5" customHeight="1" x14ac:dyDescent="0.3">
      <c r="A18" s="207" t="s">
        <v>91</v>
      </c>
      <c r="B18" s="1487" t="s">
        <v>287</v>
      </c>
      <c r="C18" s="1488"/>
      <c r="D18" s="1488"/>
      <c r="E18" s="455"/>
      <c r="F18" s="338"/>
      <c r="G18" s="338"/>
      <c r="H18" s="390"/>
      <c r="I18" s="391"/>
    </row>
    <row r="19" spans="1:9" ht="19.5" customHeight="1" x14ac:dyDescent="0.25">
      <c r="A19" s="474" t="s">
        <v>49</v>
      </c>
      <c r="B19" s="1462" t="s">
        <v>474</v>
      </c>
      <c r="C19" s="1463"/>
      <c r="D19" s="1463"/>
      <c r="E19" s="482"/>
      <c r="F19" s="378">
        <f>+'P3 Form A-1 Health Care'!D21</f>
        <v>14632712.606656689</v>
      </c>
      <c r="G19" s="480">
        <f>+'Form B-1 Detail'!G66</f>
        <v>134142</v>
      </c>
      <c r="H19" s="480">
        <f>+'Form B-1 Detail'!H66</f>
        <v>90631</v>
      </c>
      <c r="I19" s="393">
        <f>ROUND(H19/2080,2)</f>
        <v>43.57</v>
      </c>
    </row>
    <row r="20" spans="1:9" ht="19.5" customHeight="1" x14ac:dyDescent="0.25">
      <c r="A20" s="474" t="s">
        <v>50</v>
      </c>
      <c r="B20" s="1462"/>
      <c r="C20" s="1463"/>
      <c r="D20" s="1463"/>
      <c r="E20" s="483"/>
      <c r="F20" s="379"/>
      <c r="G20" s="477"/>
      <c r="H20" s="394"/>
      <c r="I20" s="393">
        <f>ROUND(H20/2080,2)</f>
        <v>0</v>
      </c>
    </row>
    <row r="21" spans="1:9" ht="19.5" customHeight="1" x14ac:dyDescent="0.25">
      <c r="A21" s="474" t="s">
        <v>82</v>
      </c>
      <c r="B21" s="1462"/>
      <c r="C21" s="1463"/>
      <c r="D21" s="1463"/>
      <c r="E21" s="483"/>
      <c r="F21" s="379"/>
      <c r="G21" s="477"/>
      <c r="H21" s="394"/>
      <c r="I21" s="393">
        <f>ROUND(H21/2080,2)</f>
        <v>0</v>
      </c>
    </row>
    <row r="22" spans="1:9" ht="19.5" customHeight="1" x14ac:dyDescent="0.25">
      <c r="A22" s="474" t="s">
        <v>51</v>
      </c>
      <c r="B22" s="484"/>
      <c r="C22" s="485"/>
      <c r="D22" s="485"/>
      <c r="E22" s="483"/>
      <c r="F22" s="379"/>
      <c r="G22" s="477"/>
      <c r="H22" s="394"/>
      <c r="I22" s="393">
        <f>ROUND(H22/2080,2)</f>
        <v>0</v>
      </c>
    </row>
    <row r="23" spans="1:9" ht="19.5" customHeight="1" x14ac:dyDescent="0.25">
      <c r="A23" s="474" t="s">
        <v>156</v>
      </c>
      <c r="B23" s="484"/>
      <c r="C23" s="485"/>
      <c r="D23" s="485"/>
      <c r="E23" s="483"/>
      <c r="F23" s="379"/>
      <c r="G23" s="477"/>
      <c r="H23" s="394"/>
      <c r="I23" s="393">
        <f>ROUND(H23/2080,2)</f>
        <v>0</v>
      </c>
    </row>
    <row r="24" spans="1:9" ht="24.75" customHeight="1" thickBot="1" x14ac:dyDescent="0.35">
      <c r="A24" s="293"/>
      <c r="B24" s="1482" t="s">
        <v>276</v>
      </c>
      <c r="C24" s="1483"/>
      <c r="D24" s="1483"/>
      <c r="E24" s="388"/>
      <c r="F24" s="481">
        <f>SUM(F19:F23)</f>
        <v>14632712.606656689</v>
      </c>
      <c r="G24" s="473">
        <f>SUM(G19:G23)</f>
        <v>134142</v>
      </c>
      <c r="H24" s="473">
        <f>SUM(H19:H23)</f>
        <v>90631</v>
      </c>
      <c r="I24" s="395">
        <f>SUM(I19:I23)</f>
        <v>43.57</v>
      </c>
    </row>
    <row r="25" spans="1:9" ht="19.5" customHeight="1" thickTop="1" x14ac:dyDescent="0.3">
      <c r="A25" s="293"/>
      <c r="B25" s="375"/>
      <c r="C25" s="375"/>
      <c r="D25" s="375"/>
      <c r="E25" s="375"/>
      <c r="F25" s="368"/>
      <c r="G25" s="294"/>
      <c r="H25" s="295"/>
      <c r="I25" s="374"/>
    </row>
    <row r="26" spans="1:9" ht="19.5" customHeight="1" x14ac:dyDescent="0.3">
      <c r="A26" s="207" t="s">
        <v>92</v>
      </c>
      <c r="B26" s="1486" t="s">
        <v>207</v>
      </c>
      <c r="C26" s="1486"/>
      <c r="D26" s="1486"/>
      <c r="E26" s="455"/>
      <c r="F26" s="338"/>
      <c r="G26" s="338"/>
      <c r="H26" s="390"/>
      <c r="I26" s="391"/>
    </row>
    <row r="27" spans="1:9" ht="19.5" customHeight="1" x14ac:dyDescent="0.25">
      <c r="A27" s="474" t="s">
        <v>49</v>
      </c>
      <c r="B27" s="1462" t="s">
        <v>474</v>
      </c>
      <c r="C27" s="1463"/>
      <c r="D27" s="1463"/>
      <c r="E27" s="486"/>
      <c r="F27" s="392"/>
      <c r="G27" s="480">
        <f>+'Form B-1 Detail'!G486</f>
        <v>0</v>
      </c>
      <c r="H27" s="480">
        <f>+'Form B-1 Detail'!H486</f>
        <v>0</v>
      </c>
      <c r="I27" s="393">
        <f>ROUND(H27/2080,2)</f>
        <v>0</v>
      </c>
    </row>
    <row r="28" spans="1:9" ht="19.5" customHeight="1" x14ac:dyDescent="0.25">
      <c r="A28" s="474" t="s">
        <v>50</v>
      </c>
      <c r="B28" s="1471"/>
      <c r="C28" s="1472"/>
      <c r="D28" s="1473"/>
      <c r="E28" s="478"/>
      <c r="F28" s="394"/>
      <c r="G28" s="477"/>
      <c r="H28" s="394"/>
      <c r="I28" s="393">
        <f>ROUND(H28/2080,2)</f>
        <v>0</v>
      </c>
    </row>
    <row r="29" spans="1:9" ht="19.5" customHeight="1" x14ac:dyDescent="0.25">
      <c r="A29" s="474" t="s">
        <v>82</v>
      </c>
      <c r="B29" s="1471"/>
      <c r="C29" s="1472"/>
      <c r="D29" s="1473"/>
      <c r="E29" s="478"/>
      <c r="F29" s="394"/>
      <c r="G29" s="477"/>
      <c r="H29" s="394"/>
      <c r="I29" s="393">
        <f>ROUND(H29/2080,2)</f>
        <v>0</v>
      </c>
    </row>
    <row r="30" spans="1:9" ht="19.5" customHeight="1" x14ac:dyDescent="0.25">
      <c r="A30" s="474" t="s">
        <v>51</v>
      </c>
      <c r="B30" s="484"/>
      <c r="C30" s="485"/>
      <c r="D30" s="475"/>
      <c r="E30" s="478"/>
      <c r="F30" s="394"/>
      <c r="G30" s="477"/>
      <c r="H30" s="394"/>
      <c r="I30" s="393">
        <f>ROUND(H30/2080,2)</f>
        <v>0</v>
      </c>
    </row>
    <row r="31" spans="1:9" ht="19.5" customHeight="1" x14ac:dyDescent="0.25">
      <c r="A31" s="474" t="s">
        <v>156</v>
      </c>
      <c r="B31" s="484"/>
      <c r="C31" s="485"/>
      <c r="D31" s="475"/>
      <c r="E31" s="478"/>
      <c r="F31" s="394"/>
      <c r="G31" s="477"/>
      <c r="H31" s="394"/>
      <c r="I31" s="393">
        <f>ROUND(H31/2080,2)</f>
        <v>0</v>
      </c>
    </row>
    <row r="32" spans="1:9" ht="27" customHeight="1" thickBot="1" x14ac:dyDescent="0.35">
      <c r="A32" s="293"/>
      <c r="B32" s="1482" t="s">
        <v>277</v>
      </c>
      <c r="C32" s="1483"/>
      <c r="D32" s="1484"/>
      <c r="E32" s="380"/>
      <c r="F32" s="473">
        <f>SUM(F27:F31)</f>
        <v>0</v>
      </c>
      <c r="G32" s="473">
        <f>SUM(G27:G31)</f>
        <v>0</v>
      </c>
      <c r="H32" s="473">
        <f>SUM(H27:H31)</f>
        <v>0</v>
      </c>
      <c r="I32" s="395">
        <f>SUM(I27:I31)</f>
        <v>0</v>
      </c>
    </row>
    <row r="33" spans="1:9" ht="19.5" customHeight="1" thickTop="1" x14ac:dyDescent="0.3">
      <c r="A33" s="293"/>
      <c r="B33" s="375"/>
      <c r="C33" s="375"/>
      <c r="D33" s="375"/>
      <c r="E33" s="297"/>
      <c r="F33" s="368"/>
      <c r="G33" s="294"/>
      <c r="H33" s="295"/>
      <c r="I33" s="374"/>
    </row>
    <row r="34" spans="1:9" ht="19.5" customHeight="1" x14ac:dyDescent="0.3">
      <c r="A34" s="207" t="s">
        <v>75</v>
      </c>
      <c r="B34" s="1487" t="s">
        <v>345</v>
      </c>
      <c r="C34" s="1488"/>
      <c r="D34" s="1489"/>
      <c r="E34" s="455"/>
      <c r="F34" s="338"/>
      <c r="G34" s="338"/>
      <c r="H34" s="390"/>
      <c r="I34" s="391"/>
    </row>
    <row r="35" spans="1:9" ht="19.5" customHeight="1" x14ac:dyDescent="0.25">
      <c r="A35" s="474" t="s">
        <v>49</v>
      </c>
      <c r="B35" s="1462" t="s">
        <v>474</v>
      </c>
      <c r="C35" s="1463"/>
      <c r="D35" s="1463"/>
      <c r="E35" s="479"/>
      <c r="F35" s="392">
        <f>+'Form B-1 Detail'!F740</f>
        <v>12097011.910783837</v>
      </c>
      <c r="G35" s="392">
        <f>+'Form B-1 Detail'!G740</f>
        <v>9448</v>
      </c>
      <c r="H35" s="392">
        <f>+'Form B-1 Detail'!H740</f>
        <v>433009.4015429999</v>
      </c>
      <c r="I35" s="393">
        <f>ROUND(H35/2080,2)</f>
        <v>208.18</v>
      </c>
    </row>
    <row r="36" spans="1:9" ht="19.5" customHeight="1" x14ac:dyDescent="0.25">
      <c r="A36" s="474" t="s">
        <v>50</v>
      </c>
      <c r="B36" s="1462"/>
      <c r="C36" s="1463"/>
      <c r="D36" s="1464"/>
      <c r="E36" s="475"/>
      <c r="F36" s="394"/>
      <c r="G36" s="477"/>
      <c r="H36" s="394"/>
      <c r="I36" s="393">
        <f>ROUND(H36/2080,2)</f>
        <v>0</v>
      </c>
    </row>
    <row r="37" spans="1:9" ht="19.5" customHeight="1" x14ac:dyDescent="0.25">
      <c r="A37" s="474" t="s">
        <v>82</v>
      </c>
      <c r="B37" s="1462"/>
      <c r="C37" s="1463"/>
      <c r="D37" s="1464"/>
      <c r="E37" s="475"/>
      <c r="F37" s="394"/>
      <c r="G37" s="477"/>
      <c r="H37" s="394"/>
      <c r="I37" s="393">
        <f>ROUND(H37/2080,2)</f>
        <v>0</v>
      </c>
    </row>
    <row r="38" spans="1:9" ht="24.75" customHeight="1" thickBot="1" x14ac:dyDescent="0.35">
      <c r="A38" s="293"/>
      <c r="B38" s="1482" t="s">
        <v>278</v>
      </c>
      <c r="C38" s="1483"/>
      <c r="D38" s="1484"/>
      <c r="E38" s="453"/>
      <c r="F38" s="473">
        <f>SUM(F35:F37)</f>
        <v>12097011.910783837</v>
      </c>
      <c r="G38" s="473">
        <f>SUM(G35:G37)</f>
        <v>9448</v>
      </c>
      <c r="H38" s="473">
        <f>SUM(H35:H37)</f>
        <v>433009.4015429999</v>
      </c>
      <c r="I38" s="395">
        <f>SUM(I35:I37)</f>
        <v>208.18</v>
      </c>
    </row>
    <row r="39" spans="1:9" ht="14" thickTop="1" thickBot="1" x14ac:dyDescent="0.35">
      <c r="A39" s="301"/>
      <c r="B39" s="381"/>
      <c r="C39" s="382"/>
      <c r="D39" s="383"/>
      <c r="E39" s="383"/>
      <c r="F39" s="376"/>
      <c r="G39" s="302"/>
      <c r="H39" s="303"/>
      <c r="I39" s="377"/>
    </row>
  </sheetData>
  <sheetProtection password="E1AE" sheet="1" formatColumns="0" formatRows="0"/>
  <mergeCells count="24">
    <mergeCell ref="A13:D15"/>
    <mergeCell ref="H13:I13"/>
    <mergeCell ref="B17:D17"/>
    <mergeCell ref="A1:I1"/>
    <mergeCell ref="A2:I2"/>
    <mergeCell ref="A3:I3"/>
    <mergeCell ref="A4:I4"/>
    <mergeCell ref="C8:H8"/>
    <mergeCell ref="A12:I12"/>
    <mergeCell ref="B18:D18"/>
    <mergeCell ref="B19:D19"/>
    <mergeCell ref="B20:D20"/>
    <mergeCell ref="B21:D21"/>
    <mergeCell ref="B24:D24"/>
    <mergeCell ref="B26:D26"/>
    <mergeCell ref="B36:D36"/>
    <mergeCell ref="B37:D37"/>
    <mergeCell ref="B38:D38"/>
    <mergeCell ref="B27:D27"/>
    <mergeCell ref="B28:D28"/>
    <mergeCell ref="B29:D29"/>
    <mergeCell ref="B32:D32"/>
    <mergeCell ref="B34:D34"/>
    <mergeCell ref="B35:D35"/>
  </mergeCells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74ACB-3396-4279-AB28-DB7C39860F60}">
  <sheetPr>
    <tabColor theme="8" tint="-0.249977111117893"/>
    <pageSetUpPr fitToPage="1"/>
  </sheetPr>
  <dimension ref="A1:L745"/>
  <sheetViews>
    <sheetView workbookViewId="0">
      <selection activeCell="F66" sqref="F66"/>
    </sheetView>
  </sheetViews>
  <sheetFormatPr defaultColWidth="9.1796875" defaultRowHeight="19.5" customHeight="1" outlineLevelRow="1" x14ac:dyDescent="0.25"/>
  <cols>
    <col min="1" max="1" width="6.1796875" style="909" bestFit="1" customWidth="1"/>
    <col min="2" max="3" width="16.453125" style="14" customWidth="1"/>
    <col min="4" max="4" width="15.453125" style="14" customWidth="1"/>
    <col min="5" max="5" width="19.453125" style="14" bestFit="1" customWidth="1"/>
    <col min="6" max="6" width="16.453125" style="14" customWidth="1"/>
    <col min="7" max="7" width="13.54296875" style="14" customWidth="1"/>
    <col min="8" max="8" width="17.7265625" style="14" customWidth="1"/>
    <col min="9" max="9" width="16.54296875" style="14" customWidth="1"/>
    <col min="10" max="10" width="14.453125" style="14" customWidth="1"/>
    <col min="11" max="16384" width="9.1796875" style="14"/>
  </cols>
  <sheetData>
    <row r="1" spans="1:10" ht="13.5" x14ac:dyDescent="0.35">
      <c r="A1" s="1396" t="s">
        <v>45</v>
      </c>
      <c r="B1" s="1396"/>
      <c r="C1" s="1396"/>
      <c r="D1" s="1396"/>
      <c r="E1" s="1396"/>
      <c r="F1" s="1396"/>
      <c r="G1" s="1396"/>
      <c r="H1" s="1396"/>
      <c r="I1" s="1396"/>
      <c r="J1" s="75"/>
    </row>
    <row r="2" spans="1:10" ht="13.5" x14ac:dyDescent="0.35">
      <c r="A2" s="1396" t="s">
        <v>46</v>
      </c>
      <c r="B2" s="1396"/>
      <c r="C2" s="1396"/>
      <c r="D2" s="1396"/>
      <c r="E2" s="1396"/>
      <c r="F2" s="1396"/>
      <c r="G2" s="1396"/>
      <c r="H2" s="1396"/>
      <c r="I2" s="1396"/>
      <c r="J2" s="75"/>
    </row>
    <row r="3" spans="1:10" ht="13.5" x14ac:dyDescent="0.35">
      <c r="A3" s="1396" t="s">
        <v>47</v>
      </c>
      <c r="B3" s="1396"/>
      <c r="C3" s="1396"/>
      <c r="D3" s="1396"/>
      <c r="E3" s="1396"/>
      <c r="F3" s="1396"/>
      <c r="G3" s="1396"/>
      <c r="H3" s="1396"/>
      <c r="I3" s="1396"/>
      <c r="J3" s="75"/>
    </row>
    <row r="4" spans="1:10" ht="13.5" x14ac:dyDescent="0.35">
      <c r="A4" s="1396" t="s">
        <v>48</v>
      </c>
      <c r="B4" s="1396"/>
      <c r="C4" s="1396"/>
      <c r="D4" s="1396"/>
      <c r="E4" s="1396"/>
      <c r="F4" s="1396"/>
      <c r="G4" s="1396"/>
      <c r="H4" s="1396"/>
      <c r="I4" s="1396"/>
      <c r="J4" s="75"/>
    </row>
    <row r="5" spans="1:10" ht="14" thickBot="1" x14ac:dyDescent="0.4">
      <c r="A5" s="853"/>
      <c r="B5" s="12"/>
      <c r="C5" s="12"/>
      <c r="D5" s="12"/>
      <c r="E5" s="12"/>
      <c r="F5" s="514"/>
      <c r="G5" s="514"/>
      <c r="H5" s="514"/>
      <c r="I5" s="514"/>
      <c r="J5" s="514"/>
    </row>
    <row r="6" spans="1:10" ht="21.75" customHeight="1" x14ac:dyDescent="0.35">
      <c r="A6" s="901"/>
      <c r="B6" s="77" t="s">
        <v>54</v>
      </c>
      <c r="C6" s="77"/>
      <c r="D6" s="202"/>
      <c r="E6" s="78" t="s">
        <v>6</v>
      </c>
      <c r="F6" s="94">
        <f>'P1 Info &amp; Certification'!L20</f>
        <v>45108</v>
      </c>
      <c r="G6" s="148"/>
      <c r="H6" s="95" t="str">
        <f>'P1 Info &amp; Certification'!M20</f>
        <v>To</v>
      </c>
      <c r="I6" s="516">
        <f>'P1 Info &amp; Certification'!N20</f>
        <v>45473</v>
      </c>
      <c r="J6" s="147"/>
    </row>
    <row r="7" spans="1:10" ht="13" x14ac:dyDescent="0.3">
      <c r="A7" s="193"/>
      <c r="B7" s="526"/>
      <c r="C7" s="526"/>
      <c r="D7" s="526"/>
      <c r="E7" s="526"/>
      <c r="F7" s="13"/>
      <c r="G7" s="13"/>
      <c r="H7" s="13"/>
      <c r="I7" s="81"/>
      <c r="J7" s="13"/>
    </row>
    <row r="8" spans="1:10" ht="22.5" customHeight="1" thickBot="1" x14ac:dyDescent="0.3">
      <c r="A8" s="902"/>
      <c r="B8" s="84" t="s">
        <v>59</v>
      </c>
      <c r="C8" s="1397" t="str">
        <f>'P1 Info &amp; Certification'!E12</f>
        <v>COMMUNITY HEALTH CENTER, INC.</v>
      </c>
      <c r="D8" s="1397"/>
      <c r="E8" s="1397"/>
      <c r="F8" s="1397"/>
      <c r="G8" s="1397"/>
      <c r="H8" s="1397"/>
      <c r="I8" s="464"/>
      <c r="J8" s="525"/>
    </row>
    <row r="9" spans="1:10" ht="13" x14ac:dyDescent="0.25">
      <c r="A9" s="903"/>
      <c r="B9" s="515"/>
      <c r="C9" s="515"/>
      <c r="D9" s="515"/>
      <c r="E9" s="515"/>
      <c r="F9" s="515"/>
      <c r="G9" s="515"/>
      <c r="H9" s="515"/>
      <c r="I9" s="515"/>
      <c r="J9" s="527"/>
    </row>
    <row r="10" spans="1:10" ht="12.5" x14ac:dyDescent="0.25">
      <c r="A10" s="904"/>
      <c r="B10" s="146"/>
      <c r="C10" s="146"/>
      <c r="D10" s="146"/>
      <c r="E10" s="146"/>
      <c r="F10" s="146"/>
      <c r="G10" s="146"/>
      <c r="H10" s="146"/>
      <c r="I10" s="146"/>
    </row>
    <row r="11" spans="1:10" ht="13.5" thickBot="1" x14ac:dyDescent="0.35">
      <c r="A11" s="904"/>
      <c r="B11" s="146"/>
      <c r="C11" s="146"/>
      <c r="D11" s="146"/>
      <c r="E11" s="146"/>
      <c r="F11" s="146"/>
      <c r="G11" s="146"/>
      <c r="H11" s="146"/>
      <c r="I11" s="296" t="s">
        <v>274</v>
      </c>
    </row>
    <row r="12" spans="1:10" ht="28.5" customHeight="1" x14ac:dyDescent="0.35">
      <c r="A12" s="1465" t="s">
        <v>273</v>
      </c>
      <c r="B12" s="1466"/>
      <c r="C12" s="1466"/>
      <c r="D12" s="1466"/>
      <c r="E12" s="1467"/>
      <c r="F12" s="1467"/>
      <c r="G12" s="1467"/>
      <c r="H12" s="1466"/>
      <c r="I12" s="1468"/>
    </row>
    <row r="13" spans="1:10" ht="13" x14ac:dyDescent="0.3">
      <c r="A13" s="1477" t="s">
        <v>267</v>
      </c>
      <c r="B13" s="1478"/>
      <c r="C13" s="1478"/>
      <c r="D13" s="1478"/>
      <c r="E13" s="369"/>
      <c r="F13" s="366"/>
      <c r="G13" s="413"/>
      <c r="H13" s="1469" t="s">
        <v>271</v>
      </c>
      <c r="I13" s="1470"/>
    </row>
    <row r="14" spans="1:10" ht="13" x14ac:dyDescent="0.3">
      <c r="A14" s="1479"/>
      <c r="B14" s="1480"/>
      <c r="C14" s="1480"/>
      <c r="D14" s="1480"/>
      <c r="E14" s="370"/>
      <c r="F14" s="364"/>
      <c r="G14" s="414"/>
      <c r="H14" s="169" t="s">
        <v>272</v>
      </c>
      <c r="I14" s="204" t="s">
        <v>203</v>
      </c>
    </row>
    <row r="15" spans="1:10" ht="12.75" customHeight="1" x14ac:dyDescent="0.3">
      <c r="A15" s="1481"/>
      <c r="B15" s="1461"/>
      <c r="C15" s="1461"/>
      <c r="D15" s="1461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0" ht="12.75" customHeight="1" x14ac:dyDescent="0.3">
      <c r="A16" s="852"/>
      <c r="B16" s="520"/>
      <c r="C16" s="520"/>
      <c r="D16" s="520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9" ht="12.75" customHeight="1" x14ac:dyDescent="0.3">
      <c r="A17" s="905"/>
      <c r="B17" s="1458" t="s">
        <v>268</v>
      </c>
      <c r="C17" s="1459"/>
      <c r="D17" s="1459"/>
      <c r="E17" s="372" t="s">
        <v>269</v>
      </c>
      <c r="F17" s="411">
        <v>125000</v>
      </c>
      <c r="G17" s="365">
        <v>1500</v>
      </c>
      <c r="H17" s="337">
        <v>1040</v>
      </c>
      <c r="I17" s="341">
        <f>H17/2080</f>
        <v>0.5</v>
      </c>
    </row>
    <row r="18" spans="1:9" ht="19.5" customHeight="1" x14ac:dyDescent="0.3">
      <c r="A18" s="906" t="s">
        <v>83</v>
      </c>
      <c r="B18" s="1460" t="s">
        <v>229</v>
      </c>
      <c r="C18" s="1461"/>
      <c r="D18" s="1461"/>
      <c r="E18" s="371"/>
      <c r="F18" s="412"/>
      <c r="G18" s="338"/>
      <c r="H18" s="339"/>
      <c r="I18" s="342"/>
    </row>
    <row r="19" spans="1:9" ht="19.5" customHeight="1" x14ac:dyDescent="0.25">
      <c r="A19" s="907">
        <v>1</v>
      </c>
      <c r="B19" s="1490" t="s">
        <v>229</v>
      </c>
      <c r="C19" s="1491"/>
      <c r="D19" s="1492"/>
      <c r="E19" s="631" t="s">
        <v>269</v>
      </c>
      <c r="F19" s="555"/>
      <c r="G19" s="555"/>
      <c r="H19" s="555"/>
      <c r="I19" s="642"/>
    </row>
    <row r="20" spans="1:9" ht="19.5" hidden="1" customHeight="1" outlineLevel="1" x14ac:dyDescent="0.25">
      <c r="A20" s="907">
        <v>2</v>
      </c>
      <c r="B20" s="1490"/>
      <c r="C20" s="1491"/>
      <c r="D20" s="1492"/>
      <c r="E20" s="631"/>
      <c r="F20" s="555"/>
      <c r="G20" s="555"/>
      <c r="H20" s="555"/>
      <c r="I20" s="642"/>
    </row>
    <row r="21" spans="1:9" ht="19.5" hidden="1" customHeight="1" outlineLevel="1" x14ac:dyDescent="0.25">
      <c r="A21" s="907">
        <v>3</v>
      </c>
      <c r="B21" s="1490"/>
      <c r="C21" s="1491"/>
      <c r="D21" s="1492"/>
      <c r="E21" s="631"/>
      <c r="F21" s="555"/>
      <c r="G21" s="555"/>
      <c r="H21" s="555"/>
      <c r="I21" s="642"/>
    </row>
    <row r="22" spans="1:9" s="629" customFormat="1" ht="19.5" hidden="1" customHeight="1" outlineLevel="1" x14ac:dyDescent="0.25">
      <c r="A22" s="911">
        <v>4</v>
      </c>
      <c r="B22" s="1490"/>
      <c r="C22" s="1491"/>
      <c r="D22" s="1492"/>
      <c r="E22" s="631"/>
      <c r="F22" s="708"/>
      <c r="G22" s="708"/>
      <c r="H22" s="708"/>
      <c r="I22" s="642"/>
    </row>
    <row r="23" spans="1:9" ht="19.5" hidden="1" customHeight="1" outlineLevel="1" x14ac:dyDescent="0.25">
      <c r="A23" s="907">
        <v>5</v>
      </c>
      <c r="B23" s="1490"/>
      <c r="C23" s="1491"/>
      <c r="D23" s="1492"/>
      <c r="E23" s="631"/>
      <c r="F23" s="555"/>
      <c r="G23" s="555"/>
      <c r="H23" s="555"/>
      <c r="I23" s="642"/>
    </row>
    <row r="24" spans="1:9" ht="19.5" hidden="1" customHeight="1" outlineLevel="1" x14ac:dyDescent="0.25">
      <c r="A24" s="907">
        <v>6</v>
      </c>
      <c r="B24" s="1490"/>
      <c r="C24" s="1491"/>
      <c r="D24" s="1492"/>
      <c r="E24" s="631"/>
      <c r="F24" s="555"/>
      <c r="G24" s="555"/>
      <c r="H24" s="555"/>
      <c r="I24" s="642"/>
    </row>
    <row r="25" spans="1:9" ht="19.5" hidden="1" customHeight="1" outlineLevel="1" x14ac:dyDescent="0.25">
      <c r="A25" s="907">
        <v>7</v>
      </c>
      <c r="B25" s="1490"/>
      <c r="C25" s="1491"/>
      <c r="D25" s="1492"/>
      <c r="E25" s="631"/>
      <c r="F25" s="555"/>
      <c r="G25" s="555"/>
      <c r="H25" s="555"/>
      <c r="I25" s="642"/>
    </row>
    <row r="26" spans="1:9" ht="19.5" hidden="1" customHeight="1" outlineLevel="1" x14ac:dyDescent="0.25">
      <c r="A26" s="907">
        <v>8</v>
      </c>
      <c r="B26" s="1490"/>
      <c r="C26" s="1491"/>
      <c r="D26" s="1492"/>
      <c r="E26" s="631"/>
      <c r="F26" s="555"/>
      <c r="G26" s="555"/>
      <c r="H26" s="555"/>
      <c r="I26" s="642"/>
    </row>
    <row r="27" spans="1:9" ht="19.5" hidden="1" customHeight="1" outlineLevel="1" x14ac:dyDescent="0.25">
      <c r="A27" s="907">
        <v>9</v>
      </c>
      <c r="B27" s="1490"/>
      <c r="C27" s="1491"/>
      <c r="D27" s="1492"/>
      <c r="E27" s="631"/>
      <c r="F27" s="555"/>
      <c r="G27" s="555"/>
      <c r="H27" s="555"/>
      <c r="I27" s="642"/>
    </row>
    <row r="28" spans="1:9" s="629" customFormat="1" ht="19.5" hidden="1" customHeight="1" outlineLevel="1" x14ac:dyDescent="0.25">
      <c r="A28" s="911">
        <v>10</v>
      </c>
      <c r="B28" s="1490"/>
      <c r="C28" s="1491"/>
      <c r="D28" s="1492"/>
      <c r="E28" s="631"/>
      <c r="F28" s="708"/>
      <c r="G28" s="708"/>
      <c r="H28" s="708"/>
      <c r="I28" s="642"/>
    </row>
    <row r="29" spans="1:9" ht="19.5" hidden="1" customHeight="1" outlineLevel="1" x14ac:dyDescent="0.25">
      <c r="A29" s="907">
        <v>11</v>
      </c>
      <c r="B29" s="1490"/>
      <c r="C29" s="1491"/>
      <c r="D29" s="1492"/>
      <c r="E29" s="631"/>
      <c r="F29" s="555"/>
      <c r="G29" s="555"/>
      <c r="H29" s="555"/>
      <c r="I29" s="642"/>
    </row>
    <row r="30" spans="1:9" ht="19.5" hidden="1" customHeight="1" outlineLevel="1" x14ac:dyDescent="0.25">
      <c r="A30" s="907">
        <v>12</v>
      </c>
      <c r="B30" s="1490"/>
      <c r="C30" s="1491"/>
      <c r="D30" s="1492"/>
      <c r="E30" s="631"/>
      <c r="F30" s="555"/>
      <c r="G30" s="555"/>
      <c r="H30" s="555"/>
      <c r="I30" s="642"/>
    </row>
    <row r="31" spans="1:9" ht="19.5" hidden="1" customHeight="1" outlineLevel="1" x14ac:dyDescent="0.25">
      <c r="A31" s="907">
        <v>13</v>
      </c>
      <c r="B31" s="1490"/>
      <c r="C31" s="1491"/>
      <c r="D31" s="1492"/>
      <c r="E31" s="631"/>
      <c r="F31" s="555"/>
      <c r="G31" s="555"/>
      <c r="H31" s="555"/>
      <c r="I31" s="642"/>
    </row>
    <row r="32" spans="1:9" ht="19.5" hidden="1" customHeight="1" outlineLevel="1" x14ac:dyDescent="0.25">
      <c r="A32" s="907">
        <v>14</v>
      </c>
      <c r="B32" s="1490"/>
      <c r="C32" s="1491"/>
      <c r="D32" s="1492"/>
      <c r="E32" s="631"/>
      <c r="F32" s="555"/>
      <c r="G32" s="555"/>
      <c r="H32" s="555"/>
      <c r="I32" s="642"/>
    </row>
    <row r="33" spans="1:10" ht="19.5" hidden="1" customHeight="1" outlineLevel="1" x14ac:dyDescent="0.25">
      <c r="A33" s="907">
        <v>15</v>
      </c>
      <c r="B33" s="1490"/>
      <c r="C33" s="1491"/>
      <c r="D33" s="1492"/>
      <c r="E33" s="631"/>
      <c r="F33" s="555"/>
      <c r="G33" s="555"/>
      <c r="H33" s="555"/>
      <c r="I33" s="642"/>
    </row>
    <row r="34" spans="1:10" ht="19.5" hidden="1" customHeight="1" outlineLevel="1" x14ac:dyDescent="0.25">
      <c r="A34" s="907">
        <v>16</v>
      </c>
      <c r="B34" s="1490"/>
      <c r="C34" s="1491"/>
      <c r="D34" s="1492"/>
      <c r="E34" s="631"/>
      <c r="F34" s="555"/>
      <c r="G34" s="555"/>
      <c r="H34" s="555"/>
      <c r="I34" s="642"/>
    </row>
    <row r="35" spans="1:10" s="629" customFormat="1" ht="19.5" hidden="1" customHeight="1" outlineLevel="1" x14ac:dyDescent="0.25">
      <c r="A35" s="911">
        <v>17</v>
      </c>
      <c r="B35" s="1490"/>
      <c r="C35" s="1491"/>
      <c r="D35" s="1492"/>
      <c r="E35" s="631"/>
      <c r="F35" s="708"/>
      <c r="G35" s="708"/>
      <c r="H35" s="708"/>
      <c r="I35" s="642"/>
    </row>
    <row r="36" spans="1:10" ht="19.5" hidden="1" customHeight="1" outlineLevel="1" x14ac:dyDescent="0.25">
      <c r="A36" s="907">
        <v>18</v>
      </c>
      <c r="B36" s="1490"/>
      <c r="C36" s="1491"/>
      <c r="D36" s="1492"/>
      <c r="E36" s="631"/>
      <c r="F36" s="555"/>
      <c r="G36" s="555"/>
      <c r="H36" s="555"/>
      <c r="I36" s="642"/>
    </row>
    <row r="37" spans="1:10" ht="19.5" hidden="1" customHeight="1" outlineLevel="1" x14ac:dyDescent="0.25">
      <c r="A37" s="907">
        <v>19</v>
      </c>
      <c r="B37" s="1490"/>
      <c r="C37" s="1491"/>
      <c r="D37" s="1492"/>
      <c r="E37" s="631"/>
      <c r="F37" s="555"/>
      <c r="G37" s="555"/>
      <c r="H37" s="555"/>
      <c r="I37" s="642"/>
    </row>
    <row r="38" spans="1:10" ht="19.5" hidden="1" customHeight="1" outlineLevel="1" x14ac:dyDescent="0.25">
      <c r="A38" s="907">
        <v>20</v>
      </c>
      <c r="B38" s="1490"/>
      <c r="C38" s="1491"/>
      <c r="D38" s="1492"/>
      <c r="E38" s="631"/>
      <c r="F38" s="555"/>
      <c r="G38" s="555"/>
      <c r="H38" s="555"/>
      <c r="I38" s="642"/>
    </row>
    <row r="39" spans="1:10" ht="19.5" hidden="1" customHeight="1" outlineLevel="1" x14ac:dyDescent="0.25">
      <c r="A39" s="907">
        <v>21</v>
      </c>
      <c r="B39" s="1490"/>
      <c r="C39" s="1491"/>
      <c r="D39" s="1492"/>
      <c r="E39" s="631"/>
      <c r="F39" s="555"/>
      <c r="G39" s="555"/>
      <c r="H39" s="555"/>
      <c r="I39" s="642"/>
      <c r="J39" s="629"/>
    </row>
    <row r="40" spans="1:10" ht="19.5" hidden="1" customHeight="1" outlineLevel="1" x14ac:dyDescent="0.25">
      <c r="A40" s="907">
        <v>22</v>
      </c>
      <c r="B40" s="1490"/>
      <c r="C40" s="1491"/>
      <c r="D40" s="1492"/>
      <c r="E40" s="631"/>
      <c r="F40" s="555"/>
      <c r="G40" s="555"/>
      <c r="H40" s="555"/>
      <c r="I40" s="642"/>
    </row>
    <row r="41" spans="1:10" ht="19.5" hidden="1" customHeight="1" outlineLevel="1" x14ac:dyDescent="0.25">
      <c r="A41" s="907">
        <v>23</v>
      </c>
      <c r="B41" s="1490"/>
      <c r="C41" s="1491"/>
      <c r="D41" s="1492"/>
      <c r="E41" s="631"/>
      <c r="F41" s="555"/>
      <c r="G41" s="555"/>
      <c r="H41" s="555"/>
      <c r="I41" s="642"/>
    </row>
    <row r="42" spans="1:10" ht="19.5" hidden="1" customHeight="1" outlineLevel="1" x14ac:dyDescent="0.25">
      <c r="A42" s="907">
        <v>24</v>
      </c>
      <c r="B42" s="1490"/>
      <c r="C42" s="1491"/>
      <c r="D42" s="1492"/>
      <c r="E42" s="631"/>
      <c r="F42" s="555"/>
      <c r="G42" s="555"/>
      <c r="H42" s="555"/>
      <c r="I42" s="642"/>
    </row>
    <row r="43" spans="1:10" ht="19.5" hidden="1" customHeight="1" outlineLevel="1" x14ac:dyDescent="0.25">
      <c r="A43" s="907">
        <v>25</v>
      </c>
      <c r="B43" s="1490"/>
      <c r="C43" s="1491"/>
      <c r="D43" s="1492"/>
      <c r="E43" s="631"/>
      <c r="F43" s="555"/>
      <c r="G43" s="555"/>
      <c r="H43" s="555"/>
      <c r="I43" s="642"/>
      <c r="J43" s="629"/>
    </row>
    <row r="44" spans="1:10" ht="19.5" hidden="1" customHeight="1" outlineLevel="1" x14ac:dyDescent="0.25">
      <c r="A44" s="907">
        <v>26</v>
      </c>
      <c r="B44" s="1490"/>
      <c r="C44" s="1491"/>
      <c r="D44" s="1492"/>
      <c r="E44" s="631"/>
      <c r="F44" s="555"/>
      <c r="G44" s="555"/>
      <c r="H44" s="555"/>
      <c r="I44" s="642"/>
    </row>
    <row r="45" spans="1:10" ht="19.5" hidden="1" customHeight="1" outlineLevel="1" x14ac:dyDescent="0.25">
      <c r="A45" s="907">
        <v>27</v>
      </c>
      <c r="B45" s="1490"/>
      <c r="C45" s="1491"/>
      <c r="D45" s="1492"/>
      <c r="E45" s="631"/>
      <c r="F45" s="555"/>
      <c r="G45" s="555"/>
      <c r="H45" s="555"/>
      <c r="I45" s="642"/>
    </row>
    <row r="46" spans="1:10" ht="19.5" hidden="1" customHeight="1" outlineLevel="1" x14ac:dyDescent="0.25">
      <c r="A46" s="907">
        <v>28</v>
      </c>
      <c r="B46" s="1490"/>
      <c r="C46" s="1491"/>
      <c r="D46" s="1492"/>
      <c r="E46" s="631"/>
      <c r="F46" s="555"/>
      <c r="G46" s="555"/>
      <c r="H46" s="555"/>
      <c r="I46" s="642"/>
    </row>
    <row r="47" spans="1:10" ht="19.5" hidden="1" customHeight="1" outlineLevel="1" x14ac:dyDescent="0.25">
      <c r="A47" s="907">
        <v>29</v>
      </c>
      <c r="B47" s="1490"/>
      <c r="C47" s="1491"/>
      <c r="D47" s="1492"/>
      <c r="E47" s="631"/>
      <c r="F47" s="555"/>
      <c r="G47" s="555"/>
      <c r="H47" s="555"/>
      <c r="I47" s="642"/>
    </row>
    <row r="48" spans="1:10" ht="19.5" hidden="1" customHeight="1" outlineLevel="1" x14ac:dyDescent="0.25">
      <c r="A48" s="907">
        <v>30</v>
      </c>
      <c r="B48" s="1490"/>
      <c r="C48" s="1491"/>
      <c r="D48" s="1492"/>
      <c r="E48" s="631"/>
      <c r="F48" s="555"/>
      <c r="G48" s="555"/>
      <c r="H48" s="555"/>
      <c r="I48" s="642"/>
    </row>
    <row r="49" spans="1:10" s="629" customFormat="1" ht="19.5" hidden="1" customHeight="1" outlineLevel="1" x14ac:dyDescent="0.25">
      <c r="A49" s="911">
        <v>31</v>
      </c>
      <c r="B49" s="1490"/>
      <c r="C49" s="1491"/>
      <c r="D49" s="1492"/>
      <c r="E49" s="631"/>
      <c r="F49" s="708"/>
      <c r="G49" s="708"/>
      <c r="H49" s="708"/>
      <c r="I49" s="642"/>
    </row>
    <row r="50" spans="1:10" ht="19.5" hidden="1" customHeight="1" outlineLevel="1" x14ac:dyDescent="0.25">
      <c r="A50" s="907">
        <v>32</v>
      </c>
      <c r="B50" s="1490"/>
      <c r="C50" s="1491"/>
      <c r="D50" s="1492"/>
      <c r="E50" s="631"/>
      <c r="F50" s="555"/>
      <c r="G50" s="555"/>
      <c r="H50" s="555"/>
      <c r="I50" s="642"/>
    </row>
    <row r="51" spans="1:10" ht="19.5" hidden="1" customHeight="1" outlineLevel="1" x14ac:dyDescent="0.25">
      <c r="A51" s="907">
        <v>33</v>
      </c>
      <c r="B51" s="1490"/>
      <c r="C51" s="1491"/>
      <c r="D51" s="1492"/>
      <c r="E51" s="631"/>
      <c r="F51" s="555"/>
      <c r="G51" s="555"/>
      <c r="H51" s="555"/>
      <c r="I51" s="642"/>
    </row>
    <row r="52" spans="1:10" ht="19.5" hidden="1" customHeight="1" outlineLevel="1" x14ac:dyDescent="0.25">
      <c r="A52" s="907">
        <v>34</v>
      </c>
      <c r="B52" s="1490"/>
      <c r="C52" s="1491"/>
      <c r="D52" s="1492"/>
      <c r="E52" s="631"/>
      <c r="F52" s="555"/>
      <c r="G52" s="555"/>
      <c r="H52" s="555"/>
      <c r="I52" s="642"/>
    </row>
    <row r="53" spans="1:10" ht="19.5" hidden="1" customHeight="1" outlineLevel="1" x14ac:dyDescent="0.25">
      <c r="A53" s="907">
        <v>35</v>
      </c>
      <c r="B53" s="1490"/>
      <c r="C53" s="1491"/>
      <c r="D53" s="1492"/>
      <c r="E53" s="631"/>
      <c r="F53" s="555"/>
      <c r="G53" s="555"/>
      <c r="H53" s="555"/>
      <c r="I53" s="642"/>
    </row>
    <row r="54" spans="1:10" ht="19.5" hidden="1" customHeight="1" outlineLevel="1" x14ac:dyDescent="0.25">
      <c r="A54" s="907">
        <v>36</v>
      </c>
      <c r="B54" s="1490"/>
      <c r="C54" s="1491"/>
      <c r="D54" s="1492"/>
      <c r="E54" s="631"/>
      <c r="F54" s="555"/>
      <c r="G54" s="555"/>
      <c r="H54" s="555"/>
      <c r="I54" s="642"/>
    </row>
    <row r="55" spans="1:10" ht="19.5" hidden="1" customHeight="1" outlineLevel="1" x14ac:dyDescent="0.25">
      <c r="A55" s="907">
        <v>37</v>
      </c>
      <c r="B55" s="1490"/>
      <c r="C55" s="1491"/>
      <c r="D55" s="1492"/>
      <c r="E55" s="631"/>
      <c r="F55" s="555"/>
      <c r="G55" s="555"/>
      <c r="H55" s="555"/>
      <c r="I55" s="642"/>
      <c r="J55" s="979"/>
    </row>
    <row r="56" spans="1:10" ht="19.5" hidden="1" customHeight="1" outlineLevel="1" x14ac:dyDescent="0.25">
      <c r="A56" s="908">
        <v>38</v>
      </c>
      <c r="B56" s="1490"/>
      <c r="C56" s="1491"/>
      <c r="D56" s="1492"/>
      <c r="E56" s="631"/>
      <c r="F56" s="555"/>
      <c r="G56" s="555"/>
      <c r="H56" s="555"/>
      <c r="I56" s="642"/>
    </row>
    <row r="57" spans="1:10" ht="19.5" hidden="1" customHeight="1" outlineLevel="1" x14ac:dyDescent="0.25">
      <c r="A57" s="908">
        <v>39</v>
      </c>
      <c r="B57" s="1490"/>
      <c r="C57" s="1491"/>
      <c r="D57" s="1492"/>
      <c r="E57" s="631"/>
      <c r="F57" s="555"/>
      <c r="G57" s="555"/>
      <c r="H57" s="555"/>
      <c r="I57" s="642"/>
    </row>
    <row r="58" spans="1:10" ht="19.5" hidden="1" customHeight="1" outlineLevel="1" x14ac:dyDescent="0.25">
      <c r="A58" s="908">
        <v>40</v>
      </c>
      <c r="B58" s="1490"/>
      <c r="C58" s="1491"/>
      <c r="D58" s="1492"/>
      <c r="E58" s="631"/>
      <c r="F58" s="555"/>
      <c r="G58" s="555"/>
      <c r="H58" s="555"/>
      <c r="I58" s="642"/>
    </row>
    <row r="59" spans="1:10" ht="19.5" hidden="1" customHeight="1" outlineLevel="1" x14ac:dyDescent="0.25">
      <c r="A59" s="908">
        <v>41</v>
      </c>
      <c r="B59" s="1490"/>
      <c r="C59" s="1491"/>
      <c r="D59" s="1492"/>
      <c r="E59" s="631"/>
      <c r="F59" s="631"/>
      <c r="G59" s="631"/>
      <c r="H59" s="631"/>
      <c r="I59" s="642"/>
    </row>
    <row r="60" spans="1:10" ht="19.5" hidden="1" customHeight="1" outlineLevel="1" x14ac:dyDescent="0.25">
      <c r="A60" s="908">
        <v>42</v>
      </c>
      <c r="B60" s="1490"/>
      <c r="C60" s="1491"/>
      <c r="D60" s="1492"/>
      <c r="E60" s="631"/>
      <c r="F60" s="631"/>
      <c r="G60" s="631"/>
      <c r="H60" s="631"/>
      <c r="I60" s="642"/>
    </row>
    <row r="61" spans="1:10" ht="19.5" hidden="1" customHeight="1" outlineLevel="1" x14ac:dyDescent="0.25">
      <c r="A61" s="908">
        <v>43</v>
      </c>
      <c r="B61" s="1490"/>
      <c r="C61" s="1491"/>
      <c r="D61" s="1492"/>
      <c r="E61" s="631"/>
      <c r="F61" s="631"/>
      <c r="G61" s="631"/>
      <c r="H61" s="631"/>
      <c r="I61" s="642"/>
    </row>
    <row r="62" spans="1:10" ht="19.5" hidden="1" customHeight="1" outlineLevel="1" x14ac:dyDescent="0.25">
      <c r="A62" s="908">
        <v>44</v>
      </c>
      <c r="B62" s="1490"/>
      <c r="C62" s="1491"/>
      <c r="D62" s="1492"/>
      <c r="E62" s="631"/>
      <c r="F62" s="631"/>
      <c r="G62" s="631"/>
      <c r="H62" s="631"/>
      <c r="I62" s="628"/>
    </row>
    <row r="63" spans="1:10" ht="19.5" hidden="1" customHeight="1" outlineLevel="1" x14ac:dyDescent="0.25">
      <c r="A63" s="908"/>
      <c r="B63" s="1462"/>
      <c r="C63" s="1463"/>
      <c r="D63" s="1464"/>
      <c r="E63" s="747"/>
      <c r="F63" s="625"/>
      <c r="G63" s="625"/>
      <c r="H63" s="625"/>
      <c r="I63" s="373"/>
      <c r="J63" s="854"/>
    </row>
    <row r="64" spans="1:10" ht="19.5" hidden="1" customHeight="1" outlineLevel="1" x14ac:dyDescent="0.25">
      <c r="A64" s="908"/>
      <c r="B64" s="1490" t="s">
        <v>229</v>
      </c>
      <c r="C64" s="1491"/>
      <c r="D64" s="1492"/>
      <c r="E64" s="631" t="s">
        <v>269</v>
      </c>
      <c r="F64" s="625"/>
      <c r="G64" s="625"/>
      <c r="H64" s="625"/>
      <c r="I64" s="373"/>
      <c r="J64" s="146"/>
    </row>
    <row r="65" spans="1:10" ht="19.5" customHeight="1" collapsed="1" x14ac:dyDescent="0.25">
      <c r="B65" s="1462"/>
      <c r="C65" s="1463"/>
      <c r="D65" s="1464"/>
      <c r="E65" s="521"/>
      <c r="F65" s="394"/>
      <c r="G65" s="477"/>
      <c r="H65" s="394"/>
      <c r="I65" s="373"/>
      <c r="J65" s="608"/>
    </row>
    <row r="66" spans="1:10" ht="24.75" customHeight="1" thickBot="1" x14ac:dyDescent="0.35">
      <c r="A66" s="910"/>
      <c r="B66" s="1482" t="s">
        <v>255</v>
      </c>
      <c r="C66" s="1483"/>
      <c r="D66" s="1484"/>
      <c r="E66" s="397"/>
      <c r="F66" s="751">
        <v>8589636</v>
      </c>
      <c r="G66" s="751">
        <f>+'MEDICAL DETAIL LIST'!F60</f>
        <v>134142</v>
      </c>
      <c r="H66" s="751">
        <v>90631</v>
      </c>
      <c r="I66" s="994">
        <f>ROUND(H66/2080,2)</f>
        <v>43.57</v>
      </c>
      <c r="J66" s="146"/>
    </row>
    <row r="67" spans="1:10" ht="19.5" customHeight="1" thickTop="1" x14ac:dyDescent="0.25">
      <c r="A67" s="910"/>
      <c r="B67" s="1485"/>
      <c r="C67" s="1485"/>
      <c r="D67" s="1485"/>
      <c r="E67" s="523"/>
      <c r="F67" s="295"/>
      <c r="G67" s="294"/>
      <c r="H67" s="295"/>
      <c r="I67" s="396"/>
      <c r="J67" s="146"/>
    </row>
    <row r="68" spans="1:10" ht="19.5" customHeight="1" x14ac:dyDescent="0.3">
      <c r="A68" s="171" t="s">
        <v>84</v>
      </c>
      <c r="B68" s="1486" t="s">
        <v>206</v>
      </c>
      <c r="C68" s="1486"/>
      <c r="D68" s="1486"/>
      <c r="E68" s="524"/>
      <c r="F68" s="338"/>
      <c r="G68" s="338"/>
      <c r="H68" s="390"/>
      <c r="I68" s="391"/>
    </row>
    <row r="69" spans="1:10" ht="19.5" customHeight="1" x14ac:dyDescent="0.25">
      <c r="A69" s="907">
        <v>1</v>
      </c>
      <c r="B69" s="1471" t="s">
        <v>206</v>
      </c>
      <c r="C69" s="1472"/>
      <c r="D69" s="1473"/>
      <c r="E69" s="479"/>
      <c r="F69" s="625"/>
      <c r="G69" s="968"/>
      <c r="H69" s="968"/>
      <c r="I69" s="642"/>
    </row>
    <row r="70" spans="1:10" ht="19.5" hidden="1" customHeight="1" outlineLevel="1" x14ac:dyDescent="0.25">
      <c r="A70" s="907">
        <v>2</v>
      </c>
      <c r="B70" s="1471"/>
      <c r="C70" s="1472"/>
      <c r="D70" s="1473"/>
      <c r="E70" s="521"/>
      <c r="F70" s="625"/>
      <c r="G70" s="968"/>
      <c r="H70" s="968"/>
      <c r="I70" s="642"/>
    </row>
    <row r="71" spans="1:10" ht="19.5" hidden="1" customHeight="1" outlineLevel="1" x14ac:dyDescent="0.25">
      <c r="A71" s="907">
        <v>3</v>
      </c>
      <c r="B71" s="1471"/>
      <c r="C71" s="1472"/>
      <c r="D71" s="1473"/>
      <c r="E71" s="521"/>
      <c r="F71" s="625"/>
      <c r="G71" s="968"/>
      <c r="H71" s="968"/>
      <c r="I71" s="642"/>
    </row>
    <row r="72" spans="1:10" ht="19.5" hidden="1" customHeight="1" outlineLevel="1" x14ac:dyDescent="0.25">
      <c r="A72" s="907">
        <v>4</v>
      </c>
      <c r="B72" s="1471"/>
      <c r="C72" s="1472"/>
      <c r="D72" s="1473"/>
      <c r="E72" s="521"/>
      <c r="F72" s="625"/>
      <c r="G72" s="968"/>
      <c r="H72" s="968"/>
      <c r="I72" s="642"/>
    </row>
    <row r="73" spans="1:10" ht="19.5" hidden="1" customHeight="1" outlineLevel="1" x14ac:dyDescent="0.25">
      <c r="A73" s="907">
        <v>5</v>
      </c>
      <c r="B73" s="1471"/>
      <c r="C73" s="1472"/>
      <c r="D73" s="1473"/>
      <c r="E73" s="521"/>
      <c r="F73" s="625"/>
      <c r="G73" s="968"/>
      <c r="H73" s="968"/>
      <c r="I73" s="642"/>
    </row>
    <row r="74" spans="1:10" ht="19.5" hidden="1" customHeight="1" outlineLevel="1" x14ac:dyDescent="0.25">
      <c r="A74" s="907">
        <v>6</v>
      </c>
      <c r="B74" s="1471"/>
      <c r="C74" s="1472"/>
      <c r="D74" s="1473"/>
      <c r="E74" s="521"/>
      <c r="F74" s="625"/>
      <c r="G74" s="968"/>
      <c r="H74" s="968"/>
      <c r="I74" s="642"/>
    </row>
    <row r="75" spans="1:10" s="629" customFormat="1" ht="19.5" hidden="1" customHeight="1" outlineLevel="1" x14ac:dyDescent="0.25">
      <c r="A75" s="911">
        <v>7</v>
      </c>
      <c r="B75" s="1490"/>
      <c r="C75" s="1491"/>
      <c r="D75" s="1492"/>
      <c r="E75" s="631"/>
      <c r="F75" s="719"/>
      <c r="G75" s="981"/>
      <c r="H75" s="981"/>
      <c r="I75" s="642"/>
    </row>
    <row r="76" spans="1:10" ht="19.5" hidden="1" customHeight="1" outlineLevel="1" x14ac:dyDescent="0.25">
      <c r="A76" s="907">
        <v>8</v>
      </c>
      <c r="B76" s="1471"/>
      <c r="C76" s="1472"/>
      <c r="D76" s="1473"/>
      <c r="E76" s="521"/>
      <c r="F76" s="625"/>
      <c r="G76" s="968"/>
      <c r="H76" s="968"/>
      <c r="I76" s="642"/>
    </row>
    <row r="77" spans="1:10" ht="19.5" hidden="1" customHeight="1" outlineLevel="1" x14ac:dyDescent="0.25">
      <c r="A77" s="907">
        <v>9</v>
      </c>
      <c r="B77" s="1471"/>
      <c r="C77" s="1472"/>
      <c r="D77" s="1473"/>
      <c r="E77" s="617"/>
      <c r="F77" s="625"/>
      <c r="G77" s="968"/>
      <c r="H77" s="968"/>
      <c r="I77" s="642"/>
    </row>
    <row r="78" spans="1:10" ht="19.5" hidden="1" customHeight="1" outlineLevel="1" x14ac:dyDescent="0.25">
      <c r="A78" s="907">
        <v>10</v>
      </c>
      <c r="B78" s="1471"/>
      <c r="C78" s="1472"/>
      <c r="D78" s="1473"/>
      <c r="E78" s="617"/>
      <c r="F78" s="625"/>
      <c r="G78" s="968"/>
      <c r="H78" s="968"/>
      <c r="I78" s="642"/>
    </row>
    <row r="79" spans="1:10" ht="19.5" hidden="1" customHeight="1" outlineLevel="1" x14ac:dyDescent="0.25">
      <c r="A79" s="907">
        <v>11</v>
      </c>
      <c r="B79" s="1471"/>
      <c r="C79" s="1472"/>
      <c r="D79" s="1473"/>
      <c r="E79" s="617"/>
      <c r="F79" s="625"/>
      <c r="G79" s="968"/>
      <c r="H79" s="968"/>
      <c r="I79" s="642"/>
    </row>
    <row r="80" spans="1:10" ht="19.5" hidden="1" customHeight="1" outlineLevel="1" x14ac:dyDescent="0.25">
      <c r="A80" s="907">
        <v>12</v>
      </c>
      <c r="B80" s="1471"/>
      <c r="C80" s="1472"/>
      <c r="D80" s="1473"/>
      <c r="E80" s="617"/>
      <c r="F80" s="625"/>
      <c r="G80" s="968"/>
      <c r="H80" s="968"/>
      <c r="I80" s="642"/>
    </row>
    <row r="81" spans="1:9" ht="19.5" hidden="1" customHeight="1" outlineLevel="1" x14ac:dyDescent="0.25">
      <c r="A81" s="907">
        <v>13</v>
      </c>
      <c r="B81" s="1471"/>
      <c r="C81" s="1472"/>
      <c r="D81" s="1473"/>
      <c r="E81" s="617"/>
      <c r="F81" s="625"/>
      <c r="G81" s="968"/>
      <c r="H81" s="968"/>
      <c r="I81" s="642"/>
    </row>
    <row r="82" spans="1:9" ht="19.5" hidden="1" customHeight="1" outlineLevel="1" x14ac:dyDescent="0.25">
      <c r="A82" s="907">
        <v>14</v>
      </c>
      <c r="B82" s="1471"/>
      <c r="C82" s="1472"/>
      <c r="D82" s="1473"/>
      <c r="E82" s="617"/>
      <c r="F82" s="625"/>
      <c r="G82" s="968"/>
      <c r="H82" s="968"/>
      <c r="I82" s="642"/>
    </row>
    <row r="83" spans="1:9" ht="19.5" hidden="1" customHeight="1" outlineLevel="1" x14ac:dyDescent="0.25">
      <c r="A83" s="907">
        <v>15</v>
      </c>
      <c r="B83" s="1471"/>
      <c r="C83" s="1472"/>
      <c r="D83" s="1473"/>
      <c r="E83" s="617"/>
      <c r="F83" s="625"/>
      <c r="G83" s="968"/>
      <c r="H83" s="968"/>
      <c r="I83" s="642"/>
    </row>
    <row r="84" spans="1:9" ht="19.5" hidden="1" customHeight="1" outlineLevel="1" x14ac:dyDescent="0.25">
      <c r="A84" s="907">
        <v>16</v>
      </c>
      <c r="B84" s="1471"/>
      <c r="C84" s="1472"/>
      <c r="D84" s="1473"/>
      <c r="E84" s="617"/>
      <c r="F84" s="625"/>
      <c r="G84" s="968"/>
      <c r="H84" s="968"/>
      <c r="I84" s="642"/>
    </row>
    <row r="85" spans="1:9" ht="19.5" hidden="1" customHeight="1" outlineLevel="1" x14ac:dyDescent="0.25">
      <c r="A85" s="907">
        <v>17</v>
      </c>
      <c r="B85" s="1471" t="s">
        <v>650</v>
      </c>
      <c r="C85" s="1472"/>
      <c r="D85" s="1473"/>
      <c r="E85" s="617"/>
      <c r="F85" s="625"/>
      <c r="G85" s="968"/>
      <c r="H85" s="968"/>
      <c r="I85" s="642"/>
    </row>
    <row r="86" spans="1:9" ht="19.5" customHeight="1" collapsed="1" x14ac:dyDescent="0.25">
      <c r="A86" s="907">
        <v>18</v>
      </c>
      <c r="B86" s="1471"/>
      <c r="C86" s="1472"/>
      <c r="D86" s="1473"/>
      <c r="E86" s="617"/>
      <c r="F86" s="965"/>
      <c r="G86" s="966"/>
      <c r="H86" s="967"/>
      <c r="I86" s="393"/>
    </row>
    <row r="87" spans="1:9" ht="19.5" hidden="1" customHeight="1" outlineLevel="1" x14ac:dyDescent="0.25">
      <c r="A87" s="907">
        <v>19</v>
      </c>
      <c r="B87" s="1471"/>
      <c r="C87" s="1472"/>
      <c r="D87" s="1473"/>
      <c r="E87" s="617"/>
      <c r="F87" s="651"/>
      <c r="G87" s="749"/>
      <c r="H87" s="748"/>
      <c r="I87" s="393"/>
    </row>
    <row r="88" spans="1:9" ht="19.5" hidden="1" customHeight="1" outlineLevel="1" x14ac:dyDescent="0.25">
      <c r="A88" s="907">
        <v>20</v>
      </c>
      <c r="B88" s="1471"/>
      <c r="C88" s="1472"/>
      <c r="D88" s="1473"/>
      <c r="E88" s="617"/>
      <c r="F88" s="651"/>
      <c r="G88" s="749"/>
      <c r="H88" s="748"/>
      <c r="I88" s="393"/>
    </row>
    <row r="89" spans="1:9" ht="19.5" hidden="1" customHeight="1" outlineLevel="1" x14ac:dyDescent="0.25">
      <c r="A89" s="907">
        <v>21</v>
      </c>
      <c r="B89" s="1471"/>
      <c r="C89" s="1472"/>
      <c r="D89" s="1473"/>
      <c r="E89" s="617"/>
      <c r="F89" s="651"/>
      <c r="G89" s="749"/>
      <c r="H89" s="748"/>
      <c r="I89" s="393"/>
    </row>
    <row r="90" spans="1:9" ht="19.5" hidden="1" customHeight="1" outlineLevel="1" x14ac:dyDescent="0.25">
      <c r="A90" s="907">
        <v>22</v>
      </c>
      <c r="B90" s="1471"/>
      <c r="C90" s="1472"/>
      <c r="D90" s="1473"/>
      <c r="E90" s="617"/>
      <c r="F90" s="651"/>
      <c r="G90" s="749"/>
      <c r="H90" s="748"/>
      <c r="I90" s="393"/>
    </row>
    <row r="91" spans="1:9" ht="19.5" hidden="1" customHeight="1" outlineLevel="1" x14ac:dyDescent="0.25">
      <c r="A91" s="907">
        <v>23</v>
      </c>
      <c r="B91" s="1471"/>
      <c r="C91" s="1472"/>
      <c r="D91" s="1473"/>
      <c r="E91" s="617"/>
      <c r="F91" s="651"/>
      <c r="G91" s="749"/>
      <c r="H91" s="748"/>
      <c r="I91" s="393"/>
    </row>
    <row r="92" spans="1:9" ht="19.5" hidden="1" customHeight="1" outlineLevel="1" x14ac:dyDescent="0.25">
      <c r="A92" s="907">
        <v>24</v>
      </c>
      <c r="B92" s="1471"/>
      <c r="C92" s="1472"/>
      <c r="D92" s="1473"/>
      <c r="E92" s="617"/>
      <c r="F92" s="651"/>
      <c r="G92" s="749"/>
      <c r="H92" s="748"/>
      <c r="I92" s="393"/>
    </row>
    <row r="93" spans="1:9" ht="19.5" hidden="1" customHeight="1" outlineLevel="1" x14ac:dyDescent="0.25">
      <c r="A93" s="907">
        <v>25</v>
      </c>
      <c r="B93" s="1471"/>
      <c r="C93" s="1472"/>
      <c r="D93" s="1473"/>
      <c r="E93" s="617"/>
      <c r="F93" s="651"/>
      <c r="G93" s="749"/>
      <c r="H93" s="748"/>
      <c r="I93" s="393"/>
    </row>
    <row r="94" spans="1:9" ht="19.5" hidden="1" customHeight="1" outlineLevel="1" x14ac:dyDescent="0.25">
      <c r="A94" s="907">
        <v>26</v>
      </c>
      <c r="B94" s="1471"/>
      <c r="C94" s="1472"/>
      <c r="D94" s="1473"/>
      <c r="E94" s="617"/>
      <c r="F94" s="651"/>
      <c r="G94" s="749"/>
      <c r="H94" s="748"/>
      <c r="I94" s="393"/>
    </row>
    <row r="95" spans="1:9" ht="19.5" hidden="1" customHeight="1" outlineLevel="1" x14ac:dyDescent="0.25">
      <c r="A95" s="907">
        <v>27</v>
      </c>
      <c r="B95" s="1471"/>
      <c r="C95" s="1472"/>
      <c r="D95" s="1473"/>
      <c r="E95" s="617"/>
      <c r="F95" s="651"/>
      <c r="G95" s="684"/>
      <c r="H95" s="651"/>
      <c r="I95" s="393"/>
    </row>
    <row r="96" spans="1:9" ht="19.5" hidden="1" customHeight="1" outlineLevel="1" x14ac:dyDescent="0.35">
      <c r="A96" s="907">
        <v>29</v>
      </c>
      <c r="B96" s="1471"/>
      <c r="C96" s="1472"/>
      <c r="D96" s="1473"/>
      <c r="E96" s="617"/>
      <c r="F96" s="868"/>
      <c r="G96" s="866"/>
      <c r="H96" s="867"/>
      <c r="I96" s="393"/>
    </row>
    <row r="97" spans="1:9" ht="19.5" hidden="1" customHeight="1" outlineLevel="1" x14ac:dyDescent="0.35">
      <c r="A97" s="907">
        <v>30</v>
      </c>
      <c r="B97" s="1471"/>
      <c r="C97" s="1472"/>
      <c r="D97" s="1473"/>
      <c r="E97" s="617"/>
      <c r="F97" s="868"/>
      <c r="G97" s="866"/>
      <c r="H97" s="867"/>
      <c r="I97" s="393"/>
    </row>
    <row r="98" spans="1:9" ht="19.5" hidden="1" customHeight="1" outlineLevel="1" x14ac:dyDescent="0.35">
      <c r="A98" s="907">
        <v>31</v>
      </c>
      <c r="B98" s="1471"/>
      <c r="C98" s="1472"/>
      <c r="D98" s="1473"/>
      <c r="E98" s="617"/>
      <c r="F98" s="868"/>
      <c r="G98" s="866"/>
      <c r="H98" s="867"/>
      <c r="I98" s="393"/>
    </row>
    <row r="99" spans="1:9" ht="19.5" hidden="1" customHeight="1" outlineLevel="1" x14ac:dyDescent="0.35">
      <c r="A99" s="907">
        <v>32</v>
      </c>
      <c r="B99" s="1471"/>
      <c r="C99" s="1472"/>
      <c r="D99" s="1473"/>
      <c r="E99" s="617"/>
      <c r="F99" s="868"/>
      <c r="G99" s="866"/>
      <c r="H99" s="867"/>
      <c r="I99" s="393"/>
    </row>
    <row r="100" spans="1:9" s="629" customFormat="1" ht="19.5" hidden="1" customHeight="1" outlineLevel="1" x14ac:dyDescent="0.35">
      <c r="A100" s="911">
        <v>33</v>
      </c>
      <c r="B100" s="1490"/>
      <c r="C100" s="1491"/>
      <c r="D100" s="1492"/>
      <c r="E100" s="876"/>
      <c r="F100" s="868"/>
      <c r="G100" s="866"/>
      <c r="H100" s="867"/>
      <c r="I100" s="628"/>
    </row>
    <row r="101" spans="1:9" ht="19.5" hidden="1" customHeight="1" outlineLevel="1" x14ac:dyDescent="0.35">
      <c r="A101" s="907">
        <v>34</v>
      </c>
      <c r="B101" s="1471"/>
      <c r="C101" s="1472"/>
      <c r="D101" s="1473"/>
      <c r="E101" s="617"/>
      <c r="F101" s="868"/>
      <c r="G101" s="866"/>
      <c r="H101" s="867"/>
      <c r="I101" s="393"/>
    </row>
    <row r="102" spans="1:9" ht="19.5" customHeight="1" collapsed="1" x14ac:dyDescent="0.35">
      <c r="A102" s="907">
        <v>35</v>
      </c>
      <c r="B102" s="1471"/>
      <c r="C102" s="1472"/>
      <c r="D102" s="1473"/>
      <c r="E102" s="617"/>
      <c r="F102" s="868"/>
      <c r="G102" s="866"/>
      <c r="H102" s="867"/>
      <c r="I102" s="393"/>
    </row>
    <row r="103" spans="1:9" ht="19.5" customHeight="1" x14ac:dyDescent="0.35">
      <c r="A103" s="907">
        <v>36</v>
      </c>
      <c r="B103" s="1471"/>
      <c r="C103" s="1472"/>
      <c r="D103" s="1473"/>
      <c r="E103" s="617"/>
      <c r="F103" s="868"/>
      <c r="G103" s="866"/>
      <c r="H103" s="867"/>
      <c r="I103" s="393"/>
    </row>
    <row r="104" spans="1:9" ht="19.5" customHeight="1" x14ac:dyDescent="0.35">
      <c r="A104" s="907">
        <v>37</v>
      </c>
      <c r="B104" s="1471" t="s">
        <v>650</v>
      </c>
      <c r="C104" s="1472"/>
      <c r="D104" s="1473"/>
      <c r="E104" s="617"/>
      <c r="F104" s="868"/>
      <c r="G104" s="866"/>
      <c r="H104" s="867"/>
      <c r="I104" s="393"/>
    </row>
    <row r="105" spans="1:9" ht="19.5" customHeight="1" x14ac:dyDescent="0.3">
      <c r="A105" s="907"/>
      <c r="B105" s="1471"/>
      <c r="C105" s="1472"/>
      <c r="D105" s="1473"/>
      <c r="E105" s="617"/>
      <c r="F105" s="857"/>
      <c r="G105" s="749"/>
      <c r="H105" s="748"/>
      <c r="I105" s="393"/>
    </row>
    <row r="106" spans="1:9" ht="24.75" customHeight="1" thickBot="1" x14ac:dyDescent="0.35">
      <c r="A106" s="912"/>
      <c r="B106" s="1474" t="s">
        <v>256</v>
      </c>
      <c r="C106" s="1475"/>
      <c r="D106" s="1476"/>
      <c r="E106" s="522"/>
      <c r="F106" s="751">
        <v>1355176</v>
      </c>
      <c r="G106" s="751">
        <f>+'MEDICAL DETAIL LIST'!F86</f>
        <v>30962</v>
      </c>
      <c r="H106" s="751">
        <v>19918</v>
      </c>
      <c r="I106" s="752">
        <f>ROUND(H106/2080,2)</f>
        <v>9.58</v>
      </c>
    </row>
    <row r="107" spans="1:9" ht="19.5" customHeight="1" thickTop="1" x14ac:dyDescent="0.25"/>
    <row r="108" spans="1:9" ht="24" customHeight="1" x14ac:dyDescent="0.3">
      <c r="A108" s="906" t="s">
        <v>91</v>
      </c>
      <c r="B108" s="1487" t="s">
        <v>287</v>
      </c>
      <c r="C108" s="1488"/>
      <c r="D108" s="1488"/>
      <c r="E108" s="524"/>
      <c r="F108" s="338"/>
      <c r="G108" s="338"/>
      <c r="H108" s="390"/>
      <c r="I108" s="391"/>
    </row>
    <row r="109" spans="1:9" ht="19.5" customHeight="1" x14ac:dyDescent="0.25">
      <c r="A109" s="907">
        <v>1</v>
      </c>
      <c r="B109"/>
      <c r="C109" s="813"/>
      <c r="D109" s="814"/>
      <c r="E109" s="815"/>
      <c r="F109" s="1176"/>
      <c r="G109" s="1177"/>
      <c r="H109" s="1178"/>
      <c r="I109" s="642"/>
    </row>
    <row r="110" spans="1:9" ht="19.5" hidden="1" customHeight="1" outlineLevel="1" x14ac:dyDescent="0.25">
      <c r="A110" s="907">
        <f>+A109+1</f>
        <v>2</v>
      </c>
      <c r="B110"/>
      <c r="C110" s="813"/>
      <c r="D110" s="814"/>
      <c r="E110" s="815"/>
      <c r="F110" s="537"/>
      <c r="G110" s="963"/>
      <c r="H110" s="555"/>
      <c r="I110" s="642"/>
    </row>
    <row r="111" spans="1:9" ht="19.5" hidden="1" customHeight="1" outlineLevel="1" x14ac:dyDescent="0.25">
      <c r="A111" s="907">
        <f t="shared" ref="A111:A174" si="0">+A110+1</f>
        <v>3</v>
      </c>
      <c r="B111"/>
      <c r="C111" s="813"/>
      <c r="D111" s="814"/>
      <c r="E111" s="815"/>
      <c r="F111" s="537"/>
      <c r="G111" s="963"/>
      <c r="H111" s="555"/>
      <c r="I111" s="642"/>
    </row>
    <row r="112" spans="1:9" ht="19.5" hidden="1" customHeight="1" outlineLevel="1" x14ac:dyDescent="0.25">
      <c r="A112" s="907">
        <f t="shared" si="0"/>
        <v>4</v>
      </c>
      <c r="B112"/>
      <c r="C112" s="813"/>
      <c r="D112" s="814"/>
      <c r="E112" s="815"/>
      <c r="F112" s="537"/>
      <c r="G112" s="963"/>
      <c r="H112" s="555"/>
      <c r="I112" s="642"/>
    </row>
    <row r="113" spans="1:9" ht="19.5" hidden="1" customHeight="1" outlineLevel="1" x14ac:dyDescent="0.25">
      <c r="A113" s="907">
        <f t="shared" si="0"/>
        <v>5</v>
      </c>
      <c r="B113"/>
      <c r="C113" s="813"/>
      <c r="D113" s="814"/>
      <c r="E113" s="815"/>
      <c r="F113" s="537"/>
      <c r="G113" s="963"/>
      <c r="H113" s="555"/>
      <c r="I113" s="642"/>
    </row>
    <row r="114" spans="1:9" ht="19.5" hidden="1" customHeight="1" outlineLevel="1" x14ac:dyDescent="0.25">
      <c r="A114" s="907">
        <f t="shared" si="0"/>
        <v>6</v>
      </c>
      <c r="B114"/>
      <c r="C114" s="816"/>
      <c r="D114" s="817"/>
      <c r="E114" s="815"/>
      <c r="F114" s="537"/>
      <c r="G114" s="963"/>
      <c r="H114" s="555"/>
      <c r="I114" s="642"/>
    </row>
    <row r="115" spans="1:9" ht="19.5" hidden="1" customHeight="1" outlineLevel="1" x14ac:dyDescent="0.25">
      <c r="A115" s="907">
        <f t="shared" si="0"/>
        <v>7</v>
      </c>
      <c r="B115"/>
      <c r="C115" s="813"/>
      <c r="D115" s="814"/>
      <c r="E115" s="815"/>
      <c r="F115" s="537"/>
      <c r="G115" s="963"/>
      <c r="H115" s="555"/>
      <c r="I115" s="642"/>
    </row>
    <row r="116" spans="1:9" ht="19.5" hidden="1" customHeight="1" outlineLevel="1" x14ac:dyDescent="0.25">
      <c r="A116" s="907">
        <f t="shared" si="0"/>
        <v>8</v>
      </c>
      <c r="B116"/>
      <c r="C116" s="813"/>
      <c r="D116" s="814"/>
      <c r="E116" s="815"/>
      <c r="F116" s="537"/>
      <c r="G116" s="963"/>
      <c r="H116" s="555"/>
      <c r="I116" s="642"/>
    </row>
    <row r="117" spans="1:9" ht="19.5" hidden="1" customHeight="1" outlineLevel="1" x14ac:dyDescent="0.25">
      <c r="A117" s="907">
        <f t="shared" si="0"/>
        <v>9</v>
      </c>
      <c r="B117"/>
      <c r="C117" s="813"/>
      <c r="D117" s="814"/>
      <c r="E117" s="815"/>
      <c r="F117" s="537"/>
      <c r="G117" s="963"/>
      <c r="H117" s="555"/>
      <c r="I117" s="642"/>
    </row>
    <row r="118" spans="1:9" ht="19.5" hidden="1" customHeight="1" outlineLevel="1" x14ac:dyDescent="0.25">
      <c r="A118" s="907">
        <f t="shared" si="0"/>
        <v>10</v>
      </c>
      <c r="B118"/>
      <c r="C118" s="813"/>
      <c r="D118" s="814"/>
      <c r="E118" s="815"/>
      <c r="F118" s="537"/>
      <c r="G118" s="963"/>
      <c r="H118" s="555"/>
      <c r="I118" s="642"/>
    </row>
    <row r="119" spans="1:9" ht="19.5" hidden="1" customHeight="1" outlineLevel="1" x14ac:dyDescent="0.25">
      <c r="A119" s="907">
        <f t="shared" si="0"/>
        <v>11</v>
      </c>
      <c r="B119"/>
      <c r="C119" s="813"/>
      <c r="D119" s="814"/>
      <c r="E119" s="815"/>
      <c r="F119" s="537"/>
      <c r="G119" s="963"/>
      <c r="H119" s="555"/>
      <c r="I119" s="642"/>
    </row>
    <row r="120" spans="1:9" ht="19.5" hidden="1" customHeight="1" outlineLevel="1" x14ac:dyDescent="0.25">
      <c r="A120" s="907">
        <f t="shared" si="0"/>
        <v>12</v>
      </c>
      <c r="B120"/>
      <c r="C120" s="813"/>
      <c r="D120" s="814"/>
      <c r="E120" s="815"/>
      <c r="F120" s="537"/>
      <c r="G120" s="963"/>
      <c r="H120" s="555"/>
      <c r="I120" s="642"/>
    </row>
    <row r="121" spans="1:9" ht="19.5" hidden="1" customHeight="1" outlineLevel="1" x14ac:dyDescent="0.25">
      <c r="A121" s="907">
        <f t="shared" si="0"/>
        <v>13</v>
      </c>
      <c r="B121"/>
      <c r="C121" s="813"/>
      <c r="D121" s="814"/>
      <c r="E121" s="815"/>
      <c r="F121" s="537"/>
      <c r="G121" s="963"/>
      <c r="H121" s="555"/>
      <c r="I121" s="642"/>
    </row>
    <row r="122" spans="1:9" ht="19.5" hidden="1" customHeight="1" outlineLevel="1" x14ac:dyDescent="0.25">
      <c r="A122" s="907">
        <f t="shared" si="0"/>
        <v>14</v>
      </c>
      <c r="B122"/>
      <c r="C122" s="813"/>
      <c r="D122" s="814"/>
      <c r="E122" s="815"/>
      <c r="F122" s="537"/>
      <c r="G122" s="963"/>
      <c r="H122" s="555"/>
      <c r="I122" s="642"/>
    </row>
    <row r="123" spans="1:9" ht="19.5" hidden="1" customHeight="1" outlineLevel="1" x14ac:dyDescent="0.25">
      <c r="A123" s="907">
        <f t="shared" si="0"/>
        <v>15</v>
      </c>
      <c r="B123"/>
      <c r="C123" s="813"/>
      <c r="D123" s="814"/>
      <c r="E123" s="815"/>
      <c r="F123" s="537"/>
      <c r="G123" s="963"/>
      <c r="H123" s="555"/>
      <c r="I123" s="642"/>
    </row>
    <row r="124" spans="1:9" ht="19.5" hidden="1" customHeight="1" outlineLevel="1" x14ac:dyDescent="0.25">
      <c r="A124" s="907">
        <f t="shared" si="0"/>
        <v>16</v>
      </c>
      <c r="B124"/>
      <c r="C124" s="813"/>
      <c r="D124" s="814"/>
      <c r="E124" s="815"/>
      <c r="F124" s="537"/>
      <c r="G124" s="963"/>
      <c r="H124" s="555"/>
      <c r="I124" s="642"/>
    </row>
    <row r="125" spans="1:9" ht="19.5" hidden="1" customHeight="1" outlineLevel="1" x14ac:dyDescent="0.25">
      <c r="A125" s="907">
        <f t="shared" si="0"/>
        <v>17</v>
      </c>
      <c r="B125"/>
      <c r="C125" s="813"/>
      <c r="D125" s="814"/>
      <c r="E125" s="815"/>
      <c r="F125" s="537"/>
      <c r="G125" s="963"/>
      <c r="H125" s="555"/>
      <c r="I125" s="642"/>
    </row>
    <row r="126" spans="1:9" ht="19.5" hidden="1" customHeight="1" outlineLevel="1" x14ac:dyDescent="0.25">
      <c r="A126" s="907">
        <f t="shared" si="0"/>
        <v>18</v>
      </c>
      <c r="B126"/>
      <c r="C126" s="813"/>
      <c r="D126" s="814"/>
      <c r="E126" s="815"/>
      <c r="F126" s="537"/>
      <c r="G126" s="963"/>
      <c r="H126" s="555"/>
      <c r="I126" s="642"/>
    </row>
    <row r="127" spans="1:9" ht="19.5" hidden="1" customHeight="1" outlineLevel="1" x14ac:dyDescent="0.25">
      <c r="A127" s="907">
        <f t="shared" si="0"/>
        <v>19</v>
      </c>
      <c r="B127"/>
      <c r="C127" s="816"/>
      <c r="D127" s="817"/>
      <c r="E127" s="815"/>
      <c r="F127" s="537"/>
      <c r="G127" s="963"/>
      <c r="H127" s="555"/>
      <c r="I127" s="642"/>
    </row>
    <row r="128" spans="1:9" ht="19.5" hidden="1" customHeight="1" outlineLevel="1" x14ac:dyDescent="0.25">
      <c r="A128" s="907">
        <f t="shared" si="0"/>
        <v>20</v>
      </c>
      <c r="B128"/>
      <c r="C128" s="813"/>
      <c r="D128" s="814"/>
      <c r="E128" s="815"/>
      <c r="F128" s="537"/>
      <c r="G128" s="963"/>
      <c r="H128" s="555"/>
      <c r="I128" s="642"/>
    </row>
    <row r="129" spans="1:9" ht="19.5" hidden="1" customHeight="1" outlineLevel="1" x14ac:dyDescent="0.25">
      <c r="A129" s="907">
        <f t="shared" si="0"/>
        <v>21</v>
      </c>
      <c r="B129"/>
      <c r="C129" s="813"/>
      <c r="D129" s="814"/>
      <c r="E129" s="815"/>
      <c r="F129" s="537"/>
      <c r="G129" s="963"/>
      <c r="H129" s="555"/>
      <c r="I129" s="642"/>
    </row>
    <row r="130" spans="1:9" ht="19.5" hidden="1" customHeight="1" outlineLevel="1" x14ac:dyDescent="0.25">
      <c r="A130" s="907">
        <f t="shared" si="0"/>
        <v>22</v>
      </c>
      <c r="B130"/>
      <c r="C130" s="813"/>
      <c r="D130" s="814"/>
      <c r="E130" s="815"/>
      <c r="F130" s="537"/>
      <c r="G130" s="963"/>
      <c r="H130" s="555"/>
      <c r="I130" s="642"/>
    </row>
    <row r="131" spans="1:9" ht="19.5" hidden="1" customHeight="1" outlineLevel="1" x14ac:dyDescent="0.25">
      <c r="A131" s="907">
        <f t="shared" si="0"/>
        <v>23</v>
      </c>
      <c r="B131"/>
      <c r="C131" s="813"/>
      <c r="D131" s="814"/>
      <c r="E131" s="815"/>
      <c r="F131" s="537"/>
      <c r="G131" s="963"/>
      <c r="H131" s="555"/>
      <c r="I131" s="642"/>
    </row>
    <row r="132" spans="1:9" ht="19.5" hidden="1" customHeight="1" outlineLevel="1" x14ac:dyDescent="0.25">
      <c r="A132" s="907">
        <f t="shared" si="0"/>
        <v>24</v>
      </c>
      <c r="B132"/>
      <c r="C132" s="813"/>
      <c r="D132" s="814"/>
      <c r="E132" s="815"/>
      <c r="F132" s="537"/>
      <c r="G132" s="963"/>
      <c r="H132" s="555"/>
      <c r="I132" s="642"/>
    </row>
    <row r="133" spans="1:9" ht="19.5" hidden="1" customHeight="1" outlineLevel="1" x14ac:dyDescent="0.25">
      <c r="A133" s="907">
        <f t="shared" si="0"/>
        <v>25</v>
      </c>
      <c r="B133"/>
      <c r="C133" s="813"/>
      <c r="D133" s="814"/>
      <c r="E133" s="815"/>
      <c r="F133" s="537"/>
      <c r="G133" s="963"/>
      <c r="H133" s="555"/>
      <c r="I133" s="642"/>
    </row>
    <row r="134" spans="1:9" ht="19.5" hidden="1" customHeight="1" outlineLevel="1" x14ac:dyDescent="0.25">
      <c r="A134" s="907">
        <f t="shared" si="0"/>
        <v>26</v>
      </c>
      <c r="B134"/>
      <c r="C134" s="813"/>
      <c r="D134" s="814"/>
      <c r="E134" s="815"/>
      <c r="F134" s="537"/>
      <c r="G134" s="963"/>
      <c r="H134" s="555"/>
      <c r="I134" s="642"/>
    </row>
    <row r="135" spans="1:9" ht="19.5" hidden="1" customHeight="1" outlineLevel="1" x14ac:dyDescent="0.25">
      <c r="A135" s="907">
        <f t="shared" si="0"/>
        <v>27</v>
      </c>
      <c r="B135"/>
      <c r="C135" s="813"/>
      <c r="D135" s="814"/>
      <c r="E135" s="815"/>
      <c r="F135" s="537"/>
      <c r="G135" s="963"/>
      <c r="H135" s="555"/>
      <c r="I135" s="642"/>
    </row>
    <row r="136" spans="1:9" ht="19.5" hidden="1" customHeight="1" outlineLevel="1" x14ac:dyDescent="0.25">
      <c r="A136" s="907">
        <f t="shared" si="0"/>
        <v>28</v>
      </c>
      <c r="B136"/>
      <c r="C136" s="813"/>
      <c r="D136" s="814"/>
      <c r="E136" s="815"/>
      <c r="F136" s="537"/>
      <c r="G136" s="963"/>
      <c r="H136" s="555"/>
      <c r="I136" s="642"/>
    </row>
    <row r="137" spans="1:9" ht="19.5" hidden="1" customHeight="1" outlineLevel="1" x14ac:dyDescent="0.25">
      <c r="A137" s="907">
        <f t="shared" si="0"/>
        <v>29</v>
      </c>
      <c r="B137"/>
      <c r="C137" s="813"/>
      <c r="D137" s="814"/>
      <c r="E137" s="815"/>
      <c r="F137" s="537"/>
      <c r="G137" s="963"/>
      <c r="H137" s="555"/>
      <c r="I137" s="642"/>
    </row>
    <row r="138" spans="1:9" ht="19.5" hidden="1" customHeight="1" outlineLevel="1" x14ac:dyDescent="0.25">
      <c r="A138" s="907">
        <f t="shared" si="0"/>
        <v>30</v>
      </c>
      <c r="B138"/>
      <c r="C138" s="813"/>
      <c r="D138" s="814"/>
      <c r="E138" s="815"/>
      <c r="F138" s="537"/>
      <c r="G138" s="963"/>
      <c r="H138" s="555"/>
      <c r="I138" s="642"/>
    </row>
    <row r="139" spans="1:9" ht="19.5" hidden="1" customHeight="1" outlineLevel="1" x14ac:dyDescent="0.25">
      <c r="A139" s="907">
        <f t="shared" si="0"/>
        <v>31</v>
      </c>
      <c r="B139"/>
      <c r="C139" s="813"/>
      <c r="D139" s="814"/>
      <c r="E139" s="815"/>
      <c r="F139" s="537"/>
      <c r="G139" s="963"/>
      <c r="H139" s="555"/>
      <c r="I139" s="642"/>
    </row>
    <row r="140" spans="1:9" ht="19.5" hidden="1" customHeight="1" outlineLevel="1" x14ac:dyDescent="0.25">
      <c r="A140" s="907">
        <f t="shared" si="0"/>
        <v>32</v>
      </c>
      <c r="B140"/>
      <c r="C140" s="813"/>
      <c r="D140" s="814"/>
      <c r="E140" s="815"/>
      <c r="F140" s="537"/>
      <c r="G140" s="963"/>
      <c r="H140" s="555"/>
      <c r="I140" s="642"/>
    </row>
    <row r="141" spans="1:9" ht="19.5" hidden="1" customHeight="1" outlineLevel="1" x14ac:dyDescent="0.25">
      <c r="A141" s="907">
        <f t="shared" si="0"/>
        <v>33</v>
      </c>
      <c r="B141"/>
      <c r="C141" s="813"/>
      <c r="D141" s="814"/>
      <c r="E141" s="815"/>
      <c r="F141" s="537"/>
      <c r="G141" s="963"/>
      <c r="H141" s="555"/>
      <c r="I141" s="642"/>
    </row>
    <row r="142" spans="1:9" ht="19.5" hidden="1" customHeight="1" outlineLevel="1" x14ac:dyDescent="0.25">
      <c r="A142" s="907">
        <f t="shared" si="0"/>
        <v>34</v>
      </c>
      <c r="B142"/>
      <c r="C142" s="813"/>
      <c r="D142" s="814"/>
      <c r="E142" s="815"/>
      <c r="F142" s="537"/>
      <c r="G142" s="963"/>
      <c r="H142" s="555"/>
      <c r="I142" s="642"/>
    </row>
    <row r="143" spans="1:9" ht="19.5" hidden="1" customHeight="1" outlineLevel="1" x14ac:dyDescent="0.25">
      <c r="A143" s="907">
        <f t="shared" si="0"/>
        <v>35</v>
      </c>
      <c r="B143"/>
      <c r="C143" s="813"/>
      <c r="D143" s="814"/>
      <c r="E143" s="815"/>
      <c r="F143" s="537"/>
      <c r="G143" s="963"/>
      <c r="H143" s="555"/>
      <c r="I143" s="642"/>
    </row>
    <row r="144" spans="1:9" ht="19.5" hidden="1" customHeight="1" outlineLevel="1" x14ac:dyDescent="0.25">
      <c r="A144" s="907">
        <f t="shared" si="0"/>
        <v>36</v>
      </c>
      <c r="B144"/>
      <c r="C144" s="813"/>
      <c r="D144" s="814"/>
      <c r="E144" s="815"/>
      <c r="F144" s="537"/>
      <c r="G144" s="963"/>
      <c r="H144" s="555"/>
      <c r="I144" s="642"/>
    </row>
    <row r="145" spans="1:9" ht="19.5" hidden="1" customHeight="1" outlineLevel="1" x14ac:dyDescent="0.25">
      <c r="A145" s="907">
        <f t="shared" si="0"/>
        <v>37</v>
      </c>
      <c r="B145"/>
      <c r="C145" s="813"/>
      <c r="D145" s="814"/>
      <c r="E145" s="815"/>
      <c r="F145" s="537"/>
      <c r="G145" s="963"/>
      <c r="H145" s="555"/>
      <c r="I145" s="642"/>
    </row>
    <row r="146" spans="1:9" ht="19.5" hidden="1" customHeight="1" outlineLevel="1" x14ac:dyDescent="0.25">
      <c r="A146" s="907">
        <f t="shared" si="0"/>
        <v>38</v>
      </c>
      <c r="B146"/>
      <c r="C146" s="813"/>
      <c r="D146" s="814"/>
      <c r="E146" s="815"/>
      <c r="F146" s="537"/>
      <c r="G146" s="963"/>
      <c r="H146" s="555"/>
      <c r="I146" s="642"/>
    </row>
    <row r="147" spans="1:9" ht="19.5" hidden="1" customHeight="1" outlineLevel="1" x14ac:dyDescent="0.25">
      <c r="A147" s="907">
        <f t="shared" si="0"/>
        <v>39</v>
      </c>
      <c r="B147"/>
      <c r="C147" s="813"/>
      <c r="D147" s="814"/>
      <c r="E147" s="815"/>
      <c r="F147" s="537"/>
      <c r="G147" s="963"/>
      <c r="H147" s="555"/>
      <c r="I147" s="642"/>
    </row>
    <row r="148" spans="1:9" ht="19.5" hidden="1" customHeight="1" outlineLevel="1" x14ac:dyDescent="0.25">
      <c r="A148" s="907">
        <f t="shared" si="0"/>
        <v>40</v>
      </c>
      <c r="B148"/>
      <c r="C148" s="813"/>
      <c r="D148" s="814"/>
      <c r="E148" s="815"/>
      <c r="F148" s="537"/>
      <c r="G148" s="963"/>
      <c r="H148" s="555"/>
      <c r="I148" s="642"/>
    </row>
    <row r="149" spans="1:9" ht="19.5" hidden="1" customHeight="1" outlineLevel="1" x14ac:dyDescent="0.25">
      <c r="A149" s="907">
        <f t="shared" si="0"/>
        <v>41</v>
      </c>
      <c r="B149"/>
      <c r="C149" s="813"/>
      <c r="D149" s="814"/>
      <c r="E149" s="815"/>
      <c r="F149" s="537"/>
      <c r="G149" s="963"/>
      <c r="H149" s="555"/>
      <c r="I149" s="642"/>
    </row>
    <row r="150" spans="1:9" ht="19.5" hidden="1" customHeight="1" outlineLevel="1" x14ac:dyDescent="0.25">
      <c r="A150" s="907">
        <f t="shared" si="0"/>
        <v>42</v>
      </c>
      <c r="B150"/>
      <c r="C150" s="813"/>
      <c r="D150" s="814"/>
      <c r="E150" s="815"/>
      <c r="F150" s="537"/>
      <c r="G150" s="963"/>
      <c r="H150" s="555"/>
      <c r="I150" s="642"/>
    </row>
    <row r="151" spans="1:9" ht="19.5" hidden="1" customHeight="1" outlineLevel="1" x14ac:dyDescent="0.25">
      <c r="A151" s="907">
        <f t="shared" si="0"/>
        <v>43</v>
      </c>
      <c r="B151"/>
      <c r="C151" s="813"/>
      <c r="D151" s="814"/>
      <c r="E151" s="815"/>
      <c r="F151" s="537"/>
      <c r="G151" s="963"/>
      <c r="H151" s="555"/>
      <c r="I151" s="642"/>
    </row>
    <row r="152" spans="1:9" ht="19.5" hidden="1" customHeight="1" outlineLevel="1" x14ac:dyDescent="0.25">
      <c r="A152" s="907">
        <f t="shared" si="0"/>
        <v>44</v>
      </c>
      <c r="B152"/>
      <c r="C152" s="813"/>
      <c r="D152" s="814"/>
      <c r="E152" s="815"/>
      <c r="F152" s="537"/>
      <c r="G152" s="963"/>
      <c r="H152" s="555"/>
      <c r="I152" s="642"/>
    </row>
    <row r="153" spans="1:9" ht="19.5" hidden="1" customHeight="1" outlineLevel="1" x14ac:dyDescent="0.25">
      <c r="A153" s="907">
        <f t="shared" si="0"/>
        <v>45</v>
      </c>
      <c r="B153"/>
      <c r="C153" s="813"/>
      <c r="D153" s="814"/>
      <c r="E153" s="815"/>
      <c r="F153" s="537"/>
      <c r="G153" s="963"/>
      <c r="H153" s="555"/>
      <c r="I153" s="642"/>
    </row>
    <row r="154" spans="1:9" ht="19.5" hidden="1" customHeight="1" outlineLevel="1" x14ac:dyDescent="0.25">
      <c r="A154" s="907">
        <f t="shared" si="0"/>
        <v>46</v>
      </c>
      <c r="B154"/>
      <c r="C154" s="816"/>
      <c r="D154" s="817"/>
      <c r="E154" s="815"/>
      <c r="F154" s="537"/>
      <c r="G154" s="963"/>
      <c r="H154" s="555"/>
      <c r="I154" s="642"/>
    </row>
    <row r="155" spans="1:9" ht="19.5" hidden="1" customHeight="1" outlineLevel="1" x14ac:dyDescent="0.25">
      <c r="A155" s="907">
        <f t="shared" si="0"/>
        <v>47</v>
      </c>
      <c r="B155"/>
      <c r="C155" s="818"/>
      <c r="D155" s="819"/>
      <c r="E155" s="815"/>
      <c r="F155" s="537"/>
      <c r="G155" s="963"/>
      <c r="H155" s="555"/>
      <c r="I155" s="642"/>
    </row>
    <row r="156" spans="1:9" ht="19.5" hidden="1" customHeight="1" outlineLevel="1" x14ac:dyDescent="0.25">
      <c r="A156" s="907">
        <f t="shared" si="0"/>
        <v>48</v>
      </c>
      <c r="B156"/>
      <c r="C156" s="820"/>
      <c r="D156" s="821"/>
      <c r="E156" s="815"/>
      <c r="F156" s="537"/>
      <c r="G156" s="963"/>
      <c r="H156" s="555"/>
      <c r="I156" s="642"/>
    </row>
    <row r="157" spans="1:9" ht="19.5" hidden="1" customHeight="1" outlineLevel="1" x14ac:dyDescent="0.25">
      <c r="A157" s="907">
        <f t="shared" si="0"/>
        <v>49</v>
      </c>
      <c r="B157"/>
      <c r="C157" s="813"/>
      <c r="D157" s="814"/>
      <c r="E157" s="815"/>
      <c r="F157" s="537"/>
      <c r="G157" s="963"/>
      <c r="H157" s="555"/>
      <c r="I157" s="642"/>
    </row>
    <row r="158" spans="1:9" ht="19.5" hidden="1" customHeight="1" outlineLevel="1" x14ac:dyDescent="0.25">
      <c r="A158" s="907">
        <f t="shared" si="0"/>
        <v>50</v>
      </c>
      <c r="B158"/>
      <c r="C158" s="813"/>
      <c r="D158" s="814"/>
      <c r="E158" s="815"/>
      <c r="F158" s="537"/>
      <c r="G158" s="963"/>
      <c r="H158" s="555"/>
      <c r="I158" s="642"/>
    </row>
    <row r="159" spans="1:9" ht="19.5" hidden="1" customHeight="1" outlineLevel="1" x14ac:dyDescent="0.25">
      <c r="A159" s="907">
        <f t="shared" si="0"/>
        <v>51</v>
      </c>
      <c r="B159"/>
      <c r="C159" s="813"/>
      <c r="D159" s="814"/>
      <c r="E159" s="815"/>
      <c r="F159" s="537"/>
      <c r="G159" s="963"/>
      <c r="H159" s="555"/>
      <c r="I159" s="642"/>
    </row>
    <row r="160" spans="1:9" ht="19.5" hidden="1" customHeight="1" outlineLevel="1" x14ac:dyDescent="0.25">
      <c r="A160" s="907">
        <f t="shared" si="0"/>
        <v>52</v>
      </c>
      <c r="B160"/>
      <c r="C160" s="813"/>
      <c r="D160" s="814"/>
      <c r="E160" s="815"/>
      <c r="F160" s="537"/>
      <c r="G160" s="963"/>
      <c r="H160" s="555"/>
      <c r="I160" s="642"/>
    </row>
    <row r="161" spans="1:9" ht="19.5" hidden="1" customHeight="1" outlineLevel="1" x14ac:dyDescent="0.25">
      <c r="A161" s="907">
        <f t="shared" si="0"/>
        <v>53</v>
      </c>
      <c r="B161"/>
      <c r="C161" s="813"/>
      <c r="D161" s="814"/>
      <c r="E161" s="815"/>
      <c r="F161" s="537"/>
      <c r="G161" s="963"/>
      <c r="H161" s="555"/>
      <c r="I161" s="642"/>
    </row>
    <row r="162" spans="1:9" ht="19.5" hidden="1" customHeight="1" outlineLevel="1" x14ac:dyDescent="0.25">
      <c r="A162" s="907">
        <f t="shared" si="0"/>
        <v>54</v>
      </c>
      <c r="B162"/>
      <c r="C162" s="813"/>
      <c r="D162" s="814"/>
      <c r="E162" s="815"/>
      <c r="F162" s="537"/>
      <c r="G162" s="963"/>
      <c r="H162" s="555"/>
      <c r="I162" s="642"/>
    </row>
    <row r="163" spans="1:9" ht="19.5" hidden="1" customHeight="1" outlineLevel="1" x14ac:dyDescent="0.25">
      <c r="A163" s="907">
        <f t="shared" si="0"/>
        <v>55</v>
      </c>
      <c r="B163"/>
      <c r="C163" s="813"/>
      <c r="D163" s="814"/>
      <c r="E163" s="815"/>
      <c r="F163" s="537"/>
      <c r="G163" s="963"/>
      <c r="H163" s="555"/>
      <c r="I163" s="642"/>
    </row>
    <row r="164" spans="1:9" ht="19.5" hidden="1" customHeight="1" outlineLevel="1" x14ac:dyDescent="0.25">
      <c r="A164" s="907">
        <f t="shared" si="0"/>
        <v>56</v>
      </c>
      <c r="B164"/>
      <c r="C164" s="813"/>
      <c r="D164" s="814"/>
      <c r="E164" s="815"/>
      <c r="F164" s="537"/>
      <c r="G164" s="963"/>
      <c r="H164" s="555"/>
      <c r="I164" s="642"/>
    </row>
    <row r="165" spans="1:9" ht="19.5" hidden="1" customHeight="1" outlineLevel="1" x14ac:dyDescent="0.25">
      <c r="A165" s="907">
        <f t="shared" si="0"/>
        <v>57</v>
      </c>
      <c r="B165"/>
      <c r="C165" s="813"/>
      <c r="D165" s="814"/>
      <c r="E165" s="815"/>
      <c r="F165" s="537"/>
      <c r="G165" s="963"/>
      <c r="H165" s="555"/>
      <c r="I165" s="642"/>
    </row>
    <row r="166" spans="1:9" ht="19.5" hidden="1" customHeight="1" outlineLevel="1" x14ac:dyDescent="0.25">
      <c r="A166" s="907">
        <f t="shared" si="0"/>
        <v>58</v>
      </c>
      <c r="B166"/>
      <c r="C166" s="816"/>
      <c r="D166" s="817"/>
      <c r="E166" s="815"/>
      <c r="F166" s="537"/>
      <c r="G166" s="963"/>
      <c r="H166" s="555"/>
      <c r="I166" s="642"/>
    </row>
    <row r="167" spans="1:9" ht="19.5" hidden="1" customHeight="1" outlineLevel="1" x14ac:dyDescent="0.25">
      <c r="A167" s="907">
        <f t="shared" si="0"/>
        <v>59</v>
      </c>
      <c r="B167"/>
      <c r="C167" s="813"/>
      <c r="D167" s="814"/>
      <c r="E167" s="815"/>
      <c r="F167" s="537"/>
      <c r="G167" s="963"/>
      <c r="H167" s="555"/>
      <c r="I167" s="642"/>
    </row>
    <row r="168" spans="1:9" ht="19.5" hidden="1" customHeight="1" outlineLevel="1" x14ac:dyDescent="0.25">
      <c r="A168" s="907">
        <f t="shared" si="0"/>
        <v>60</v>
      </c>
      <c r="B168"/>
      <c r="C168" s="813"/>
      <c r="D168" s="814"/>
      <c r="E168" s="815"/>
      <c r="F168" s="537"/>
      <c r="G168" s="963"/>
      <c r="H168" s="555"/>
      <c r="I168" s="642"/>
    </row>
    <row r="169" spans="1:9" ht="19.5" hidden="1" customHeight="1" outlineLevel="1" x14ac:dyDescent="0.25">
      <c r="A169" s="907">
        <f t="shared" si="0"/>
        <v>61</v>
      </c>
      <c r="B169"/>
      <c r="C169" s="813"/>
      <c r="D169" s="814"/>
      <c r="E169" s="815"/>
      <c r="F169" s="537"/>
      <c r="G169" s="963"/>
      <c r="H169" s="555"/>
      <c r="I169" s="642"/>
    </row>
    <row r="170" spans="1:9" ht="19.5" hidden="1" customHeight="1" outlineLevel="1" x14ac:dyDescent="0.25">
      <c r="A170" s="907">
        <f t="shared" si="0"/>
        <v>62</v>
      </c>
      <c r="B170"/>
      <c r="C170" s="813"/>
      <c r="D170" s="814"/>
      <c r="E170" s="815"/>
      <c r="F170" s="537"/>
      <c r="G170" s="963"/>
      <c r="H170" s="555"/>
      <c r="I170" s="642"/>
    </row>
    <row r="171" spans="1:9" ht="19.5" hidden="1" customHeight="1" outlineLevel="1" x14ac:dyDescent="0.25">
      <c r="A171" s="907">
        <f t="shared" si="0"/>
        <v>63</v>
      </c>
      <c r="B171"/>
      <c r="C171" s="813"/>
      <c r="D171" s="814"/>
      <c r="E171" s="815"/>
      <c r="F171" s="537"/>
      <c r="G171" s="963"/>
      <c r="H171" s="555"/>
      <c r="I171" s="642"/>
    </row>
    <row r="172" spans="1:9" ht="19.5" hidden="1" customHeight="1" outlineLevel="1" x14ac:dyDescent="0.25">
      <c r="A172" s="907">
        <f t="shared" si="0"/>
        <v>64</v>
      </c>
      <c r="B172"/>
      <c r="C172" s="813"/>
      <c r="D172" s="814"/>
      <c r="E172" s="815"/>
      <c r="F172" s="537"/>
      <c r="G172" s="963"/>
      <c r="H172" s="555"/>
      <c r="I172" s="642"/>
    </row>
    <row r="173" spans="1:9" ht="19.5" hidden="1" customHeight="1" outlineLevel="1" x14ac:dyDescent="0.25">
      <c r="A173" s="907">
        <f t="shared" si="0"/>
        <v>65</v>
      </c>
      <c r="B173"/>
      <c r="C173" s="813"/>
      <c r="D173" s="814"/>
      <c r="E173" s="815"/>
      <c r="F173" s="537"/>
      <c r="G173" s="963"/>
      <c r="H173" s="555"/>
      <c r="I173" s="642"/>
    </row>
    <row r="174" spans="1:9" ht="19.5" hidden="1" customHeight="1" outlineLevel="1" x14ac:dyDescent="0.25">
      <c r="A174" s="907">
        <f t="shared" si="0"/>
        <v>66</v>
      </c>
      <c r="B174"/>
      <c r="C174" s="813"/>
      <c r="D174" s="814"/>
      <c r="E174" s="815"/>
      <c r="F174" s="537"/>
      <c r="G174" s="963"/>
      <c r="H174" s="555"/>
      <c r="I174" s="642"/>
    </row>
    <row r="175" spans="1:9" ht="19.5" hidden="1" customHeight="1" outlineLevel="1" x14ac:dyDescent="0.25">
      <c r="A175" s="907">
        <f t="shared" ref="A175:A238" si="1">+A174+1</f>
        <v>67</v>
      </c>
      <c r="B175"/>
      <c r="C175" s="813"/>
      <c r="D175" s="814"/>
      <c r="E175" s="815"/>
      <c r="F175" s="537"/>
      <c r="G175" s="963"/>
      <c r="H175" s="555"/>
      <c r="I175" s="642"/>
    </row>
    <row r="176" spans="1:9" ht="19.5" hidden="1" customHeight="1" outlineLevel="1" x14ac:dyDescent="0.25">
      <c r="A176" s="907">
        <f t="shared" si="1"/>
        <v>68</v>
      </c>
      <c r="B176"/>
      <c r="C176" s="813"/>
      <c r="D176" s="814"/>
      <c r="E176" s="815"/>
      <c r="F176" s="537"/>
      <c r="G176" s="963"/>
      <c r="H176" s="555"/>
      <c r="I176" s="642"/>
    </row>
    <row r="177" spans="1:9" ht="19.5" hidden="1" customHeight="1" outlineLevel="1" x14ac:dyDescent="0.25">
      <c r="A177" s="907">
        <f t="shared" si="1"/>
        <v>69</v>
      </c>
      <c r="B177"/>
      <c r="C177" s="813"/>
      <c r="D177" s="814"/>
      <c r="E177" s="815"/>
      <c r="F177" s="537"/>
      <c r="G177" s="963"/>
      <c r="H177" s="555"/>
      <c r="I177" s="642"/>
    </row>
    <row r="178" spans="1:9" ht="19.5" hidden="1" customHeight="1" outlineLevel="1" x14ac:dyDescent="0.25">
      <c r="A178" s="907">
        <f t="shared" si="1"/>
        <v>70</v>
      </c>
      <c r="B178"/>
      <c r="C178" s="813"/>
      <c r="D178" s="814"/>
      <c r="E178" s="815"/>
      <c r="F178" s="537"/>
      <c r="G178" s="963"/>
      <c r="H178" s="555"/>
      <c r="I178" s="642"/>
    </row>
    <row r="179" spans="1:9" ht="19.5" hidden="1" customHeight="1" outlineLevel="1" x14ac:dyDescent="0.25">
      <c r="A179" s="907">
        <f t="shared" si="1"/>
        <v>71</v>
      </c>
      <c r="B179"/>
      <c r="C179" s="813"/>
      <c r="D179" s="814"/>
      <c r="E179" s="815"/>
      <c r="F179" s="537"/>
      <c r="G179" s="963"/>
      <c r="H179" s="555"/>
      <c r="I179" s="642"/>
    </row>
    <row r="180" spans="1:9" ht="19.5" hidden="1" customHeight="1" outlineLevel="1" x14ac:dyDescent="0.25">
      <c r="A180" s="907">
        <f t="shared" si="1"/>
        <v>72</v>
      </c>
      <c r="B180"/>
      <c r="C180" s="813"/>
      <c r="D180" s="814"/>
      <c r="E180" s="815"/>
      <c r="F180" s="537"/>
      <c r="G180" s="963"/>
      <c r="H180" s="555"/>
      <c r="I180" s="642"/>
    </row>
    <row r="181" spans="1:9" ht="19.5" hidden="1" customHeight="1" outlineLevel="1" x14ac:dyDescent="0.25">
      <c r="A181" s="907">
        <f t="shared" si="1"/>
        <v>73</v>
      </c>
      <c r="B181"/>
      <c r="C181" s="813"/>
      <c r="D181" s="814"/>
      <c r="E181" s="815"/>
      <c r="F181" s="537"/>
      <c r="G181" s="963"/>
      <c r="H181" s="555"/>
      <c r="I181" s="642"/>
    </row>
    <row r="182" spans="1:9" ht="19.5" hidden="1" customHeight="1" outlineLevel="1" x14ac:dyDescent="0.25">
      <c r="A182" s="907">
        <f t="shared" si="1"/>
        <v>74</v>
      </c>
      <c r="B182"/>
      <c r="C182" s="813"/>
      <c r="D182" s="814"/>
      <c r="E182" s="815"/>
      <c r="F182" s="537"/>
      <c r="G182" s="963"/>
      <c r="H182" s="555"/>
      <c r="I182" s="642"/>
    </row>
    <row r="183" spans="1:9" ht="19.5" hidden="1" customHeight="1" outlineLevel="1" x14ac:dyDescent="0.25">
      <c r="A183" s="907">
        <f t="shared" si="1"/>
        <v>75</v>
      </c>
      <c r="B183"/>
      <c r="C183" s="813"/>
      <c r="D183" s="814"/>
      <c r="E183" s="815"/>
      <c r="F183" s="537"/>
      <c r="G183" s="963"/>
      <c r="H183" s="555"/>
      <c r="I183" s="642"/>
    </row>
    <row r="184" spans="1:9" ht="19.5" hidden="1" customHeight="1" outlineLevel="1" x14ac:dyDescent="0.25">
      <c r="A184" s="907">
        <f t="shared" si="1"/>
        <v>76</v>
      </c>
      <c r="B184"/>
      <c r="C184" s="813"/>
      <c r="D184" s="814"/>
      <c r="E184" s="815"/>
      <c r="F184" s="537"/>
      <c r="G184" s="963"/>
      <c r="H184" s="555"/>
      <c r="I184" s="642"/>
    </row>
    <row r="185" spans="1:9" ht="19.5" hidden="1" customHeight="1" outlineLevel="1" x14ac:dyDescent="0.25">
      <c r="A185" s="907">
        <f t="shared" si="1"/>
        <v>77</v>
      </c>
      <c r="B185"/>
      <c r="C185" s="813"/>
      <c r="D185" s="814"/>
      <c r="E185" s="815"/>
      <c r="F185" s="537"/>
      <c r="G185" s="963"/>
      <c r="H185" s="555"/>
      <c r="I185" s="642"/>
    </row>
    <row r="186" spans="1:9" ht="19.5" hidden="1" customHeight="1" outlineLevel="1" x14ac:dyDescent="0.25">
      <c r="A186" s="907">
        <f t="shared" si="1"/>
        <v>78</v>
      </c>
      <c r="B186"/>
      <c r="C186" s="813"/>
      <c r="D186" s="814"/>
      <c r="E186" s="815"/>
      <c r="F186" s="537"/>
      <c r="G186" s="963"/>
      <c r="H186" s="555"/>
      <c r="I186" s="642"/>
    </row>
    <row r="187" spans="1:9" ht="19.5" hidden="1" customHeight="1" outlineLevel="1" x14ac:dyDescent="0.25">
      <c r="A187" s="907">
        <f t="shared" si="1"/>
        <v>79</v>
      </c>
      <c r="B187"/>
      <c r="C187" s="813"/>
      <c r="D187" s="814"/>
      <c r="E187" s="815"/>
      <c r="F187" s="537"/>
      <c r="G187" s="963"/>
      <c r="H187" s="555"/>
      <c r="I187" s="642"/>
    </row>
    <row r="188" spans="1:9" ht="19.5" hidden="1" customHeight="1" outlineLevel="1" x14ac:dyDescent="0.25">
      <c r="A188" s="907">
        <f t="shared" si="1"/>
        <v>80</v>
      </c>
      <c r="B188"/>
      <c r="C188" s="813"/>
      <c r="D188" s="814"/>
      <c r="E188" s="815"/>
      <c r="F188" s="537"/>
      <c r="G188" s="963"/>
      <c r="H188" s="555"/>
      <c r="I188" s="642"/>
    </row>
    <row r="189" spans="1:9" ht="19.5" hidden="1" customHeight="1" outlineLevel="1" x14ac:dyDescent="0.25">
      <c r="A189" s="907">
        <f t="shared" si="1"/>
        <v>81</v>
      </c>
      <c r="B189"/>
      <c r="C189" s="813"/>
      <c r="D189" s="814"/>
      <c r="E189" s="815"/>
      <c r="F189" s="537"/>
      <c r="G189" s="963"/>
      <c r="H189" s="555"/>
      <c r="I189" s="642"/>
    </row>
    <row r="190" spans="1:9" ht="19.5" hidden="1" customHeight="1" outlineLevel="1" x14ac:dyDescent="0.25">
      <c r="A190" s="907">
        <f t="shared" si="1"/>
        <v>82</v>
      </c>
      <c r="B190"/>
      <c r="C190" s="813"/>
      <c r="D190" s="814"/>
      <c r="E190" s="815"/>
      <c r="F190" s="537"/>
      <c r="G190" s="963"/>
      <c r="H190" s="555"/>
      <c r="I190" s="642"/>
    </row>
    <row r="191" spans="1:9" ht="19.5" hidden="1" customHeight="1" outlineLevel="1" x14ac:dyDescent="0.25">
      <c r="A191" s="907">
        <f t="shared" si="1"/>
        <v>83</v>
      </c>
      <c r="B191"/>
      <c r="C191" s="813"/>
      <c r="D191" s="814"/>
      <c r="E191" s="815"/>
      <c r="F191" s="537"/>
      <c r="G191" s="963"/>
      <c r="H191" s="555"/>
      <c r="I191" s="642"/>
    </row>
    <row r="192" spans="1:9" ht="19.5" hidden="1" customHeight="1" outlineLevel="1" x14ac:dyDescent="0.25">
      <c r="A192" s="907">
        <f t="shared" si="1"/>
        <v>84</v>
      </c>
      <c r="B192"/>
      <c r="C192" s="813"/>
      <c r="D192" s="814"/>
      <c r="E192" s="815"/>
      <c r="F192" s="537"/>
      <c r="G192" s="963"/>
      <c r="H192" s="555"/>
      <c r="I192" s="642"/>
    </row>
    <row r="193" spans="1:9" ht="19.5" hidden="1" customHeight="1" outlineLevel="1" x14ac:dyDescent="0.25">
      <c r="A193" s="907">
        <f t="shared" si="1"/>
        <v>85</v>
      </c>
      <c r="B193"/>
      <c r="C193" s="813"/>
      <c r="D193" s="814"/>
      <c r="E193" s="815"/>
      <c r="F193" s="537"/>
      <c r="G193" s="963"/>
      <c r="H193" s="555"/>
      <c r="I193" s="642"/>
    </row>
    <row r="194" spans="1:9" ht="19.5" hidden="1" customHeight="1" outlineLevel="1" x14ac:dyDescent="0.25">
      <c r="A194" s="907">
        <f t="shared" si="1"/>
        <v>86</v>
      </c>
      <c r="B194"/>
      <c r="C194" s="813"/>
      <c r="D194" s="814"/>
      <c r="E194" s="815"/>
      <c r="F194" s="537"/>
      <c r="G194" s="555"/>
      <c r="H194" s="555"/>
      <c r="I194" s="642"/>
    </row>
    <row r="195" spans="1:9" ht="19.5" hidden="1" customHeight="1" outlineLevel="1" x14ac:dyDescent="0.25">
      <c r="A195" s="907">
        <f t="shared" si="1"/>
        <v>87</v>
      </c>
      <c r="B195"/>
      <c r="C195" s="813"/>
      <c r="D195" s="814"/>
      <c r="E195" s="815"/>
      <c r="F195" s="537"/>
      <c r="G195" s="963"/>
      <c r="H195" s="555"/>
      <c r="I195" s="642"/>
    </row>
    <row r="196" spans="1:9" ht="19.5" hidden="1" customHeight="1" outlineLevel="1" x14ac:dyDescent="0.25">
      <c r="A196" s="907">
        <f t="shared" si="1"/>
        <v>88</v>
      </c>
      <c r="B196"/>
      <c r="C196" s="813"/>
      <c r="D196" s="814"/>
      <c r="E196" s="815"/>
      <c r="F196" s="537"/>
      <c r="G196" s="963"/>
      <c r="H196" s="555"/>
      <c r="I196" s="642"/>
    </row>
    <row r="197" spans="1:9" ht="19.5" hidden="1" customHeight="1" outlineLevel="1" x14ac:dyDescent="0.25">
      <c r="A197" s="907">
        <f t="shared" si="1"/>
        <v>89</v>
      </c>
      <c r="B197"/>
      <c r="C197" s="813"/>
      <c r="D197" s="814"/>
      <c r="E197" s="815"/>
      <c r="F197" s="537"/>
      <c r="G197" s="963"/>
      <c r="H197" s="555"/>
      <c r="I197" s="642"/>
    </row>
    <row r="198" spans="1:9" ht="19.5" hidden="1" customHeight="1" outlineLevel="1" x14ac:dyDescent="0.25">
      <c r="A198" s="907">
        <f t="shared" si="1"/>
        <v>90</v>
      </c>
      <c r="B198"/>
      <c r="C198" s="813"/>
      <c r="D198" s="814"/>
      <c r="E198" s="815"/>
      <c r="F198" s="537"/>
      <c r="G198" s="963"/>
      <c r="H198" s="555"/>
      <c r="I198" s="642"/>
    </row>
    <row r="199" spans="1:9" ht="19.5" hidden="1" customHeight="1" outlineLevel="1" x14ac:dyDescent="0.25">
      <c r="A199" s="907">
        <f t="shared" si="1"/>
        <v>91</v>
      </c>
      <c r="B199"/>
      <c r="C199" s="813"/>
      <c r="D199" s="814"/>
      <c r="E199" s="815"/>
      <c r="F199" s="537"/>
      <c r="G199" s="963"/>
      <c r="H199" s="555"/>
      <c r="I199" s="642"/>
    </row>
    <row r="200" spans="1:9" ht="19.5" hidden="1" customHeight="1" outlineLevel="1" x14ac:dyDescent="0.25">
      <c r="A200" s="907">
        <f t="shared" si="1"/>
        <v>92</v>
      </c>
      <c r="B200"/>
      <c r="C200" s="813"/>
      <c r="D200" s="814"/>
      <c r="E200" s="815"/>
      <c r="F200" s="537"/>
      <c r="G200" s="975"/>
      <c r="H200" s="555"/>
      <c r="I200" s="642"/>
    </row>
    <row r="201" spans="1:9" ht="19.5" hidden="1" customHeight="1" outlineLevel="1" x14ac:dyDescent="0.25">
      <c r="A201" s="907">
        <f t="shared" si="1"/>
        <v>93</v>
      </c>
      <c r="B201"/>
      <c r="C201" s="813"/>
      <c r="D201" s="814"/>
      <c r="E201" s="815"/>
      <c r="F201" s="537"/>
      <c r="G201" s="975"/>
      <c r="H201" s="555"/>
      <c r="I201" s="642"/>
    </row>
    <row r="202" spans="1:9" ht="19.5" hidden="1" customHeight="1" outlineLevel="1" x14ac:dyDescent="0.25">
      <c r="A202" s="907">
        <f t="shared" si="1"/>
        <v>94</v>
      </c>
      <c r="B202"/>
      <c r="C202" s="813"/>
      <c r="D202" s="814"/>
      <c r="E202" s="815"/>
      <c r="F202" s="537"/>
      <c r="G202" s="963"/>
      <c r="H202" s="555"/>
      <c r="I202" s="642"/>
    </row>
    <row r="203" spans="1:9" ht="19.5" hidden="1" customHeight="1" outlineLevel="1" x14ac:dyDescent="0.25">
      <c r="A203" s="907">
        <f t="shared" si="1"/>
        <v>95</v>
      </c>
      <c r="B203"/>
      <c r="C203" s="813"/>
      <c r="D203" s="814"/>
      <c r="E203" s="815"/>
      <c r="F203" s="537"/>
      <c r="G203" s="963"/>
      <c r="H203" s="555"/>
      <c r="I203" s="642"/>
    </row>
    <row r="204" spans="1:9" ht="19.5" hidden="1" customHeight="1" outlineLevel="1" x14ac:dyDescent="0.25">
      <c r="A204" s="907">
        <f t="shared" si="1"/>
        <v>96</v>
      </c>
      <c r="B204"/>
      <c r="C204" s="813"/>
      <c r="D204" s="814"/>
      <c r="E204" s="815"/>
      <c r="F204" s="537"/>
      <c r="G204" s="963"/>
      <c r="H204" s="555"/>
      <c r="I204" s="642"/>
    </row>
    <row r="205" spans="1:9" ht="19.5" hidden="1" customHeight="1" outlineLevel="1" x14ac:dyDescent="0.25">
      <c r="A205" s="907">
        <f t="shared" si="1"/>
        <v>97</v>
      </c>
      <c r="B205"/>
      <c r="C205" s="813"/>
      <c r="D205" s="814"/>
      <c r="E205" s="815"/>
      <c r="F205" s="537"/>
      <c r="G205" s="963"/>
      <c r="H205" s="555"/>
      <c r="I205" s="642"/>
    </row>
    <row r="206" spans="1:9" ht="19.5" hidden="1" customHeight="1" outlineLevel="1" x14ac:dyDescent="0.25">
      <c r="A206" s="907">
        <f t="shared" si="1"/>
        <v>98</v>
      </c>
      <c r="B206"/>
      <c r="C206" s="813"/>
      <c r="D206" s="814"/>
      <c r="E206" s="815"/>
      <c r="F206" s="537"/>
      <c r="G206" s="963"/>
      <c r="H206" s="555"/>
      <c r="I206" s="642"/>
    </row>
    <row r="207" spans="1:9" ht="19.5" hidden="1" customHeight="1" outlineLevel="1" x14ac:dyDescent="0.25">
      <c r="A207" s="907">
        <f t="shared" si="1"/>
        <v>99</v>
      </c>
      <c r="B207"/>
      <c r="C207" s="813"/>
      <c r="D207" s="814"/>
      <c r="E207" s="815"/>
      <c r="F207" s="537"/>
      <c r="G207" s="963"/>
      <c r="H207" s="555"/>
      <c r="I207" s="642"/>
    </row>
    <row r="208" spans="1:9" ht="19.5" hidden="1" customHeight="1" outlineLevel="1" x14ac:dyDescent="0.25">
      <c r="A208" s="907">
        <f t="shared" si="1"/>
        <v>100</v>
      </c>
      <c r="B208"/>
      <c r="C208" s="813"/>
      <c r="D208" s="814"/>
      <c r="E208" s="815"/>
      <c r="F208" s="537"/>
      <c r="G208" s="963"/>
      <c r="H208" s="555"/>
      <c r="I208" s="642"/>
    </row>
    <row r="209" spans="1:9" ht="19.5" hidden="1" customHeight="1" outlineLevel="1" x14ac:dyDescent="0.25">
      <c r="A209" s="907">
        <f t="shared" si="1"/>
        <v>101</v>
      </c>
      <c r="B209"/>
      <c r="C209" s="813"/>
      <c r="D209" s="814"/>
      <c r="E209" s="815"/>
      <c r="F209" s="537"/>
      <c r="G209" s="963"/>
      <c r="H209" s="555"/>
      <c r="I209" s="642"/>
    </row>
    <row r="210" spans="1:9" ht="19.5" hidden="1" customHeight="1" outlineLevel="1" x14ac:dyDescent="0.25">
      <c r="A210" s="907">
        <f t="shared" si="1"/>
        <v>102</v>
      </c>
      <c r="B210"/>
      <c r="C210" s="813"/>
      <c r="D210" s="814"/>
      <c r="E210" s="815"/>
      <c r="F210" s="537"/>
      <c r="G210" s="963"/>
      <c r="H210" s="555"/>
      <c r="I210" s="642"/>
    </row>
    <row r="211" spans="1:9" ht="19.5" hidden="1" customHeight="1" outlineLevel="1" x14ac:dyDescent="0.25">
      <c r="A211" s="907">
        <f t="shared" si="1"/>
        <v>103</v>
      </c>
      <c r="B211"/>
      <c r="C211" s="813"/>
      <c r="D211" s="814"/>
      <c r="E211" s="815"/>
      <c r="F211" s="537"/>
      <c r="G211" s="963"/>
      <c r="H211" s="555"/>
      <c r="I211" s="642"/>
    </row>
    <row r="212" spans="1:9" ht="19.5" hidden="1" customHeight="1" outlineLevel="1" x14ac:dyDescent="0.25">
      <c r="A212" s="907">
        <f t="shared" si="1"/>
        <v>104</v>
      </c>
      <c r="B212"/>
      <c r="C212" s="813"/>
      <c r="D212" s="814"/>
      <c r="E212" s="815"/>
      <c r="F212" s="537"/>
      <c r="G212" s="963"/>
      <c r="H212" s="555"/>
      <c r="I212" s="642"/>
    </row>
    <row r="213" spans="1:9" ht="19.5" hidden="1" customHeight="1" outlineLevel="1" x14ac:dyDescent="0.25">
      <c r="A213" s="907">
        <f t="shared" si="1"/>
        <v>105</v>
      </c>
      <c r="B213"/>
      <c r="C213" s="813"/>
      <c r="D213" s="814"/>
      <c r="E213" s="815"/>
      <c r="F213" s="537"/>
      <c r="G213" s="963"/>
      <c r="H213" s="555"/>
      <c r="I213" s="642"/>
    </row>
    <row r="214" spans="1:9" ht="19.5" hidden="1" customHeight="1" outlineLevel="1" x14ac:dyDescent="0.25">
      <c r="A214" s="907">
        <f t="shared" si="1"/>
        <v>106</v>
      </c>
      <c r="B214"/>
      <c r="C214" s="813"/>
      <c r="D214" s="814"/>
      <c r="E214" s="815"/>
      <c r="F214" s="537"/>
      <c r="G214" s="963"/>
      <c r="H214" s="555"/>
      <c r="I214" s="642"/>
    </row>
    <row r="215" spans="1:9" ht="19.5" hidden="1" customHeight="1" outlineLevel="1" x14ac:dyDescent="0.25">
      <c r="A215" s="907">
        <f t="shared" si="1"/>
        <v>107</v>
      </c>
      <c r="B215"/>
      <c r="C215" s="813"/>
      <c r="D215" s="814"/>
      <c r="E215" s="815"/>
      <c r="F215" s="537"/>
      <c r="G215" s="963"/>
      <c r="H215" s="555"/>
      <c r="I215" s="642"/>
    </row>
    <row r="216" spans="1:9" ht="19.5" hidden="1" customHeight="1" outlineLevel="1" x14ac:dyDescent="0.25">
      <c r="A216" s="907">
        <f t="shared" si="1"/>
        <v>108</v>
      </c>
      <c r="B216"/>
      <c r="C216" s="813"/>
      <c r="D216" s="814"/>
      <c r="E216" s="815"/>
      <c r="F216" s="537"/>
      <c r="G216" s="963"/>
      <c r="H216" s="555"/>
      <c r="I216" s="642"/>
    </row>
    <row r="217" spans="1:9" ht="19.5" hidden="1" customHeight="1" outlineLevel="1" x14ac:dyDescent="0.25">
      <c r="A217" s="907">
        <f t="shared" si="1"/>
        <v>109</v>
      </c>
      <c r="B217"/>
      <c r="C217" s="813"/>
      <c r="D217" s="814"/>
      <c r="E217" s="815"/>
      <c r="F217" s="537"/>
      <c r="G217" s="963"/>
      <c r="H217" s="555"/>
      <c r="I217" s="642"/>
    </row>
    <row r="218" spans="1:9" ht="19.5" hidden="1" customHeight="1" outlineLevel="1" x14ac:dyDescent="0.25">
      <c r="A218" s="907">
        <f t="shared" si="1"/>
        <v>110</v>
      </c>
      <c r="B218"/>
      <c r="C218" s="813"/>
      <c r="D218" s="814"/>
      <c r="E218" s="815"/>
      <c r="F218" s="537"/>
      <c r="G218" s="963"/>
      <c r="H218" s="555"/>
      <c r="I218" s="642"/>
    </row>
    <row r="219" spans="1:9" ht="19.5" hidden="1" customHeight="1" outlineLevel="1" x14ac:dyDescent="0.25">
      <c r="A219" s="907">
        <f t="shared" si="1"/>
        <v>111</v>
      </c>
      <c r="B219"/>
      <c r="C219" s="813"/>
      <c r="D219" s="814"/>
      <c r="E219" s="815"/>
      <c r="F219" s="537"/>
      <c r="G219" s="963"/>
      <c r="H219" s="555"/>
      <c r="I219" s="642"/>
    </row>
    <row r="220" spans="1:9" ht="19.5" hidden="1" customHeight="1" outlineLevel="1" x14ac:dyDescent="0.25">
      <c r="A220" s="907">
        <f t="shared" si="1"/>
        <v>112</v>
      </c>
      <c r="B220"/>
      <c r="C220" s="816"/>
      <c r="D220" s="817"/>
      <c r="E220" s="815"/>
      <c r="F220" s="537"/>
      <c r="G220" s="963"/>
      <c r="H220" s="555"/>
      <c r="I220" s="642"/>
    </row>
    <row r="221" spans="1:9" ht="19.5" hidden="1" customHeight="1" outlineLevel="1" x14ac:dyDescent="0.25">
      <c r="A221" s="907">
        <f t="shared" si="1"/>
        <v>113</v>
      </c>
      <c r="B221"/>
      <c r="C221" s="813"/>
      <c r="D221" s="814"/>
      <c r="E221" s="815"/>
      <c r="F221" s="537"/>
      <c r="G221" s="963"/>
      <c r="H221" s="555"/>
      <c r="I221" s="642"/>
    </row>
    <row r="222" spans="1:9" ht="19.5" hidden="1" customHeight="1" outlineLevel="1" x14ac:dyDescent="0.25">
      <c r="A222" s="907">
        <f t="shared" si="1"/>
        <v>114</v>
      </c>
      <c r="B222"/>
      <c r="C222" s="813"/>
      <c r="D222" s="814"/>
      <c r="E222" s="815"/>
      <c r="F222" s="537"/>
      <c r="G222" s="963"/>
      <c r="H222" s="555"/>
      <c r="I222" s="642"/>
    </row>
    <row r="223" spans="1:9" ht="19.5" hidden="1" customHeight="1" outlineLevel="1" x14ac:dyDescent="0.25">
      <c r="A223" s="907">
        <f t="shared" si="1"/>
        <v>115</v>
      </c>
      <c r="B223"/>
      <c r="C223" s="813"/>
      <c r="D223" s="814"/>
      <c r="E223" s="815"/>
      <c r="F223" s="537"/>
      <c r="G223" s="963"/>
      <c r="H223" s="555"/>
      <c r="I223" s="642"/>
    </row>
    <row r="224" spans="1:9" ht="19.5" hidden="1" customHeight="1" outlineLevel="1" x14ac:dyDescent="0.25">
      <c r="A224" s="907">
        <f t="shared" si="1"/>
        <v>116</v>
      </c>
      <c r="B224"/>
      <c r="C224" s="813"/>
      <c r="D224" s="814"/>
      <c r="E224" s="815"/>
      <c r="F224" s="537"/>
      <c r="G224" s="963"/>
      <c r="H224" s="555"/>
      <c r="I224" s="642"/>
    </row>
    <row r="225" spans="1:10" ht="19.5" hidden="1" customHeight="1" outlineLevel="1" x14ac:dyDescent="0.25">
      <c r="A225" s="907">
        <f t="shared" si="1"/>
        <v>117</v>
      </c>
      <c r="B225"/>
      <c r="C225" s="813"/>
      <c r="D225" s="814"/>
      <c r="E225" s="815"/>
      <c r="F225" s="537"/>
      <c r="G225" s="963"/>
      <c r="H225" s="555"/>
      <c r="I225" s="642"/>
    </row>
    <row r="226" spans="1:10" ht="19.5" hidden="1" customHeight="1" outlineLevel="1" x14ac:dyDescent="0.25">
      <c r="A226" s="907">
        <f t="shared" si="1"/>
        <v>118</v>
      </c>
      <c r="B226"/>
      <c r="C226" s="813"/>
      <c r="D226" s="814"/>
      <c r="E226" s="815"/>
      <c r="F226" s="537"/>
      <c r="G226" s="963"/>
      <c r="H226" s="555"/>
      <c r="I226" s="642"/>
    </row>
    <row r="227" spans="1:10" ht="19.5" hidden="1" customHeight="1" outlineLevel="1" x14ac:dyDescent="0.25">
      <c r="A227" s="907">
        <f t="shared" si="1"/>
        <v>119</v>
      </c>
      <c r="B227"/>
      <c r="C227" s="813"/>
      <c r="D227" s="814"/>
      <c r="E227" s="815"/>
      <c r="F227" s="537"/>
      <c r="G227" s="963"/>
      <c r="H227" s="555"/>
      <c r="I227" s="642"/>
    </row>
    <row r="228" spans="1:10" ht="19.5" hidden="1" customHeight="1" outlineLevel="1" x14ac:dyDescent="0.25">
      <c r="A228" s="907">
        <f t="shared" si="1"/>
        <v>120</v>
      </c>
      <c r="B228"/>
      <c r="C228" s="813"/>
      <c r="D228" s="814"/>
      <c r="E228" s="815"/>
      <c r="F228" s="537"/>
      <c r="G228" s="963"/>
      <c r="H228" s="555"/>
      <c r="I228" s="642"/>
    </row>
    <row r="229" spans="1:10" ht="19.5" hidden="1" customHeight="1" outlineLevel="1" x14ac:dyDescent="0.25">
      <c r="A229" s="907">
        <f t="shared" si="1"/>
        <v>121</v>
      </c>
      <c r="B229"/>
      <c r="C229" s="813"/>
      <c r="D229" s="814"/>
      <c r="E229" s="815"/>
      <c r="F229" s="537"/>
      <c r="G229" s="963"/>
      <c r="H229" s="555"/>
      <c r="I229" s="642"/>
      <c r="J229" s="629"/>
    </row>
    <row r="230" spans="1:10" ht="19.5" hidden="1" customHeight="1" outlineLevel="1" x14ac:dyDescent="0.25">
      <c r="A230" s="907">
        <f t="shared" si="1"/>
        <v>122</v>
      </c>
      <c r="B230"/>
      <c r="C230" s="813"/>
      <c r="D230" s="814"/>
      <c r="E230" s="815"/>
      <c r="F230" s="537"/>
      <c r="G230" s="963"/>
      <c r="H230" s="555"/>
      <c r="I230" s="642"/>
    </row>
    <row r="231" spans="1:10" ht="19.5" hidden="1" customHeight="1" outlineLevel="1" x14ac:dyDescent="0.25">
      <c r="A231" s="907">
        <f t="shared" si="1"/>
        <v>123</v>
      </c>
      <c r="B231"/>
      <c r="C231" s="813"/>
      <c r="D231" s="814"/>
      <c r="E231" s="815"/>
      <c r="F231" s="537"/>
      <c r="G231" s="963"/>
      <c r="H231" s="555"/>
      <c r="I231" s="642"/>
    </row>
    <row r="232" spans="1:10" ht="19.5" hidden="1" customHeight="1" outlineLevel="1" x14ac:dyDescent="0.25">
      <c r="A232" s="907">
        <f t="shared" si="1"/>
        <v>124</v>
      </c>
      <c r="B232"/>
      <c r="C232" s="813"/>
      <c r="D232" s="814"/>
      <c r="E232" s="815"/>
      <c r="F232" s="537"/>
      <c r="G232" s="963"/>
      <c r="H232" s="555"/>
      <c r="I232" s="642"/>
    </row>
    <row r="233" spans="1:10" ht="19.5" hidden="1" customHeight="1" outlineLevel="1" x14ac:dyDescent="0.25">
      <c r="A233" s="907">
        <f t="shared" si="1"/>
        <v>125</v>
      </c>
      <c r="B233"/>
      <c r="C233" s="813"/>
      <c r="D233" s="814"/>
      <c r="E233" s="815"/>
      <c r="F233" s="537"/>
      <c r="G233" s="963"/>
      <c r="H233" s="555"/>
      <c r="I233" s="642"/>
    </row>
    <row r="234" spans="1:10" ht="19.5" hidden="1" customHeight="1" outlineLevel="1" x14ac:dyDescent="0.25">
      <c r="A234" s="907">
        <f t="shared" si="1"/>
        <v>126</v>
      </c>
      <c r="B234"/>
      <c r="C234" s="813"/>
      <c r="D234" s="814"/>
      <c r="E234" s="815"/>
      <c r="F234" s="537"/>
      <c r="G234" s="963"/>
      <c r="H234" s="555"/>
      <c r="I234" s="642"/>
    </row>
    <row r="235" spans="1:10" ht="19.5" hidden="1" customHeight="1" outlineLevel="1" x14ac:dyDescent="0.25">
      <c r="A235" s="907">
        <f t="shared" si="1"/>
        <v>127</v>
      </c>
      <c r="B235"/>
      <c r="C235" s="813"/>
      <c r="D235" s="814"/>
      <c r="E235" s="815"/>
      <c r="F235" s="537"/>
      <c r="G235" s="963"/>
      <c r="H235" s="555"/>
      <c r="I235" s="642"/>
    </row>
    <row r="236" spans="1:10" ht="19.5" hidden="1" customHeight="1" outlineLevel="1" x14ac:dyDescent="0.25">
      <c r="A236" s="907">
        <f t="shared" si="1"/>
        <v>128</v>
      </c>
      <c r="B236"/>
      <c r="C236" s="813"/>
      <c r="D236" s="814"/>
      <c r="E236" s="815"/>
      <c r="F236" s="537"/>
      <c r="G236" s="963"/>
      <c r="H236" s="555"/>
      <c r="I236" s="642"/>
    </row>
    <row r="237" spans="1:10" ht="19.5" hidden="1" customHeight="1" outlineLevel="1" x14ac:dyDescent="0.25">
      <c r="A237" s="907">
        <f t="shared" si="1"/>
        <v>129</v>
      </c>
      <c r="B237"/>
      <c r="C237" s="813"/>
      <c r="D237" s="814"/>
      <c r="E237" s="815"/>
      <c r="F237" s="537"/>
      <c r="G237" s="963"/>
      <c r="H237" s="555"/>
      <c r="I237" s="642"/>
    </row>
    <row r="238" spans="1:10" ht="19.5" hidden="1" customHeight="1" outlineLevel="1" x14ac:dyDescent="0.25">
      <c r="A238" s="907">
        <f t="shared" si="1"/>
        <v>130</v>
      </c>
      <c r="B238"/>
      <c r="C238" s="813"/>
      <c r="D238" s="814"/>
      <c r="E238" s="815"/>
      <c r="F238" s="537"/>
      <c r="G238" s="963"/>
      <c r="H238" s="555"/>
      <c r="I238" s="642"/>
    </row>
    <row r="239" spans="1:10" ht="19.5" hidden="1" customHeight="1" outlineLevel="1" x14ac:dyDescent="0.25">
      <c r="A239" s="907">
        <f t="shared" ref="A239:A302" si="2">+A238+1</f>
        <v>131</v>
      </c>
      <c r="B239"/>
      <c r="C239" s="813"/>
      <c r="D239" s="814"/>
      <c r="E239" s="815"/>
      <c r="F239" s="537"/>
      <c r="G239" s="963"/>
      <c r="H239" s="555"/>
      <c r="I239" s="642"/>
    </row>
    <row r="240" spans="1:10" ht="19.5" hidden="1" customHeight="1" outlineLevel="1" x14ac:dyDescent="0.25">
      <c r="A240" s="907">
        <f t="shared" si="2"/>
        <v>132</v>
      </c>
      <c r="B240"/>
      <c r="C240" s="813"/>
      <c r="D240" s="814"/>
      <c r="E240" s="815"/>
      <c r="F240" s="537"/>
      <c r="G240" s="963"/>
      <c r="H240" s="555"/>
      <c r="I240" s="642"/>
    </row>
    <row r="241" spans="1:10" ht="19.5" hidden="1" customHeight="1" outlineLevel="1" x14ac:dyDescent="0.25">
      <c r="A241" s="907">
        <f t="shared" si="2"/>
        <v>133</v>
      </c>
      <c r="B241"/>
      <c r="C241" s="813"/>
      <c r="D241" s="814"/>
      <c r="E241" s="815"/>
      <c r="F241" s="537"/>
      <c r="G241" s="963"/>
      <c r="H241" s="555"/>
      <c r="I241" s="642"/>
    </row>
    <row r="242" spans="1:10" ht="19.5" hidden="1" customHeight="1" outlineLevel="1" x14ac:dyDescent="0.25">
      <c r="A242" s="907">
        <f t="shared" si="2"/>
        <v>134</v>
      </c>
      <c r="B242"/>
      <c r="C242" s="813"/>
      <c r="D242" s="814"/>
      <c r="E242" s="815"/>
      <c r="F242" s="537"/>
      <c r="G242" s="963"/>
      <c r="H242" s="555"/>
      <c r="I242" s="642"/>
    </row>
    <row r="243" spans="1:10" ht="19.5" hidden="1" customHeight="1" outlineLevel="1" x14ac:dyDescent="0.25">
      <c r="A243" s="907">
        <f t="shared" si="2"/>
        <v>135</v>
      </c>
      <c r="B243"/>
      <c r="C243" s="813"/>
      <c r="D243" s="814"/>
      <c r="E243" s="815"/>
      <c r="F243" s="537"/>
      <c r="G243" s="963"/>
      <c r="H243" s="555"/>
      <c r="I243" s="642"/>
    </row>
    <row r="244" spans="1:10" ht="19.5" hidden="1" customHeight="1" outlineLevel="1" x14ac:dyDescent="0.25">
      <c r="A244" s="907">
        <f t="shared" si="2"/>
        <v>136</v>
      </c>
      <c r="B244"/>
      <c r="C244" s="813"/>
      <c r="D244" s="814"/>
      <c r="E244" s="815"/>
      <c r="F244" s="537"/>
      <c r="G244" s="963"/>
      <c r="H244" s="555"/>
      <c r="I244" s="642"/>
    </row>
    <row r="245" spans="1:10" ht="19.5" hidden="1" customHeight="1" outlineLevel="1" x14ac:dyDescent="0.25">
      <c r="A245" s="907">
        <f t="shared" si="2"/>
        <v>137</v>
      </c>
      <c r="B245"/>
      <c r="C245" s="813"/>
      <c r="D245" s="814"/>
      <c r="E245" s="815"/>
      <c r="F245" s="537"/>
      <c r="G245" s="963"/>
      <c r="H245" s="555"/>
      <c r="I245" s="642"/>
    </row>
    <row r="246" spans="1:10" ht="19.5" hidden="1" customHeight="1" outlineLevel="1" x14ac:dyDescent="0.25">
      <c r="A246" s="907">
        <f t="shared" si="2"/>
        <v>138</v>
      </c>
      <c r="B246"/>
      <c r="C246" s="813"/>
      <c r="D246" s="814"/>
      <c r="E246" s="815"/>
      <c r="F246" s="537"/>
      <c r="G246" s="555"/>
      <c r="H246" s="555"/>
      <c r="I246" s="642"/>
    </row>
    <row r="247" spans="1:10" ht="19.5" hidden="1" customHeight="1" outlineLevel="1" x14ac:dyDescent="0.25">
      <c r="A247" s="907">
        <f t="shared" si="2"/>
        <v>139</v>
      </c>
      <c r="B247"/>
      <c r="C247" s="813"/>
      <c r="D247" s="814"/>
      <c r="E247" s="815"/>
      <c r="F247" s="537"/>
      <c r="G247" s="963"/>
      <c r="H247" s="555"/>
      <c r="I247" s="642"/>
    </row>
    <row r="248" spans="1:10" ht="19.5" hidden="1" customHeight="1" outlineLevel="1" x14ac:dyDescent="0.25">
      <c r="A248" s="907">
        <f t="shared" si="2"/>
        <v>140</v>
      </c>
      <c r="B248"/>
      <c r="C248" s="813"/>
      <c r="D248" s="814"/>
      <c r="E248" s="815"/>
      <c r="F248" s="538"/>
      <c r="G248" s="555"/>
      <c r="H248" s="555"/>
      <c r="I248" s="642"/>
    </row>
    <row r="249" spans="1:10" ht="19.5" hidden="1" customHeight="1" outlineLevel="1" x14ac:dyDescent="0.25">
      <c r="A249" s="907">
        <f t="shared" si="2"/>
        <v>141</v>
      </c>
      <c r="B249"/>
      <c r="C249" s="813"/>
      <c r="D249" s="814"/>
      <c r="E249" s="815"/>
      <c r="F249" s="537"/>
      <c r="G249" s="963"/>
      <c r="H249" s="555"/>
      <c r="I249" s="642"/>
      <c r="J249" s="629"/>
    </row>
    <row r="250" spans="1:10" ht="19.5" hidden="1" customHeight="1" outlineLevel="1" x14ac:dyDescent="0.25">
      <c r="A250" s="907">
        <f t="shared" si="2"/>
        <v>142</v>
      </c>
      <c r="B250"/>
      <c r="C250" s="813"/>
      <c r="D250" s="814"/>
      <c r="E250" s="815"/>
      <c r="F250" s="537"/>
      <c r="G250" s="963"/>
      <c r="H250" s="555"/>
      <c r="I250" s="642"/>
    </row>
    <row r="251" spans="1:10" ht="19.5" hidden="1" customHeight="1" outlineLevel="1" x14ac:dyDescent="0.25">
      <c r="A251" s="907">
        <f t="shared" si="2"/>
        <v>143</v>
      </c>
      <c r="B251"/>
      <c r="C251" s="816"/>
      <c r="D251" s="817"/>
      <c r="E251" s="815"/>
      <c r="F251" s="537"/>
      <c r="G251" s="963"/>
      <c r="H251" s="555"/>
      <c r="I251" s="642"/>
    </row>
    <row r="252" spans="1:10" ht="19.5" hidden="1" customHeight="1" outlineLevel="1" x14ac:dyDescent="0.25">
      <c r="A252" s="907">
        <f t="shared" si="2"/>
        <v>144</v>
      </c>
      <c r="B252"/>
      <c r="C252" s="813"/>
      <c r="D252" s="814"/>
      <c r="E252" s="815"/>
      <c r="F252" s="538"/>
      <c r="G252" s="555"/>
      <c r="H252" s="555"/>
      <c r="I252" s="642"/>
    </row>
    <row r="253" spans="1:10" ht="19.5" hidden="1" customHeight="1" outlineLevel="1" x14ac:dyDescent="0.25">
      <c r="A253" s="907">
        <f t="shared" si="2"/>
        <v>145</v>
      </c>
      <c r="B253"/>
      <c r="C253" s="813"/>
      <c r="D253" s="814"/>
      <c r="E253" s="815"/>
      <c r="F253" s="537"/>
      <c r="G253" s="963"/>
      <c r="H253" s="555"/>
      <c r="I253" s="642"/>
    </row>
    <row r="254" spans="1:10" ht="19.5" hidden="1" customHeight="1" outlineLevel="1" x14ac:dyDescent="0.25">
      <c r="A254" s="907">
        <f t="shared" si="2"/>
        <v>146</v>
      </c>
      <c r="B254"/>
      <c r="C254" s="813"/>
      <c r="D254" s="814"/>
      <c r="E254" s="815"/>
      <c r="F254" s="537"/>
      <c r="G254" s="963"/>
      <c r="H254" s="555"/>
      <c r="I254" s="642"/>
    </row>
    <row r="255" spans="1:10" ht="19.5" hidden="1" customHeight="1" outlineLevel="1" x14ac:dyDescent="0.25">
      <c r="A255" s="907">
        <f t="shared" si="2"/>
        <v>147</v>
      </c>
      <c r="B255"/>
      <c r="C255" s="813"/>
      <c r="D255" s="814"/>
      <c r="E255" s="815"/>
      <c r="F255" s="537"/>
      <c r="G255" s="963"/>
      <c r="H255" s="555"/>
      <c r="I255" s="642"/>
    </row>
    <row r="256" spans="1:10" ht="19.5" hidden="1" customHeight="1" outlineLevel="1" x14ac:dyDescent="0.25">
      <c r="A256" s="907">
        <f t="shared" si="2"/>
        <v>148</v>
      </c>
      <c r="B256"/>
      <c r="C256" s="813"/>
      <c r="D256" s="814"/>
      <c r="E256" s="815"/>
      <c r="F256" s="537"/>
      <c r="G256" s="963"/>
      <c r="H256" s="555"/>
      <c r="I256" s="642"/>
    </row>
    <row r="257" spans="1:9" ht="19.5" hidden="1" customHeight="1" outlineLevel="1" x14ac:dyDescent="0.25">
      <c r="A257" s="907">
        <f t="shared" si="2"/>
        <v>149</v>
      </c>
      <c r="B257"/>
      <c r="C257" s="813"/>
      <c r="D257" s="814"/>
      <c r="E257" s="815"/>
      <c r="F257" s="537"/>
      <c r="G257" s="963"/>
      <c r="H257" s="555"/>
      <c r="I257" s="642"/>
    </row>
    <row r="258" spans="1:9" ht="19.5" hidden="1" customHeight="1" outlineLevel="1" x14ac:dyDescent="0.25">
      <c r="A258" s="907">
        <f t="shared" si="2"/>
        <v>150</v>
      </c>
      <c r="B258"/>
      <c r="C258" s="816"/>
      <c r="D258" s="817"/>
      <c r="E258" s="815"/>
      <c r="F258" s="537"/>
      <c r="G258" s="975"/>
      <c r="H258" s="555"/>
      <c r="I258" s="642"/>
    </row>
    <row r="259" spans="1:9" ht="19.5" hidden="1" customHeight="1" outlineLevel="1" x14ac:dyDescent="0.25">
      <c r="A259" s="907">
        <f t="shared" si="2"/>
        <v>151</v>
      </c>
      <c r="B259"/>
      <c r="C259" s="813"/>
      <c r="D259" s="814"/>
      <c r="E259" s="815"/>
      <c r="F259" s="537"/>
      <c r="G259" s="963"/>
      <c r="H259" s="555"/>
      <c r="I259" s="642"/>
    </row>
    <row r="260" spans="1:9" ht="19.5" hidden="1" customHeight="1" outlineLevel="1" x14ac:dyDescent="0.25">
      <c r="A260" s="907">
        <f t="shared" si="2"/>
        <v>152</v>
      </c>
      <c r="B260"/>
      <c r="C260" s="813"/>
      <c r="D260" s="814"/>
      <c r="E260" s="815"/>
      <c r="F260" s="537"/>
      <c r="G260" s="963"/>
      <c r="H260" s="555"/>
      <c r="I260" s="642"/>
    </row>
    <row r="261" spans="1:9" ht="19.5" hidden="1" customHeight="1" outlineLevel="1" x14ac:dyDescent="0.25">
      <c r="A261" s="907">
        <f t="shared" si="2"/>
        <v>153</v>
      </c>
      <c r="B261"/>
      <c r="C261" s="813"/>
      <c r="D261" s="814"/>
      <c r="E261" s="822"/>
      <c r="F261" s="537"/>
      <c r="G261" s="963"/>
      <c r="H261" s="555"/>
      <c r="I261" s="642"/>
    </row>
    <row r="262" spans="1:9" ht="19.5" hidden="1" customHeight="1" outlineLevel="1" x14ac:dyDescent="0.25">
      <c r="A262" s="907">
        <f t="shared" si="2"/>
        <v>154</v>
      </c>
      <c r="B262"/>
      <c r="C262" s="813"/>
      <c r="D262" s="814"/>
      <c r="E262" s="822"/>
      <c r="F262" s="537"/>
      <c r="G262" s="963"/>
      <c r="H262" s="555"/>
      <c r="I262" s="642"/>
    </row>
    <row r="263" spans="1:9" ht="19.5" hidden="1" customHeight="1" outlineLevel="1" x14ac:dyDescent="0.25">
      <c r="A263" s="907">
        <f t="shared" si="2"/>
        <v>155</v>
      </c>
      <c r="B263"/>
      <c r="C263" s="813"/>
      <c r="D263" s="814"/>
      <c r="E263" s="822"/>
      <c r="F263" s="537"/>
      <c r="G263" s="963"/>
      <c r="H263" s="555"/>
      <c r="I263" s="642"/>
    </row>
    <row r="264" spans="1:9" ht="19.5" hidden="1" customHeight="1" outlineLevel="1" x14ac:dyDescent="0.25">
      <c r="A264" s="907">
        <f t="shared" si="2"/>
        <v>156</v>
      </c>
      <c r="B264"/>
      <c r="C264" s="813"/>
      <c r="D264" s="814"/>
      <c r="E264" s="822"/>
      <c r="F264" s="537"/>
      <c r="G264" s="963"/>
      <c r="H264" s="555"/>
      <c r="I264" s="642"/>
    </row>
    <row r="265" spans="1:9" ht="19.5" hidden="1" customHeight="1" outlineLevel="1" x14ac:dyDescent="0.25">
      <c r="A265" s="907">
        <f t="shared" si="2"/>
        <v>157</v>
      </c>
      <c r="B265"/>
      <c r="C265" s="813"/>
      <c r="D265" s="814"/>
      <c r="E265" s="822"/>
      <c r="F265" s="537"/>
      <c r="G265" s="963"/>
      <c r="H265" s="555"/>
      <c r="I265" s="642"/>
    </row>
    <row r="266" spans="1:9" ht="19.5" hidden="1" customHeight="1" outlineLevel="1" x14ac:dyDescent="0.25">
      <c r="A266" s="907">
        <f t="shared" si="2"/>
        <v>158</v>
      </c>
      <c r="B266"/>
      <c r="C266" s="813"/>
      <c r="D266" s="814"/>
      <c r="E266" s="822"/>
      <c r="F266" s="537"/>
      <c r="G266" s="963"/>
      <c r="H266" s="555"/>
      <c r="I266" s="642"/>
    </row>
    <row r="267" spans="1:9" ht="19.5" hidden="1" customHeight="1" outlineLevel="1" x14ac:dyDescent="0.25">
      <c r="A267" s="907">
        <f t="shared" si="2"/>
        <v>159</v>
      </c>
      <c r="B267"/>
      <c r="C267" s="813"/>
      <c r="D267" s="814"/>
      <c r="E267" s="822"/>
      <c r="F267" s="537"/>
      <c r="G267" s="963"/>
      <c r="H267" s="555"/>
      <c r="I267" s="642"/>
    </row>
    <row r="268" spans="1:9" ht="19.5" hidden="1" customHeight="1" outlineLevel="1" x14ac:dyDescent="0.25">
      <c r="A268" s="907">
        <f t="shared" si="2"/>
        <v>160</v>
      </c>
      <c r="B268"/>
      <c r="C268" s="813"/>
      <c r="D268" s="814"/>
      <c r="E268" s="822"/>
      <c r="F268" s="537"/>
      <c r="G268" s="963"/>
      <c r="H268" s="555"/>
      <c r="I268" s="642"/>
    </row>
    <row r="269" spans="1:9" ht="19.5" hidden="1" customHeight="1" outlineLevel="1" x14ac:dyDescent="0.25">
      <c r="A269" s="907">
        <f t="shared" si="2"/>
        <v>161</v>
      </c>
      <c r="B269"/>
      <c r="C269" s="813"/>
      <c r="D269" s="814"/>
      <c r="E269" s="822"/>
      <c r="F269" s="537"/>
      <c r="G269" s="963"/>
      <c r="H269" s="555"/>
      <c r="I269" s="642"/>
    </row>
    <row r="270" spans="1:9" ht="19.5" hidden="1" customHeight="1" outlineLevel="1" x14ac:dyDescent="0.25">
      <c r="A270" s="907">
        <f t="shared" si="2"/>
        <v>162</v>
      </c>
      <c r="B270"/>
      <c r="C270" s="813"/>
      <c r="D270" s="814"/>
      <c r="E270" s="822"/>
      <c r="F270" s="537"/>
      <c r="G270" s="963"/>
      <c r="H270" s="555"/>
      <c r="I270" s="642"/>
    </row>
    <row r="271" spans="1:9" ht="19.5" hidden="1" customHeight="1" outlineLevel="1" x14ac:dyDescent="0.25">
      <c r="A271" s="907">
        <f t="shared" si="2"/>
        <v>163</v>
      </c>
      <c r="B271"/>
      <c r="C271" s="813"/>
      <c r="D271" s="814"/>
      <c r="E271" s="822"/>
      <c r="F271" s="537"/>
      <c r="G271" s="963"/>
      <c r="H271" s="555"/>
      <c r="I271" s="642"/>
    </row>
    <row r="272" spans="1:9" ht="19.5" hidden="1" customHeight="1" outlineLevel="1" x14ac:dyDescent="0.25">
      <c r="A272" s="907">
        <f t="shared" si="2"/>
        <v>164</v>
      </c>
      <c r="B272"/>
      <c r="C272" s="813"/>
      <c r="D272" s="814"/>
      <c r="E272" s="822"/>
      <c r="F272" s="537"/>
      <c r="G272" s="963"/>
      <c r="H272" s="555"/>
      <c r="I272" s="642"/>
    </row>
    <row r="273" spans="1:9" ht="19.5" hidden="1" customHeight="1" outlineLevel="1" x14ac:dyDescent="0.25">
      <c r="A273" s="907">
        <f t="shared" si="2"/>
        <v>165</v>
      </c>
      <c r="B273"/>
      <c r="C273" s="813"/>
      <c r="D273" s="814"/>
      <c r="E273" s="822"/>
      <c r="F273" s="537"/>
      <c r="G273" s="963"/>
      <c r="H273" s="555"/>
      <c r="I273" s="642"/>
    </row>
    <row r="274" spans="1:9" ht="19.5" hidden="1" customHeight="1" outlineLevel="1" x14ac:dyDescent="0.25">
      <c r="A274" s="907">
        <f t="shared" si="2"/>
        <v>166</v>
      </c>
      <c r="B274"/>
      <c r="C274" s="813"/>
      <c r="D274" s="814"/>
      <c r="E274" s="822"/>
      <c r="F274" s="537"/>
      <c r="G274" s="963"/>
      <c r="H274" s="555"/>
      <c r="I274" s="642"/>
    </row>
    <row r="275" spans="1:9" ht="19.5" hidden="1" customHeight="1" outlineLevel="1" x14ac:dyDescent="0.25">
      <c r="A275" s="907">
        <f t="shared" si="2"/>
        <v>167</v>
      </c>
      <c r="B275"/>
      <c r="C275" s="813"/>
      <c r="D275" s="814"/>
      <c r="E275" s="822"/>
      <c r="F275" s="537"/>
      <c r="G275" s="963"/>
      <c r="H275" s="555"/>
      <c r="I275" s="642"/>
    </row>
    <row r="276" spans="1:9" ht="19.5" hidden="1" customHeight="1" outlineLevel="1" x14ac:dyDescent="0.25">
      <c r="A276" s="907">
        <f t="shared" si="2"/>
        <v>168</v>
      </c>
      <c r="B276"/>
      <c r="C276" s="813"/>
      <c r="D276" s="814"/>
      <c r="E276" s="822"/>
      <c r="F276" s="537"/>
      <c r="G276" s="963"/>
      <c r="H276" s="555"/>
      <c r="I276" s="642"/>
    </row>
    <row r="277" spans="1:9" ht="19.5" hidden="1" customHeight="1" outlineLevel="1" x14ac:dyDescent="0.25">
      <c r="A277" s="907">
        <f t="shared" si="2"/>
        <v>169</v>
      </c>
      <c r="B277"/>
      <c r="C277" s="813"/>
      <c r="D277" s="814"/>
      <c r="E277" s="822"/>
      <c r="F277" s="537"/>
      <c r="G277" s="963"/>
      <c r="H277" s="555"/>
      <c r="I277" s="642"/>
    </row>
    <row r="278" spans="1:9" ht="19.5" hidden="1" customHeight="1" outlineLevel="1" x14ac:dyDescent="0.25">
      <c r="A278" s="907">
        <f t="shared" si="2"/>
        <v>170</v>
      </c>
      <c r="B278"/>
      <c r="C278" s="813"/>
      <c r="D278" s="814"/>
      <c r="E278" s="822"/>
      <c r="F278" s="537"/>
      <c r="G278" s="963"/>
      <c r="H278" s="555"/>
      <c r="I278" s="642"/>
    </row>
    <row r="279" spans="1:9" ht="19.5" hidden="1" customHeight="1" outlineLevel="1" x14ac:dyDescent="0.25">
      <c r="A279" s="907">
        <f t="shared" si="2"/>
        <v>171</v>
      </c>
      <c r="B279"/>
      <c r="C279" s="813"/>
      <c r="D279" s="814"/>
      <c r="E279" s="822"/>
      <c r="F279" s="537"/>
      <c r="G279" s="963"/>
      <c r="H279" s="555"/>
      <c r="I279" s="642"/>
    </row>
    <row r="280" spans="1:9" ht="19.5" hidden="1" customHeight="1" outlineLevel="1" x14ac:dyDescent="0.25">
      <c r="A280" s="907">
        <f t="shared" si="2"/>
        <v>172</v>
      </c>
      <c r="B280"/>
      <c r="C280" s="813"/>
      <c r="D280" s="814"/>
      <c r="E280" s="822"/>
      <c r="F280" s="537"/>
      <c r="G280" s="963"/>
      <c r="H280" s="555"/>
      <c r="I280" s="642"/>
    </row>
    <row r="281" spans="1:9" ht="19.5" hidden="1" customHeight="1" outlineLevel="1" x14ac:dyDescent="0.25">
      <c r="A281" s="907">
        <f t="shared" si="2"/>
        <v>173</v>
      </c>
      <c r="B281"/>
      <c r="C281" s="813"/>
      <c r="D281" s="814"/>
      <c r="E281" s="822"/>
      <c r="F281" s="537"/>
      <c r="G281" s="963"/>
      <c r="H281" s="555"/>
      <c r="I281" s="642"/>
    </row>
    <row r="282" spans="1:9" ht="19.5" hidden="1" customHeight="1" outlineLevel="1" x14ac:dyDescent="0.25">
      <c r="A282" s="907">
        <f t="shared" si="2"/>
        <v>174</v>
      </c>
      <c r="B282"/>
      <c r="C282" s="813"/>
      <c r="D282" s="814"/>
      <c r="E282" s="822"/>
      <c r="F282" s="537"/>
      <c r="G282" s="963"/>
      <c r="H282" s="555"/>
      <c r="I282" s="642"/>
    </row>
    <row r="283" spans="1:9" ht="19.5" hidden="1" customHeight="1" outlineLevel="1" x14ac:dyDescent="0.25">
      <c r="A283" s="907">
        <f t="shared" si="2"/>
        <v>175</v>
      </c>
      <c r="B283"/>
      <c r="C283" s="813"/>
      <c r="D283" s="814"/>
      <c r="E283" s="823"/>
      <c r="F283" s="537"/>
      <c r="G283" s="963"/>
      <c r="H283" s="555"/>
      <c r="I283" s="642"/>
    </row>
    <row r="284" spans="1:9" ht="19.5" hidden="1" customHeight="1" outlineLevel="1" x14ac:dyDescent="0.25">
      <c r="A284" s="907">
        <f t="shared" si="2"/>
        <v>176</v>
      </c>
      <c r="B284"/>
      <c r="C284" s="813"/>
      <c r="D284" s="814"/>
      <c r="E284" s="823"/>
      <c r="F284" s="537"/>
      <c r="G284" s="963"/>
      <c r="H284" s="555"/>
      <c r="I284" s="642"/>
    </row>
    <row r="285" spans="1:9" ht="19.5" hidden="1" customHeight="1" outlineLevel="1" x14ac:dyDescent="0.25">
      <c r="A285" s="907">
        <f t="shared" si="2"/>
        <v>177</v>
      </c>
      <c r="B285"/>
      <c r="C285" s="816"/>
      <c r="D285" s="817"/>
      <c r="E285" s="823"/>
      <c r="F285" s="537"/>
      <c r="G285" s="963"/>
      <c r="H285" s="555"/>
      <c r="I285" s="642"/>
    </row>
    <row r="286" spans="1:9" ht="19.5" hidden="1" customHeight="1" outlineLevel="1" x14ac:dyDescent="0.25">
      <c r="A286" s="907">
        <f t="shared" si="2"/>
        <v>178</v>
      </c>
      <c r="B286"/>
      <c r="C286" s="813"/>
      <c r="D286" s="814"/>
      <c r="E286" s="823"/>
      <c r="F286" s="537"/>
      <c r="G286" s="963"/>
      <c r="H286" s="555"/>
      <c r="I286" s="642"/>
    </row>
    <row r="287" spans="1:9" ht="19.5" hidden="1" customHeight="1" outlineLevel="1" x14ac:dyDescent="0.25">
      <c r="A287" s="907">
        <f t="shared" si="2"/>
        <v>179</v>
      </c>
      <c r="B287"/>
      <c r="C287" s="813"/>
      <c r="D287" s="814"/>
      <c r="E287" s="823"/>
      <c r="F287" s="537"/>
      <c r="G287" s="963"/>
      <c r="H287" s="555"/>
      <c r="I287" s="642"/>
    </row>
    <row r="288" spans="1:9" ht="19.5" hidden="1" customHeight="1" outlineLevel="1" x14ac:dyDescent="0.25">
      <c r="A288" s="907">
        <f t="shared" si="2"/>
        <v>180</v>
      </c>
      <c r="B288"/>
      <c r="C288" s="813"/>
      <c r="D288" s="814"/>
      <c r="E288" s="823"/>
      <c r="F288" s="537"/>
      <c r="G288" s="963"/>
      <c r="H288" s="555"/>
      <c r="I288" s="642"/>
    </row>
    <row r="289" spans="1:9" ht="19.5" hidden="1" customHeight="1" outlineLevel="1" x14ac:dyDescent="0.25">
      <c r="A289" s="907">
        <f t="shared" si="2"/>
        <v>181</v>
      </c>
      <c r="B289"/>
      <c r="C289" s="813"/>
      <c r="D289" s="814"/>
      <c r="E289" s="823"/>
      <c r="F289" s="537"/>
      <c r="G289" s="963"/>
      <c r="H289" s="555"/>
      <c r="I289" s="642"/>
    </row>
    <row r="290" spans="1:9" ht="19.5" hidden="1" customHeight="1" outlineLevel="1" x14ac:dyDescent="0.25">
      <c r="A290" s="907">
        <f t="shared" si="2"/>
        <v>182</v>
      </c>
      <c r="B290"/>
      <c r="C290" s="813"/>
      <c r="D290" s="814"/>
      <c r="E290" s="823"/>
      <c r="F290" s="537"/>
      <c r="G290" s="963"/>
      <c r="H290" s="555"/>
      <c r="I290" s="642"/>
    </row>
    <row r="291" spans="1:9" ht="19.5" hidden="1" customHeight="1" outlineLevel="1" x14ac:dyDescent="0.25">
      <c r="A291" s="907">
        <f t="shared" si="2"/>
        <v>183</v>
      </c>
      <c r="B291"/>
      <c r="C291" s="813"/>
      <c r="D291" s="814"/>
      <c r="E291" s="823"/>
      <c r="F291" s="537"/>
      <c r="G291" s="963"/>
      <c r="H291" s="555"/>
      <c r="I291" s="642"/>
    </row>
    <row r="292" spans="1:9" ht="19.5" hidden="1" customHeight="1" outlineLevel="1" x14ac:dyDescent="0.25">
      <c r="A292" s="907">
        <f t="shared" si="2"/>
        <v>184</v>
      </c>
      <c r="B292"/>
      <c r="C292" s="813"/>
      <c r="D292" s="814"/>
      <c r="E292" s="823"/>
      <c r="F292" s="537"/>
      <c r="G292" s="963"/>
      <c r="H292" s="555"/>
      <c r="I292" s="642"/>
    </row>
    <row r="293" spans="1:9" ht="19.5" hidden="1" customHeight="1" outlineLevel="1" x14ac:dyDescent="0.25">
      <c r="A293" s="907">
        <f t="shared" si="2"/>
        <v>185</v>
      </c>
      <c r="B293"/>
      <c r="C293" s="813"/>
      <c r="D293" s="814"/>
      <c r="E293" s="823"/>
      <c r="F293" s="537"/>
      <c r="G293" s="963"/>
      <c r="H293" s="555"/>
      <c r="I293" s="642"/>
    </row>
    <row r="294" spans="1:9" ht="19.5" hidden="1" customHeight="1" outlineLevel="1" x14ac:dyDescent="0.25">
      <c r="A294" s="907">
        <f t="shared" si="2"/>
        <v>186</v>
      </c>
      <c r="B294"/>
      <c r="C294" s="813"/>
      <c r="D294" s="814"/>
      <c r="E294" s="823"/>
      <c r="F294" s="537"/>
      <c r="G294" s="963"/>
      <c r="H294" s="555"/>
      <c r="I294" s="642"/>
    </row>
    <row r="295" spans="1:9" ht="19.5" hidden="1" customHeight="1" outlineLevel="1" x14ac:dyDescent="0.25">
      <c r="A295" s="907">
        <f t="shared" si="2"/>
        <v>187</v>
      </c>
      <c r="B295"/>
      <c r="C295" s="813"/>
      <c r="D295" s="814"/>
      <c r="E295" s="823"/>
      <c r="F295" s="537"/>
      <c r="G295" s="963"/>
      <c r="H295" s="555"/>
      <c r="I295" s="642"/>
    </row>
    <row r="296" spans="1:9" ht="19.5" hidden="1" customHeight="1" outlineLevel="1" x14ac:dyDescent="0.25">
      <c r="A296" s="907">
        <f t="shared" si="2"/>
        <v>188</v>
      </c>
      <c r="B296"/>
      <c r="C296" s="813"/>
      <c r="D296" s="814"/>
      <c r="E296" s="823"/>
      <c r="F296" s="537"/>
      <c r="G296" s="963"/>
      <c r="H296" s="555"/>
      <c r="I296" s="642"/>
    </row>
    <row r="297" spans="1:9" ht="19.5" hidden="1" customHeight="1" outlineLevel="1" x14ac:dyDescent="0.25">
      <c r="A297" s="907">
        <f t="shared" si="2"/>
        <v>189</v>
      </c>
      <c r="B297"/>
      <c r="C297" s="813"/>
      <c r="D297" s="814"/>
      <c r="E297" s="823"/>
      <c r="F297" s="537"/>
      <c r="G297" s="963"/>
      <c r="H297" s="555"/>
      <c r="I297" s="642"/>
    </row>
    <row r="298" spans="1:9" ht="19.5" hidden="1" customHeight="1" outlineLevel="1" x14ac:dyDescent="0.25">
      <c r="A298" s="907">
        <f t="shared" si="2"/>
        <v>190</v>
      </c>
      <c r="B298"/>
      <c r="C298" s="813"/>
      <c r="D298" s="814"/>
      <c r="E298" s="823"/>
      <c r="F298" s="537"/>
      <c r="G298" s="963"/>
      <c r="H298" s="555"/>
      <c r="I298" s="642"/>
    </row>
    <row r="299" spans="1:9" ht="19.5" hidden="1" customHeight="1" outlineLevel="1" x14ac:dyDescent="0.25">
      <c r="A299" s="907">
        <f t="shared" si="2"/>
        <v>191</v>
      </c>
      <c r="B299"/>
      <c r="C299" s="813"/>
      <c r="D299" s="814"/>
      <c r="E299" s="823"/>
      <c r="F299" s="537"/>
      <c r="G299" s="963"/>
      <c r="H299" s="555"/>
      <c r="I299" s="642"/>
    </row>
    <row r="300" spans="1:9" ht="19.5" hidden="1" customHeight="1" outlineLevel="1" x14ac:dyDescent="0.25">
      <c r="A300" s="907">
        <f t="shared" si="2"/>
        <v>192</v>
      </c>
      <c r="B300"/>
      <c r="C300" s="813"/>
      <c r="D300" s="814"/>
      <c r="E300" s="823"/>
      <c r="F300" s="537"/>
      <c r="G300" s="963"/>
      <c r="H300" s="555"/>
      <c r="I300" s="642"/>
    </row>
    <row r="301" spans="1:9" ht="19.5" hidden="1" customHeight="1" outlineLevel="1" x14ac:dyDescent="0.25">
      <c r="A301" s="907">
        <f t="shared" si="2"/>
        <v>193</v>
      </c>
      <c r="B301"/>
      <c r="C301" s="813"/>
      <c r="D301" s="814"/>
      <c r="E301" s="823"/>
      <c r="F301" s="537"/>
      <c r="G301" s="963"/>
      <c r="H301" s="555"/>
      <c r="I301" s="642"/>
    </row>
    <row r="302" spans="1:9" ht="19.5" hidden="1" customHeight="1" outlineLevel="1" x14ac:dyDescent="0.25">
      <c r="A302" s="907">
        <f t="shared" si="2"/>
        <v>194</v>
      </c>
      <c r="B302"/>
      <c r="C302" s="813"/>
      <c r="D302" s="814"/>
      <c r="E302" s="823"/>
      <c r="F302" s="537"/>
      <c r="G302" s="963"/>
      <c r="H302" s="555"/>
      <c r="I302" s="642"/>
    </row>
    <row r="303" spans="1:9" ht="19.5" hidden="1" customHeight="1" outlineLevel="1" x14ac:dyDescent="0.25">
      <c r="A303" s="907">
        <f t="shared" ref="A303:A366" si="3">+A302+1</f>
        <v>195</v>
      </c>
      <c r="B303"/>
      <c r="C303" s="813"/>
      <c r="D303" s="814"/>
      <c r="E303" s="823"/>
      <c r="F303" s="537"/>
      <c r="G303" s="963"/>
      <c r="H303" s="555"/>
      <c r="I303" s="642"/>
    </row>
    <row r="304" spans="1:9" ht="19.5" hidden="1" customHeight="1" outlineLevel="1" x14ac:dyDescent="0.25">
      <c r="A304" s="907">
        <f t="shared" si="3"/>
        <v>196</v>
      </c>
      <c r="B304"/>
      <c r="C304" s="813"/>
      <c r="D304" s="814"/>
      <c r="E304" s="823"/>
      <c r="F304" s="537"/>
      <c r="G304" s="963"/>
      <c r="H304" s="555"/>
      <c r="I304" s="642"/>
    </row>
    <row r="305" spans="1:9" ht="19.5" hidden="1" customHeight="1" outlineLevel="1" x14ac:dyDescent="0.25">
      <c r="A305" s="907">
        <f t="shared" si="3"/>
        <v>197</v>
      </c>
      <c r="B305"/>
      <c r="C305" s="813"/>
      <c r="D305" s="814"/>
      <c r="E305" s="823"/>
      <c r="F305" s="537"/>
      <c r="G305" s="963"/>
      <c r="H305" s="555"/>
      <c r="I305" s="642"/>
    </row>
    <row r="306" spans="1:9" ht="19.5" hidden="1" customHeight="1" outlineLevel="1" x14ac:dyDescent="0.25">
      <c r="A306" s="907">
        <f t="shared" si="3"/>
        <v>198</v>
      </c>
      <c r="B306"/>
      <c r="C306" s="813"/>
      <c r="D306" s="814"/>
      <c r="E306" s="823"/>
      <c r="F306" s="537"/>
      <c r="G306" s="963"/>
      <c r="H306" s="555"/>
      <c r="I306" s="642"/>
    </row>
    <row r="307" spans="1:9" ht="19.5" hidden="1" customHeight="1" outlineLevel="1" x14ac:dyDescent="0.25">
      <c r="A307" s="907">
        <f t="shared" si="3"/>
        <v>199</v>
      </c>
      <c r="B307"/>
      <c r="C307" s="813"/>
      <c r="D307" s="814"/>
      <c r="E307" s="823"/>
      <c r="F307" s="537"/>
      <c r="G307" s="963"/>
      <c r="H307" s="555"/>
      <c r="I307" s="642"/>
    </row>
    <row r="308" spans="1:9" ht="19.5" hidden="1" customHeight="1" outlineLevel="1" x14ac:dyDescent="0.25">
      <c r="A308" s="907">
        <f t="shared" si="3"/>
        <v>200</v>
      </c>
      <c r="B308"/>
      <c r="C308" s="813"/>
      <c r="D308" s="814"/>
      <c r="E308" s="823"/>
      <c r="F308" s="537"/>
      <c r="G308" s="963"/>
      <c r="H308" s="555"/>
      <c r="I308" s="642"/>
    </row>
    <row r="309" spans="1:9" ht="19.5" hidden="1" customHeight="1" outlineLevel="1" x14ac:dyDescent="0.25">
      <c r="A309" s="907">
        <f t="shared" si="3"/>
        <v>201</v>
      </c>
      <c r="B309"/>
      <c r="C309" s="813"/>
      <c r="D309" s="814"/>
      <c r="E309" s="823"/>
      <c r="F309" s="537"/>
      <c r="G309" s="963"/>
      <c r="H309" s="555"/>
      <c r="I309" s="642"/>
    </row>
    <row r="310" spans="1:9" ht="19.5" hidden="1" customHeight="1" outlineLevel="1" x14ac:dyDescent="0.25">
      <c r="A310" s="907">
        <f t="shared" si="3"/>
        <v>202</v>
      </c>
      <c r="B310"/>
      <c r="C310" s="813"/>
      <c r="D310" s="814"/>
      <c r="E310" s="823"/>
      <c r="F310" s="537"/>
      <c r="G310" s="963"/>
      <c r="H310" s="555"/>
      <c r="I310" s="642"/>
    </row>
    <row r="311" spans="1:9" ht="19.5" hidden="1" customHeight="1" outlineLevel="1" x14ac:dyDescent="0.25">
      <c r="A311" s="907">
        <f t="shared" si="3"/>
        <v>203</v>
      </c>
      <c r="B311"/>
      <c r="C311" s="813"/>
      <c r="D311" s="814"/>
      <c r="E311" s="823"/>
      <c r="F311" s="537"/>
      <c r="G311" s="963"/>
      <c r="H311" s="555"/>
      <c r="I311" s="642"/>
    </row>
    <row r="312" spans="1:9" ht="19.5" hidden="1" customHeight="1" outlineLevel="1" x14ac:dyDescent="0.25">
      <c r="A312" s="907">
        <f t="shared" si="3"/>
        <v>204</v>
      </c>
      <c r="B312"/>
      <c r="C312" s="813"/>
      <c r="D312" s="814"/>
      <c r="E312" s="823"/>
      <c r="F312" s="537"/>
      <c r="G312" s="985"/>
      <c r="H312" s="555"/>
      <c r="I312" s="642"/>
    </row>
    <row r="313" spans="1:9" ht="19.5" hidden="1" customHeight="1" outlineLevel="1" x14ac:dyDescent="0.25">
      <c r="A313" s="907">
        <f t="shared" si="3"/>
        <v>205</v>
      </c>
      <c r="B313"/>
      <c r="C313" s="813"/>
      <c r="D313" s="814"/>
      <c r="E313" s="823"/>
      <c r="F313" s="537"/>
      <c r="G313" s="963"/>
      <c r="H313" s="555"/>
      <c r="I313" s="642"/>
    </row>
    <row r="314" spans="1:9" ht="19.5" hidden="1" customHeight="1" outlineLevel="1" x14ac:dyDescent="0.25">
      <c r="A314" s="907">
        <f t="shared" si="3"/>
        <v>206</v>
      </c>
      <c r="B314"/>
      <c r="C314" s="813"/>
      <c r="D314" s="814"/>
      <c r="E314" s="823"/>
      <c r="F314" s="537"/>
      <c r="G314" s="963"/>
      <c r="H314" s="555"/>
      <c r="I314" s="642"/>
    </row>
    <row r="315" spans="1:9" ht="19.5" hidden="1" customHeight="1" outlineLevel="1" x14ac:dyDescent="0.25">
      <c r="A315" s="907">
        <f t="shared" si="3"/>
        <v>207</v>
      </c>
      <c r="B315"/>
      <c r="C315" s="813"/>
      <c r="D315" s="814"/>
      <c r="E315" s="823"/>
      <c r="F315" s="537"/>
      <c r="G315" s="963"/>
      <c r="H315" s="555"/>
      <c r="I315" s="642"/>
    </row>
    <row r="316" spans="1:9" ht="19.5" hidden="1" customHeight="1" outlineLevel="1" x14ac:dyDescent="0.25">
      <c r="A316" s="907">
        <f t="shared" si="3"/>
        <v>208</v>
      </c>
      <c r="B316"/>
      <c r="C316" s="813"/>
      <c r="D316" s="814"/>
      <c r="E316" s="823"/>
      <c r="F316" s="537"/>
      <c r="G316" s="963"/>
      <c r="H316" s="555"/>
      <c r="I316" s="642"/>
    </row>
    <row r="317" spans="1:9" ht="19.5" hidden="1" customHeight="1" outlineLevel="1" x14ac:dyDescent="0.25">
      <c r="A317" s="907">
        <f t="shared" si="3"/>
        <v>209</v>
      </c>
      <c r="B317"/>
      <c r="C317" s="813"/>
      <c r="D317" s="814"/>
      <c r="E317" s="823"/>
      <c r="F317" s="537"/>
      <c r="G317" s="963"/>
      <c r="H317" s="555"/>
      <c r="I317" s="642"/>
    </row>
    <row r="318" spans="1:9" ht="19.5" hidden="1" customHeight="1" outlineLevel="1" x14ac:dyDescent="0.25">
      <c r="A318" s="907">
        <f t="shared" si="3"/>
        <v>210</v>
      </c>
      <c r="B318"/>
      <c r="C318" s="813"/>
      <c r="D318" s="814"/>
      <c r="E318" s="823"/>
      <c r="F318" s="537"/>
      <c r="G318" s="963"/>
      <c r="H318" s="555"/>
      <c r="I318" s="642"/>
    </row>
    <row r="319" spans="1:9" ht="19.5" hidden="1" customHeight="1" outlineLevel="1" x14ac:dyDescent="0.25">
      <c r="A319" s="907">
        <f t="shared" si="3"/>
        <v>211</v>
      </c>
      <c r="B319"/>
      <c r="C319" s="813"/>
      <c r="D319" s="814"/>
      <c r="E319" s="823"/>
      <c r="F319" s="537"/>
      <c r="G319" s="963"/>
      <c r="H319" s="555"/>
      <c r="I319" s="642"/>
    </row>
    <row r="320" spans="1:9" ht="19.5" hidden="1" customHeight="1" outlineLevel="1" x14ac:dyDescent="0.25">
      <c r="A320" s="907">
        <f t="shared" si="3"/>
        <v>212</v>
      </c>
      <c r="B320"/>
      <c r="C320" s="813"/>
      <c r="D320" s="814"/>
      <c r="E320" s="823"/>
      <c r="F320" s="537"/>
      <c r="G320" s="963"/>
      <c r="H320" s="555"/>
      <c r="I320" s="642"/>
    </row>
    <row r="321" spans="1:9" ht="19.5" hidden="1" customHeight="1" outlineLevel="1" x14ac:dyDescent="0.25">
      <c r="A321" s="907">
        <f t="shared" si="3"/>
        <v>213</v>
      </c>
      <c r="B321"/>
      <c r="C321" s="813"/>
      <c r="D321" s="814"/>
      <c r="E321" s="823"/>
      <c r="F321" s="537"/>
      <c r="G321" s="963"/>
      <c r="H321" s="555"/>
      <c r="I321" s="642"/>
    </row>
    <row r="322" spans="1:9" ht="19.5" hidden="1" customHeight="1" outlineLevel="1" x14ac:dyDescent="0.25">
      <c r="A322" s="907">
        <f t="shared" si="3"/>
        <v>214</v>
      </c>
      <c r="B322"/>
      <c r="C322" s="813"/>
      <c r="D322" s="814"/>
      <c r="E322" s="823"/>
      <c r="F322" s="537"/>
      <c r="G322" s="963"/>
      <c r="H322" s="555"/>
      <c r="I322" s="642"/>
    </row>
    <row r="323" spans="1:9" ht="19.5" hidden="1" customHeight="1" outlineLevel="1" x14ac:dyDescent="0.25">
      <c r="A323" s="907">
        <f t="shared" si="3"/>
        <v>215</v>
      </c>
      <c r="B323"/>
      <c r="C323" s="813"/>
      <c r="D323" s="814"/>
      <c r="E323" s="823"/>
      <c r="F323" s="537"/>
      <c r="G323" s="963"/>
      <c r="H323" s="555"/>
      <c r="I323" s="642"/>
    </row>
    <row r="324" spans="1:9" ht="19.5" hidden="1" customHeight="1" outlineLevel="1" x14ac:dyDescent="0.25">
      <c r="A324" s="907">
        <f t="shared" si="3"/>
        <v>216</v>
      </c>
      <c r="B324"/>
      <c r="C324" s="813"/>
      <c r="D324" s="814"/>
      <c r="E324" s="823"/>
      <c r="F324" s="537"/>
      <c r="G324" s="963"/>
      <c r="H324" s="555"/>
      <c r="I324" s="642"/>
    </row>
    <row r="325" spans="1:9" ht="19.5" hidden="1" customHeight="1" outlineLevel="1" x14ac:dyDescent="0.25">
      <c r="A325" s="907">
        <f t="shared" si="3"/>
        <v>217</v>
      </c>
      <c r="B325"/>
      <c r="C325" s="813"/>
      <c r="D325" s="814"/>
      <c r="E325" s="823"/>
      <c r="F325" s="537"/>
      <c r="G325" s="963"/>
      <c r="H325" s="555"/>
      <c r="I325" s="642"/>
    </row>
    <row r="326" spans="1:9" ht="19.5" hidden="1" customHeight="1" outlineLevel="1" x14ac:dyDescent="0.25">
      <c r="A326" s="907">
        <f t="shared" si="3"/>
        <v>218</v>
      </c>
      <c r="B326"/>
      <c r="C326" s="813"/>
      <c r="D326" s="814"/>
      <c r="E326" s="823"/>
      <c r="F326" s="537"/>
      <c r="G326" s="963"/>
      <c r="H326" s="555"/>
      <c r="I326" s="642"/>
    </row>
    <row r="327" spans="1:9" ht="19.5" hidden="1" customHeight="1" outlineLevel="1" x14ac:dyDescent="0.25">
      <c r="A327" s="907">
        <f t="shared" si="3"/>
        <v>219</v>
      </c>
      <c r="B327"/>
      <c r="C327" s="813"/>
      <c r="D327" s="814"/>
      <c r="E327" s="823"/>
      <c r="F327" s="537"/>
      <c r="G327" s="963"/>
      <c r="H327" s="555"/>
      <c r="I327" s="642"/>
    </row>
    <row r="328" spans="1:9" ht="19.5" hidden="1" customHeight="1" outlineLevel="1" x14ac:dyDescent="0.25">
      <c r="A328" s="907">
        <f t="shared" si="3"/>
        <v>220</v>
      </c>
      <c r="B328"/>
      <c r="C328" s="813"/>
      <c r="D328" s="814"/>
      <c r="E328" s="823"/>
      <c r="F328" s="537"/>
      <c r="G328" s="963"/>
      <c r="H328" s="555"/>
      <c r="I328" s="642"/>
    </row>
    <row r="329" spans="1:9" ht="19.5" hidden="1" customHeight="1" outlineLevel="1" x14ac:dyDescent="0.25">
      <c r="A329" s="907">
        <f t="shared" si="3"/>
        <v>221</v>
      </c>
      <c r="B329"/>
      <c r="C329" s="813"/>
      <c r="D329" s="814"/>
      <c r="E329" s="823"/>
      <c r="F329" s="537"/>
      <c r="G329" s="963"/>
      <c r="H329" s="555"/>
      <c r="I329" s="642"/>
    </row>
    <row r="330" spans="1:9" ht="19.5" hidden="1" customHeight="1" outlineLevel="1" x14ac:dyDescent="0.25">
      <c r="A330" s="907">
        <f t="shared" si="3"/>
        <v>222</v>
      </c>
      <c r="B330"/>
      <c r="C330" s="813"/>
      <c r="D330" s="814"/>
      <c r="E330" s="823"/>
      <c r="F330" s="537"/>
      <c r="G330" s="708"/>
      <c r="H330" s="555"/>
      <c r="I330" s="642"/>
    </row>
    <row r="331" spans="1:9" ht="19.5" hidden="1" customHeight="1" outlineLevel="1" x14ac:dyDescent="0.25">
      <c r="A331" s="907">
        <f t="shared" si="3"/>
        <v>223</v>
      </c>
      <c r="B331"/>
      <c r="C331" s="813"/>
      <c r="D331" s="814"/>
      <c r="E331" s="823"/>
      <c r="F331" s="537"/>
      <c r="G331" s="708"/>
      <c r="H331" s="555"/>
      <c r="I331" s="642"/>
    </row>
    <row r="332" spans="1:9" ht="19.5" hidden="1" customHeight="1" outlineLevel="1" x14ac:dyDescent="0.25">
      <c r="A332" s="907">
        <f t="shared" si="3"/>
        <v>224</v>
      </c>
      <c r="B332"/>
      <c r="C332" s="813"/>
      <c r="D332" s="814"/>
      <c r="E332" s="823"/>
      <c r="F332" s="537"/>
      <c r="G332" s="708"/>
      <c r="H332" s="555"/>
      <c r="I332" s="642"/>
    </row>
    <row r="333" spans="1:9" ht="19.5" hidden="1" customHeight="1" outlineLevel="1" x14ac:dyDescent="0.25">
      <c r="A333" s="907">
        <f t="shared" si="3"/>
        <v>225</v>
      </c>
      <c r="B333"/>
      <c r="C333" s="813"/>
      <c r="D333" s="814"/>
      <c r="E333" s="823"/>
      <c r="F333" s="537"/>
      <c r="G333" s="708"/>
      <c r="H333" s="555"/>
      <c r="I333" s="642"/>
    </row>
    <row r="334" spans="1:9" ht="19.5" hidden="1" customHeight="1" outlineLevel="1" x14ac:dyDescent="0.25">
      <c r="A334" s="907">
        <f t="shared" si="3"/>
        <v>226</v>
      </c>
      <c r="B334"/>
      <c r="C334" s="813"/>
      <c r="D334" s="814"/>
      <c r="E334" s="823"/>
      <c r="F334" s="537"/>
      <c r="G334" s="708"/>
      <c r="H334" s="555"/>
      <c r="I334" s="642"/>
    </row>
    <row r="335" spans="1:9" ht="19.5" hidden="1" customHeight="1" outlineLevel="1" x14ac:dyDescent="0.25">
      <c r="A335" s="907">
        <f t="shared" si="3"/>
        <v>227</v>
      </c>
      <c r="B335"/>
      <c r="C335" s="813"/>
      <c r="D335" s="814"/>
      <c r="E335" s="823"/>
      <c r="F335" s="537"/>
      <c r="G335" s="708"/>
      <c r="H335" s="555"/>
      <c r="I335" s="642"/>
    </row>
    <row r="336" spans="1:9" ht="19.5" hidden="1" customHeight="1" outlineLevel="1" x14ac:dyDescent="0.25">
      <c r="A336" s="907">
        <f t="shared" si="3"/>
        <v>228</v>
      </c>
      <c r="B336"/>
      <c r="C336" s="813"/>
      <c r="D336" s="814"/>
      <c r="E336" s="823"/>
      <c r="F336" s="537"/>
      <c r="G336" s="708"/>
      <c r="H336" s="555"/>
      <c r="I336" s="642"/>
    </row>
    <row r="337" spans="1:9" ht="19.5" hidden="1" customHeight="1" outlineLevel="1" x14ac:dyDescent="0.25">
      <c r="A337" s="907">
        <f t="shared" si="3"/>
        <v>229</v>
      </c>
      <c r="B337"/>
      <c r="C337" s="813"/>
      <c r="D337" s="814"/>
      <c r="E337" s="823"/>
      <c r="F337" s="537"/>
      <c r="G337" s="963"/>
      <c r="H337" s="555"/>
      <c r="I337" s="642"/>
    </row>
    <row r="338" spans="1:9" ht="19.5" hidden="1" customHeight="1" outlineLevel="1" x14ac:dyDescent="0.25">
      <c r="A338" s="907">
        <f t="shared" si="3"/>
        <v>230</v>
      </c>
      <c r="B338"/>
      <c r="C338" s="813"/>
      <c r="D338" s="814"/>
      <c r="E338" s="823"/>
      <c r="F338" s="537"/>
      <c r="G338" s="963"/>
      <c r="H338" s="555"/>
      <c r="I338" s="642"/>
    </row>
    <row r="339" spans="1:9" ht="19.5" hidden="1" customHeight="1" outlineLevel="1" x14ac:dyDescent="0.25">
      <c r="A339" s="907">
        <f t="shared" si="3"/>
        <v>231</v>
      </c>
      <c r="B339"/>
      <c r="C339" s="813"/>
      <c r="D339" s="814"/>
      <c r="E339" s="823"/>
      <c r="F339" s="537"/>
      <c r="G339" s="963"/>
      <c r="H339" s="555"/>
      <c r="I339" s="642"/>
    </row>
    <row r="340" spans="1:9" ht="19.5" hidden="1" customHeight="1" outlineLevel="1" x14ac:dyDescent="0.25">
      <c r="A340" s="907">
        <f t="shared" si="3"/>
        <v>232</v>
      </c>
      <c r="B340"/>
      <c r="C340" s="813"/>
      <c r="D340" s="814"/>
      <c r="E340" s="823"/>
      <c r="F340" s="537"/>
      <c r="G340" s="963"/>
      <c r="H340" s="555"/>
      <c r="I340" s="642"/>
    </row>
    <row r="341" spans="1:9" ht="19.5" hidden="1" customHeight="1" outlineLevel="1" x14ac:dyDescent="0.25">
      <c r="A341" s="907">
        <f t="shared" si="3"/>
        <v>233</v>
      </c>
      <c r="B341"/>
      <c r="C341" s="813"/>
      <c r="D341" s="814"/>
      <c r="E341" s="823"/>
      <c r="F341" s="537"/>
      <c r="G341" s="963"/>
      <c r="H341" s="555"/>
      <c r="I341" s="642"/>
    </row>
    <row r="342" spans="1:9" ht="19.5" hidden="1" customHeight="1" outlineLevel="1" x14ac:dyDescent="0.25">
      <c r="A342" s="907">
        <f t="shared" si="3"/>
        <v>234</v>
      </c>
      <c r="B342"/>
      <c r="C342" s="813"/>
      <c r="D342" s="814"/>
      <c r="E342" s="823"/>
      <c r="F342" s="537"/>
      <c r="G342" s="963"/>
      <c r="H342" s="555"/>
      <c r="I342" s="642"/>
    </row>
    <row r="343" spans="1:9" ht="19.5" hidden="1" customHeight="1" outlineLevel="1" x14ac:dyDescent="0.25">
      <c r="A343" s="907">
        <f t="shared" si="3"/>
        <v>235</v>
      </c>
      <c r="B343"/>
      <c r="C343" s="813"/>
      <c r="D343" s="814"/>
      <c r="E343" s="823"/>
      <c r="F343" s="537"/>
      <c r="G343" s="963"/>
      <c r="H343" s="555"/>
      <c r="I343" s="642"/>
    </row>
    <row r="344" spans="1:9" ht="19.5" hidden="1" customHeight="1" outlineLevel="1" x14ac:dyDescent="0.25">
      <c r="A344" s="907">
        <f t="shared" si="3"/>
        <v>236</v>
      </c>
      <c r="B344"/>
      <c r="C344" s="813"/>
      <c r="D344" s="814"/>
      <c r="E344" s="823"/>
      <c r="F344" s="537"/>
      <c r="G344" s="963"/>
      <c r="H344" s="555"/>
      <c r="I344" s="642"/>
    </row>
    <row r="345" spans="1:9" ht="19.5" hidden="1" customHeight="1" outlineLevel="1" x14ac:dyDescent="0.25">
      <c r="A345" s="907">
        <f t="shared" si="3"/>
        <v>237</v>
      </c>
      <c r="B345"/>
      <c r="C345" s="813"/>
      <c r="D345" s="814"/>
      <c r="E345" s="823"/>
      <c r="F345" s="537"/>
      <c r="G345" s="963"/>
      <c r="H345" s="555"/>
      <c r="I345" s="642"/>
    </row>
    <row r="346" spans="1:9" ht="19.5" hidden="1" customHeight="1" outlineLevel="1" x14ac:dyDescent="0.25">
      <c r="A346" s="907">
        <f t="shared" si="3"/>
        <v>238</v>
      </c>
      <c r="B346"/>
      <c r="C346" s="813"/>
      <c r="D346" s="814"/>
      <c r="E346" s="823"/>
      <c r="F346" s="537"/>
      <c r="G346" s="963"/>
      <c r="H346" s="555"/>
      <c r="I346" s="642"/>
    </row>
    <row r="347" spans="1:9" ht="19.5" hidden="1" customHeight="1" outlineLevel="1" x14ac:dyDescent="0.25">
      <c r="A347" s="907">
        <f t="shared" si="3"/>
        <v>239</v>
      </c>
      <c r="B347"/>
      <c r="C347" s="813"/>
      <c r="D347" s="814"/>
      <c r="E347" s="823"/>
      <c r="F347" s="537"/>
      <c r="G347" s="963"/>
      <c r="H347" s="555"/>
      <c r="I347" s="642"/>
    </row>
    <row r="348" spans="1:9" ht="19.5" hidden="1" customHeight="1" outlineLevel="1" x14ac:dyDescent="0.25">
      <c r="A348" s="907">
        <f t="shared" si="3"/>
        <v>240</v>
      </c>
      <c r="B348"/>
      <c r="C348" s="813"/>
      <c r="D348" s="814"/>
      <c r="E348" s="823"/>
      <c r="F348" s="537"/>
      <c r="G348" s="963"/>
      <c r="H348" s="555"/>
      <c r="I348" s="642"/>
    </row>
    <row r="349" spans="1:9" ht="19.5" hidden="1" customHeight="1" outlineLevel="1" x14ac:dyDescent="0.25">
      <c r="A349" s="907">
        <f t="shared" si="3"/>
        <v>241</v>
      </c>
      <c r="B349"/>
      <c r="C349" s="813"/>
      <c r="D349" s="814"/>
      <c r="E349" s="823"/>
      <c r="F349" s="537"/>
      <c r="G349" s="963"/>
      <c r="H349" s="555"/>
      <c r="I349" s="642"/>
    </row>
    <row r="350" spans="1:9" ht="19.5" hidden="1" customHeight="1" outlineLevel="1" x14ac:dyDescent="0.25">
      <c r="A350" s="907">
        <f t="shared" si="3"/>
        <v>242</v>
      </c>
      <c r="B350"/>
      <c r="C350" s="813"/>
      <c r="D350" s="814"/>
      <c r="E350" s="823"/>
      <c r="F350" s="537"/>
      <c r="G350" s="963"/>
      <c r="H350" s="555"/>
      <c r="I350" s="642"/>
    </row>
    <row r="351" spans="1:9" ht="19.5" hidden="1" customHeight="1" outlineLevel="1" x14ac:dyDescent="0.25">
      <c r="A351" s="907">
        <f t="shared" si="3"/>
        <v>243</v>
      </c>
      <c r="B351"/>
      <c r="C351" s="813"/>
      <c r="D351" s="814"/>
      <c r="E351" s="823"/>
      <c r="F351" s="537"/>
      <c r="G351" s="963"/>
      <c r="H351" s="555"/>
      <c r="I351" s="642"/>
    </row>
    <row r="352" spans="1:9" ht="19.5" hidden="1" customHeight="1" outlineLevel="1" x14ac:dyDescent="0.25">
      <c r="A352" s="907">
        <f t="shared" si="3"/>
        <v>244</v>
      </c>
      <c r="B352"/>
      <c r="C352" s="813"/>
      <c r="D352" s="814"/>
      <c r="E352" s="823"/>
      <c r="F352" s="537"/>
      <c r="G352" s="963"/>
      <c r="H352" s="555"/>
      <c r="I352" s="642"/>
    </row>
    <row r="353" spans="1:9" ht="19.5" hidden="1" customHeight="1" outlineLevel="1" x14ac:dyDescent="0.25">
      <c r="A353" s="907">
        <f t="shared" si="3"/>
        <v>245</v>
      </c>
      <c r="B353"/>
      <c r="C353" s="813"/>
      <c r="D353" s="814"/>
      <c r="E353" s="823"/>
      <c r="F353" s="537"/>
      <c r="G353" s="963"/>
      <c r="H353" s="555"/>
      <c r="I353" s="642"/>
    </row>
    <row r="354" spans="1:9" ht="19.5" hidden="1" customHeight="1" outlineLevel="1" x14ac:dyDescent="0.25">
      <c r="A354" s="907">
        <f t="shared" si="3"/>
        <v>246</v>
      </c>
      <c r="B354"/>
      <c r="C354" s="813"/>
      <c r="D354" s="814"/>
      <c r="E354" s="823"/>
      <c r="F354" s="537"/>
      <c r="G354" s="963"/>
      <c r="H354" s="555"/>
      <c r="I354" s="642"/>
    </row>
    <row r="355" spans="1:9" ht="19.5" hidden="1" customHeight="1" outlineLevel="1" x14ac:dyDescent="0.25">
      <c r="A355" s="907">
        <f t="shared" si="3"/>
        <v>247</v>
      </c>
      <c r="B355"/>
      <c r="C355" s="813"/>
      <c r="D355" s="814"/>
      <c r="E355" s="823"/>
      <c r="F355" s="537"/>
      <c r="G355" s="963"/>
      <c r="H355" s="555"/>
      <c r="I355" s="642"/>
    </row>
    <row r="356" spans="1:9" ht="19.5" hidden="1" customHeight="1" outlineLevel="1" x14ac:dyDescent="0.25">
      <c r="A356" s="907">
        <f t="shared" si="3"/>
        <v>248</v>
      </c>
      <c r="B356"/>
      <c r="C356" s="813"/>
      <c r="D356" s="814"/>
      <c r="E356" s="823"/>
      <c r="F356" s="537"/>
      <c r="G356" s="963"/>
      <c r="H356" s="555"/>
      <c r="I356" s="642"/>
    </row>
    <row r="357" spans="1:9" ht="19.5" hidden="1" customHeight="1" outlineLevel="1" x14ac:dyDescent="0.25">
      <c r="A357" s="907">
        <f t="shared" si="3"/>
        <v>249</v>
      </c>
      <c r="B357"/>
      <c r="C357" s="813"/>
      <c r="D357" s="814"/>
      <c r="E357" s="823"/>
      <c r="F357" s="537"/>
      <c r="G357" s="963"/>
      <c r="H357" s="555"/>
      <c r="I357" s="642"/>
    </row>
    <row r="358" spans="1:9" ht="19.5" hidden="1" customHeight="1" outlineLevel="1" x14ac:dyDescent="0.25">
      <c r="A358" s="907">
        <f t="shared" si="3"/>
        <v>250</v>
      </c>
      <c r="B358"/>
      <c r="C358" s="813"/>
      <c r="D358" s="814"/>
      <c r="E358" s="823"/>
      <c r="F358" s="537"/>
      <c r="G358" s="963"/>
      <c r="H358" s="555"/>
      <c r="I358" s="642"/>
    </row>
    <row r="359" spans="1:9" ht="19.5" hidden="1" customHeight="1" outlineLevel="1" x14ac:dyDescent="0.25">
      <c r="A359" s="907">
        <f t="shared" si="3"/>
        <v>251</v>
      </c>
      <c r="B359"/>
      <c r="C359" s="813"/>
      <c r="D359" s="814"/>
      <c r="E359" s="823"/>
      <c r="F359" s="537"/>
      <c r="G359" s="963"/>
      <c r="H359" s="555"/>
      <c r="I359" s="642"/>
    </row>
    <row r="360" spans="1:9" ht="19.5" hidden="1" customHeight="1" outlineLevel="1" x14ac:dyDescent="0.25">
      <c r="A360" s="907">
        <f t="shared" si="3"/>
        <v>252</v>
      </c>
      <c r="B360"/>
      <c r="C360" s="813"/>
      <c r="D360" s="814"/>
      <c r="E360" s="823"/>
      <c r="F360" s="537"/>
      <c r="G360" s="963"/>
      <c r="H360" s="555"/>
      <c r="I360" s="642"/>
    </row>
    <row r="361" spans="1:9" ht="19.5" hidden="1" customHeight="1" outlineLevel="1" x14ac:dyDescent="0.25">
      <c r="A361" s="907">
        <f t="shared" si="3"/>
        <v>253</v>
      </c>
      <c r="B361"/>
      <c r="C361" s="813"/>
      <c r="D361" s="814"/>
      <c r="E361" s="823"/>
      <c r="F361" s="537"/>
      <c r="G361" s="963"/>
      <c r="H361" s="555"/>
      <c r="I361" s="642"/>
    </row>
    <row r="362" spans="1:9" ht="19.5" hidden="1" customHeight="1" outlineLevel="1" x14ac:dyDescent="0.25">
      <c r="A362" s="907">
        <f t="shared" si="3"/>
        <v>254</v>
      </c>
      <c r="B362"/>
      <c r="C362" s="813"/>
      <c r="D362" s="814"/>
      <c r="E362" s="823"/>
      <c r="F362" s="537"/>
      <c r="G362" s="963"/>
      <c r="H362" s="555"/>
      <c r="I362" s="642"/>
    </row>
    <row r="363" spans="1:9" ht="19.5" hidden="1" customHeight="1" outlineLevel="1" x14ac:dyDescent="0.25">
      <c r="A363" s="907">
        <f t="shared" si="3"/>
        <v>255</v>
      </c>
      <c r="B363"/>
      <c r="C363" s="813"/>
      <c r="D363" s="814"/>
      <c r="E363" s="823"/>
      <c r="F363" s="537"/>
      <c r="G363" s="963"/>
      <c r="H363" s="555"/>
      <c r="I363" s="642"/>
    </row>
    <row r="364" spans="1:9" ht="19.5" hidden="1" customHeight="1" outlineLevel="1" x14ac:dyDescent="0.25">
      <c r="A364" s="907">
        <f t="shared" si="3"/>
        <v>256</v>
      </c>
      <c r="B364"/>
      <c r="C364" s="813"/>
      <c r="D364" s="814"/>
      <c r="E364" s="823"/>
      <c r="F364" s="537"/>
      <c r="G364" s="963"/>
      <c r="H364" s="555"/>
      <c r="I364" s="642"/>
    </row>
    <row r="365" spans="1:9" ht="19.5" hidden="1" customHeight="1" outlineLevel="1" x14ac:dyDescent="0.25">
      <c r="A365" s="907">
        <f t="shared" si="3"/>
        <v>257</v>
      </c>
      <c r="B365"/>
      <c r="C365" s="813"/>
      <c r="D365" s="814"/>
      <c r="E365" s="823"/>
      <c r="F365" s="537"/>
      <c r="G365" s="963"/>
      <c r="H365" s="555"/>
      <c r="I365" s="642"/>
    </row>
    <row r="366" spans="1:9" ht="19.5" hidden="1" customHeight="1" outlineLevel="1" x14ac:dyDescent="0.25">
      <c r="A366" s="907">
        <f t="shared" si="3"/>
        <v>258</v>
      </c>
      <c r="B366"/>
      <c r="C366" s="813"/>
      <c r="D366" s="814"/>
      <c r="E366" s="823"/>
      <c r="F366" s="537"/>
      <c r="G366" s="963"/>
      <c r="H366" s="555"/>
      <c r="I366" s="642"/>
    </row>
    <row r="367" spans="1:9" ht="19.5" hidden="1" customHeight="1" outlineLevel="1" x14ac:dyDescent="0.25">
      <c r="A367" s="907">
        <f t="shared" ref="A367:A406" si="4">+A366+1</f>
        <v>259</v>
      </c>
      <c r="B367"/>
      <c r="C367" s="813"/>
      <c r="D367" s="814"/>
      <c r="E367" s="823"/>
      <c r="F367" s="537"/>
      <c r="G367" s="963"/>
      <c r="H367" s="555"/>
      <c r="I367" s="642"/>
    </row>
    <row r="368" spans="1:9" ht="19.5" hidden="1" customHeight="1" outlineLevel="1" x14ac:dyDescent="0.25">
      <c r="A368" s="907">
        <f t="shared" si="4"/>
        <v>260</v>
      </c>
      <c r="B368"/>
      <c r="C368" s="813"/>
      <c r="D368" s="814"/>
      <c r="E368" s="823"/>
      <c r="F368" s="537"/>
      <c r="G368" s="963"/>
      <c r="H368" s="555"/>
      <c r="I368" s="642"/>
    </row>
    <row r="369" spans="1:9" ht="19.5" hidden="1" customHeight="1" outlineLevel="1" x14ac:dyDescent="0.25">
      <c r="A369" s="907">
        <f t="shared" si="4"/>
        <v>261</v>
      </c>
      <c r="B369"/>
      <c r="C369" s="813"/>
      <c r="D369" s="814"/>
      <c r="E369" s="823"/>
      <c r="F369" s="537"/>
      <c r="G369" s="963"/>
      <c r="H369" s="555"/>
      <c r="I369" s="642"/>
    </row>
    <row r="370" spans="1:9" ht="19.5" hidden="1" customHeight="1" outlineLevel="1" x14ac:dyDescent="0.25">
      <c r="A370" s="907">
        <f t="shared" si="4"/>
        <v>262</v>
      </c>
      <c r="B370"/>
      <c r="C370" s="813"/>
      <c r="D370" s="814"/>
      <c r="E370" s="823"/>
      <c r="F370" s="537"/>
      <c r="G370" s="963"/>
      <c r="H370" s="555"/>
      <c r="I370" s="642"/>
    </row>
    <row r="371" spans="1:9" ht="19.5" hidden="1" customHeight="1" outlineLevel="1" x14ac:dyDescent="0.25">
      <c r="A371" s="907">
        <f t="shared" si="4"/>
        <v>263</v>
      </c>
      <c r="B371"/>
      <c r="C371" s="813"/>
      <c r="D371" s="814"/>
      <c r="E371" s="823"/>
      <c r="F371" s="537"/>
      <c r="G371" s="963"/>
      <c r="H371" s="555"/>
      <c r="I371" s="642"/>
    </row>
    <row r="372" spans="1:9" ht="19.5" hidden="1" customHeight="1" outlineLevel="1" x14ac:dyDescent="0.25">
      <c r="A372" s="907">
        <f t="shared" si="4"/>
        <v>264</v>
      </c>
      <c r="B372"/>
      <c r="C372" s="813"/>
      <c r="D372" s="814"/>
      <c r="E372" s="823"/>
      <c r="F372" s="537"/>
      <c r="G372" s="963"/>
      <c r="H372" s="555"/>
      <c r="I372" s="642"/>
    </row>
    <row r="373" spans="1:9" ht="19.5" hidden="1" customHeight="1" outlineLevel="1" x14ac:dyDescent="0.25">
      <c r="A373" s="907">
        <f t="shared" si="4"/>
        <v>265</v>
      </c>
      <c r="B373"/>
      <c r="C373" s="813"/>
      <c r="D373" s="814"/>
      <c r="E373" s="823"/>
      <c r="F373" s="537"/>
      <c r="G373" s="963"/>
      <c r="H373" s="555"/>
      <c r="I373" s="642"/>
    </row>
    <row r="374" spans="1:9" ht="19.5" hidden="1" customHeight="1" outlineLevel="1" x14ac:dyDescent="0.25">
      <c r="A374" s="907">
        <f t="shared" si="4"/>
        <v>266</v>
      </c>
      <c r="B374"/>
      <c r="C374" s="813"/>
      <c r="D374" s="814"/>
      <c r="E374" s="823"/>
      <c r="F374" s="537"/>
      <c r="G374" s="963"/>
      <c r="H374" s="555"/>
      <c r="I374" s="642"/>
    </row>
    <row r="375" spans="1:9" ht="19.5" hidden="1" customHeight="1" outlineLevel="1" x14ac:dyDescent="0.25">
      <c r="A375" s="907">
        <f t="shared" si="4"/>
        <v>267</v>
      </c>
      <c r="B375"/>
      <c r="C375" s="813"/>
      <c r="D375" s="814"/>
      <c r="E375" s="823"/>
      <c r="F375" s="537"/>
      <c r="G375" s="963"/>
      <c r="H375" s="555"/>
      <c r="I375" s="642"/>
    </row>
    <row r="376" spans="1:9" ht="19.5" hidden="1" customHeight="1" outlineLevel="1" x14ac:dyDescent="0.25">
      <c r="A376" s="907">
        <f t="shared" si="4"/>
        <v>268</v>
      </c>
      <c r="B376"/>
      <c r="C376" s="813"/>
      <c r="D376" s="814"/>
      <c r="E376" s="823"/>
      <c r="F376" s="537"/>
      <c r="G376" s="963"/>
      <c r="H376" s="555"/>
      <c r="I376" s="642"/>
    </row>
    <row r="377" spans="1:9" ht="19.5" hidden="1" customHeight="1" outlineLevel="1" x14ac:dyDescent="0.25">
      <c r="A377" s="907">
        <f t="shared" si="4"/>
        <v>269</v>
      </c>
      <c r="B377"/>
      <c r="C377" s="813"/>
      <c r="D377" s="814"/>
      <c r="E377" s="823"/>
      <c r="F377" s="537"/>
      <c r="G377" s="963"/>
      <c r="H377" s="555"/>
      <c r="I377" s="642"/>
    </row>
    <row r="378" spans="1:9" ht="19.5" hidden="1" customHeight="1" outlineLevel="1" x14ac:dyDescent="0.25">
      <c r="A378" s="907">
        <f t="shared" si="4"/>
        <v>270</v>
      </c>
      <c r="B378"/>
      <c r="C378" s="813"/>
      <c r="D378" s="814"/>
      <c r="E378" s="823"/>
      <c r="F378" s="537"/>
      <c r="G378" s="963"/>
      <c r="H378" s="555"/>
      <c r="I378" s="642"/>
    </row>
    <row r="379" spans="1:9" ht="19.5" hidden="1" customHeight="1" outlineLevel="1" x14ac:dyDescent="0.25">
      <c r="A379" s="907">
        <f t="shared" si="4"/>
        <v>271</v>
      </c>
      <c r="B379"/>
      <c r="C379" s="813"/>
      <c r="D379" s="814"/>
      <c r="E379" s="823"/>
      <c r="F379" s="537"/>
      <c r="G379" s="963"/>
      <c r="H379" s="555"/>
      <c r="I379" s="642"/>
    </row>
    <row r="380" spans="1:9" ht="19.5" hidden="1" customHeight="1" outlineLevel="1" x14ac:dyDescent="0.25">
      <c r="A380" s="907">
        <f t="shared" si="4"/>
        <v>272</v>
      </c>
      <c r="B380"/>
      <c r="C380" s="813"/>
      <c r="D380" s="814"/>
      <c r="E380" s="823"/>
      <c r="F380" s="537"/>
      <c r="G380" s="963"/>
      <c r="H380" s="555"/>
      <c r="I380" s="642"/>
    </row>
    <row r="381" spans="1:9" ht="19.5" hidden="1" customHeight="1" outlineLevel="1" x14ac:dyDescent="0.25">
      <c r="A381" s="907">
        <f t="shared" si="4"/>
        <v>273</v>
      </c>
      <c r="B381"/>
      <c r="C381" s="813"/>
      <c r="D381" s="814"/>
      <c r="E381" s="823"/>
      <c r="F381" s="537"/>
      <c r="G381" s="963"/>
      <c r="H381" s="555"/>
      <c r="I381" s="642"/>
    </row>
    <row r="382" spans="1:9" ht="19.5" hidden="1" customHeight="1" outlineLevel="1" x14ac:dyDescent="0.25">
      <c r="A382" s="907">
        <f t="shared" si="4"/>
        <v>274</v>
      </c>
      <c r="B382"/>
      <c r="C382" s="813"/>
      <c r="D382" s="814"/>
      <c r="E382" s="823"/>
      <c r="F382" s="537"/>
      <c r="G382" s="963"/>
      <c r="H382" s="555"/>
      <c r="I382" s="642"/>
    </row>
    <row r="383" spans="1:9" ht="19.5" hidden="1" customHeight="1" outlineLevel="1" x14ac:dyDescent="0.25">
      <c r="A383" s="907">
        <f t="shared" si="4"/>
        <v>275</v>
      </c>
      <c r="B383"/>
      <c r="C383" s="813"/>
      <c r="D383" s="814"/>
      <c r="E383" s="823"/>
      <c r="F383" s="537"/>
      <c r="G383" s="963"/>
      <c r="H383" s="555"/>
      <c r="I383" s="642"/>
    </row>
    <row r="384" spans="1:9" ht="19.5" hidden="1" customHeight="1" outlineLevel="1" x14ac:dyDescent="0.25">
      <c r="A384" s="907">
        <f t="shared" si="4"/>
        <v>276</v>
      </c>
      <c r="B384"/>
      <c r="C384" s="813"/>
      <c r="D384" s="814"/>
      <c r="E384" s="823"/>
      <c r="F384" s="537"/>
      <c r="G384" s="963"/>
      <c r="H384" s="555"/>
      <c r="I384" s="642"/>
    </row>
    <row r="385" spans="1:12" ht="19.5" hidden="1" customHeight="1" outlineLevel="1" x14ac:dyDescent="0.25">
      <c r="A385" s="907">
        <f t="shared" si="4"/>
        <v>277</v>
      </c>
      <c r="B385"/>
      <c r="C385" s="813"/>
      <c r="D385" s="814"/>
      <c r="E385" s="823"/>
      <c r="F385" s="537"/>
      <c r="G385" s="963"/>
      <c r="H385" s="555"/>
      <c r="I385" s="642"/>
    </row>
    <row r="386" spans="1:12" ht="19.5" hidden="1" customHeight="1" outlineLevel="1" x14ac:dyDescent="0.25">
      <c r="A386" s="907">
        <f t="shared" si="4"/>
        <v>278</v>
      </c>
      <c r="B386"/>
      <c r="C386" s="813"/>
      <c r="D386" s="814"/>
      <c r="E386" s="823"/>
      <c r="F386" s="537"/>
      <c r="G386" s="963"/>
      <c r="H386" s="555"/>
      <c r="I386" s="642"/>
    </row>
    <row r="387" spans="1:12" ht="19.5" hidden="1" customHeight="1" outlineLevel="1" x14ac:dyDescent="0.25">
      <c r="A387" s="907">
        <f t="shared" si="4"/>
        <v>279</v>
      </c>
      <c r="B387"/>
      <c r="C387" s="813"/>
      <c r="D387" s="814"/>
      <c r="E387" s="823"/>
      <c r="F387" s="537"/>
      <c r="G387" s="963"/>
      <c r="H387" s="555"/>
      <c r="I387" s="642"/>
    </row>
    <row r="388" spans="1:12" ht="19.5" hidden="1" customHeight="1" outlineLevel="1" x14ac:dyDescent="0.25">
      <c r="A388" s="907">
        <f t="shared" si="4"/>
        <v>280</v>
      </c>
      <c r="B388"/>
      <c r="C388" s="813"/>
      <c r="D388" s="814"/>
      <c r="E388" s="823"/>
      <c r="F388" s="537"/>
      <c r="G388" s="963"/>
      <c r="H388" s="555"/>
      <c r="I388" s="642"/>
    </row>
    <row r="389" spans="1:12" ht="19.5" hidden="1" customHeight="1" outlineLevel="1" x14ac:dyDescent="0.25">
      <c r="A389" s="907">
        <f t="shared" si="4"/>
        <v>281</v>
      </c>
      <c r="B389"/>
      <c r="C389" s="813"/>
      <c r="D389" s="814"/>
      <c r="E389" s="823"/>
      <c r="F389" s="537"/>
      <c r="G389" s="963"/>
      <c r="H389" s="555"/>
      <c r="I389" s="642"/>
    </row>
    <row r="390" spans="1:12" ht="19.5" hidden="1" customHeight="1" outlineLevel="1" x14ac:dyDescent="0.25">
      <c r="A390" s="907">
        <f t="shared" si="4"/>
        <v>282</v>
      </c>
      <c r="B390"/>
      <c r="C390" s="813"/>
      <c r="D390" s="814"/>
      <c r="E390" s="823"/>
      <c r="F390" s="537"/>
      <c r="G390" s="963"/>
      <c r="H390" s="555"/>
      <c r="I390" s="642"/>
    </row>
    <row r="391" spans="1:12" ht="19.5" hidden="1" customHeight="1" outlineLevel="1" x14ac:dyDescent="0.25">
      <c r="A391" s="907">
        <f t="shared" si="4"/>
        <v>283</v>
      </c>
      <c r="B391"/>
      <c r="C391" s="813"/>
      <c r="D391" s="814"/>
      <c r="E391" s="823"/>
      <c r="F391" s="537"/>
      <c r="G391" s="555"/>
      <c r="H391" s="555"/>
      <c r="I391" s="642"/>
    </row>
    <row r="392" spans="1:12" ht="19.5" hidden="1" customHeight="1" outlineLevel="1" x14ac:dyDescent="0.25">
      <c r="A392" s="907">
        <f t="shared" si="4"/>
        <v>284</v>
      </c>
      <c r="B392"/>
      <c r="C392" s="813"/>
      <c r="D392" s="814"/>
      <c r="E392" s="823"/>
      <c r="F392" s="537"/>
      <c r="G392" s="555"/>
      <c r="H392" s="555"/>
      <c r="I392" s="642"/>
    </row>
    <row r="393" spans="1:12" ht="19.5" hidden="1" customHeight="1" outlineLevel="1" x14ac:dyDescent="0.25">
      <c r="A393" s="907">
        <f t="shared" si="4"/>
        <v>285</v>
      </c>
      <c r="B393"/>
      <c r="C393" s="813"/>
      <c r="D393" s="814"/>
      <c r="E393" s="823"/>
      <c r="F393" s="537"/>
      <c r="G393" s="963"/>
      <c r="H393" s="555"/>
      <c r="I393" s="642"/>
    </row>
    <row r="394" spans="1:12" ht="19.5" hidden="1" customHeight="1" outlineLevel="1" x14ac:dyDescent="0.25">
      <c r="A394" s="907">
        <f t="shared" si="4"/>
        <v>286</v>
      </c>
      <c r="B394"/>
      <c r="C394" s="813"/>
      <c r="D394" s="814"/>
      <c r="E394" s="823"/>
      <c r="F394" s="537"/>
      <c r="G394" s="963"/>
      <c r="H394" s="555"/>
      <c r="I394" s="642"/>
    </row>
    <row r="395" spans="1:12" ht="19.5" hidden="1" customHeight="1" outlineLevel="1" x14ac:dyDescent="0.25">
      <c r="A395" s="907">
        <f t="shared" si="4"/>
        <v>287</v>
      </c>
      <c r="B395"/>
      <c r="C395" s="813"/>
      <c r="D395" s="814"/>
      <c r="E395" s="823"/>
      <c r="F395" s="537"/>
      <c r="G395" s="963"/>
      <c r="H395" s="555"/>
      <c r="I395" s="642"/>
    </row>
    <row r="396" spans="1:12" ht="19.5" hidden="1" customHeight="1" outlineLevel="1" x14ac:dyDescent="0.25">
      <c r="A396" s="907">
        <f t="shared" si="4"/>
        <v>288</v>
      </c>
      <c r="B396"/>
      <c r="C396" s="813"/>
      <c r="D396" s="814"/>
      <c r="E396" s="823"/>
      <c r="F396" s="537"/>
      <c r="G396" s="963"/>
      <c r="H396" s="555"/>
      <c r="I396" s="642"/>
    </row>
    <row r="397" spans="1:12" ht="19.5" hidden="1" customHeight="1" outlineLevel="1" x14ac:dyDescent="0.25">
      <c r="A397" s="907">
        <f t="shared" si="4"/>
        <v>289</v>
      </c>
      <c r="B397" s="812"/>
      <c r="C397" s="813"/>
      <c r="D397" s="814"/>
      <c r="E397" s="823"/>
      <c r="F397" s="750"/>
      <c r="G397" s="824"/>
      <c r="H397" s="555"/>
      <c r="I397" s="895"/>
    </row>
    <row r="398" spans="1:12" ht="19.5" hidden="1" customHeight="1" outlineLevel="1" x14ac:dyDescent="0.25">
      <c r="A398" s="907">
        <f t="shared" si="4"/>
        <v>290</v>
      </c>
      <c r="B398" s="812"/>
      <c r="C398" s="813"/>
      <c r="D398" s="814"/>
      <c r="E398" s="823"/>
      <c r="F398" s="750"/>
      <c r="H398" s="555"/>
      <c r="I398" s="895"/>
      <c r="K398" s="629"/>
      <c r="L398" s="629"/>
    </row>
    <row r="399" spans="1:12" ht="19.5" hidden="1" customHeight="1" outlineLevel="1" x14ac:dyDescent="0.25">
      <c r="A399" s="907">
        <f t="shared" si="4"/>
        <v>291</v>
      </c>
      <c r="B399" s="812"/>
      <c r="C399" s="813"/>
      <c r="D399" s="814"/>
      <c r="E399" s="823"/>
      <c r="F399" s="750"/>
      <c r="G399" s="824"/>
      <c r="H399" s="555"/>
      <c r="I399" s="895"/>
      <c r="K399" s="629"/>
      <c r="L399" s="629"/>
    </row>
    <row r="400" spans="1:12" ht="19.5" hidden="1" customHeight="1" outlineLevel="1" x14ac:dyDescent="0.25">
      <c r="A400" s="907">
        <f t="shared" si="4"/>
        <v>292</v>
      </c>
      <c r="B400" s="812"/>
      <c r="C400" s="813"/>
      <c r="D400" s="814"/>
      <c r="E400" s="823"/>
      <c r="F400" s="750"/>
      <c r="G400" s="824"/>
      <c r="H400" s="555"/>
      <c r="I400" s="895"/>
      <c r="K400" s="629"/>
      <c r="L400" s="629"/>
    </row>
    <row r="401" spans="1:12" ht="19.5" hidden="1" customHeight="1" outlineLevel="1" x14ac:dyDescent="0.25">
      <c r="A401" s="907">
        <f t="shared" si="4"/>
        <v>293</v>
      </c>
      <c r="B401" s="812"/>
      <c r="C401" s="813"/>
      <c r="D401" s="814"/>
      <c r="E401" s="823"/>
      <c r="F401" s="833"/>
      <c r="G401" s="824"/>
      <c r="H401" s="555"/>
      <c r="I401" s="895"/>
      <c r="K401" s="629"/>
      <c r="L401" s="629"/>
    </row>
    <row r="402" spans="1:12" ht="19.5" hidden="1" customHeight="1" outlineLevel="1" x14ac:dyDescent="0.25">
      <c r="A402" s="907">
        <f t="shared" si="4"/>
        <v>294</v>
      </c>
      <c r="B402" s="812"/>
      <c r="C402" s="813"/>
      <c r="D402" s="814"/>
      <c r="E402" s="823"/>
      <c r="F402" s="833"/>
      <c r="G402" s="824"/>
      <c r="H402" s="555"/>
      <c r="I402" s="895"/>
      <c r="K402" s="629"/>
      <c r="L402" s="629"/>
    </row>
    <row r="403" spans="1:12" ht="19.5" hidden="1" customHeight="1" outlineLevel="1" x14ac:dyDescent="0.25">
      <c r="A403" s="907">
        <f t="shared" si="4"/>
        <v>295</v>
      </c>
      <c r="B403" s="812"/>
      <c r="C403" s="813"/>
      <c r="D403" s="814"/>
      <c r="E403" s="823"/>
      <c r="F403" s="833"/>
      <c r="G403" s="824"/>
      <c r="H403" s="555"/>
      <c r="I403" s="895"/>
      <c r="K403" s="629"/>
      <c r="L403" s="629"/>
    </row>
    <row r="404" spans="1:12" ht="19.5" hidden="1" customHeight="1" outlineLevel="1" x14ac:dyDescent="0.25">
      <c r="A404" s="907">
        <f t="shared" si="4"/>
        <v>296</v>
      </c>
      <c r="B404" s="812"/>
      <c r="C404" s="813"/>
      <c r="D404" s="814"/>
      <c r="E404" s="823"/>
      <c r="F404" s="833"/>
      <c r="G404" s="824"/>
      <c r="H404" s="555"/>
      <c r="I404" s="895"/>
      <c r="K404" s="629"/>
      <c r="L404" s="629"/>
    </row>
    <row r="405" spans="1:12" ht="19.5" hidden="1" customHeight="1" outlineLevel="1" x14ac:dyDescent="0.25">
      <c r="A405" s="907">
        <f t="shared" si="4"/>
        <v>297</v>
      </c>
      <c r="B405" s="812"/>
      <c r="C405" s="813"/>
      <c r="D405" s="814"/>
      <c r="E405" s="823"/>
      <c r="F405" s="833"/>
      <c r="G405" s="824"/>
      <c r="H405" s="555"/>
      <c r="I405" s="895"/>
      <c r="K405" s="629"/>
      <c r="L405" s="629"/>
    </row>
    <row r="406" spans="1:12" ht="19.5" customHeight="1" collapsed="1" x14ac:dyDescent="0.25">
      <c r="A406" s="907">
        <f t="shared" si="4"/>
        <v>298</v>
      </c>
      <c r="B406" s="812"/>
      <c r="C406" s="813"/>
      <c r="D406" s="814"/>
      <c r="E406" s="823"/>
      <c r="F406" s="833"/>
      <c r="G406" s="824"/>
      <c r="H406" s="555"/>
      <c r="I406" s="895"/>
      <c r="K406" s="629"/>
      <c r="L406" s="629"/>
    </row>
    <row r="407" spans="1:12" ht="19.5" customHeight="1" thickBot="1" x14ac:dyDescent="0.35">
      <c r="A407" s="912"/>
      <c r="B407" s="1482" t="s">
        <v>276</v>
      </c>
      <c r="C407" s="1483"/>
      <c r="D407" s="1483"/>
      <c r="E407" s="388"/>
      <c r="F407" s="896">
        <v>14632713</v>
      </c>
      <c r="G407" s="896">
        <f>+'MEDICAL DETAIL LIST'!F312</f>
        <v>182552</v>
      </c>
      <c r="H407" s="995">
        <v>297656</v>
      </c>
      <c r="I407" s="897">
        <f>+H407/2080</f>
        <v>143.10384615384615</v>
      </c>
      <c r="K407" s="629"/>
      <c r="L407" s="629"/>
    </row>
    <row r="408" spans="1:12" ht="19.5" customHeight="1" thickTop="1" x14ac:dyDescent="0.3">
      <c r="A408" s="912"/>
      <c r="B408" s="375"/>
      <c r="C408" s="375"/>
      <c r="D408" s="375"/>
      <c r="E408" s="898"/>
      <c r="F408" s="899"/>
      <c r="G408" s="899"/>
      <c r="H408" s="996"/>
      <c r="I408" s="900"/>
      <c r="K408" s="629"/>
      <c r="L408" s="629"/>
    </row>
    <row r="409" spans="1:12" ht="19.5" customHeight="1" x14ac:dyDescent="0.3">
      <c r="A409" s="912"/>
      <c r="B409" s="375"/>
      <c r="C409" s="375"/>
      <c r="D409" s="375"/>
      <c r="E409" s="375"/>
      <c r="F409" s="368"/>
      <c r="G409" s="294"/>
      <c r="H409" s="295"/>
      <c r="I409" s="396"/>
    </row>
    <row r="410" spans="1:12" ht="19.5" customHeight="1" x14ac:dyDescent="0.3">
      <c r="A410" s="906" t="s">
        <v>92</v>
      </c>
      <c r="B410" s="1486" t="s">
        <v>207</v>
      </c>
      <c r="C410" s="1486"/>
      <c r="D410" s="1486"/>
      <c r="E410" s="524"/>
      <c r="F410" s="338"/>
      <c r="G410" s="338"/>
      <c r="H410" s="997"/>
      <c r="I410" s="391"/>
    </row>
    <row r="411" spans="1:12" ht="19.5" customHeight="1" x14ac:dyDescent="0.25">
      <c r="A411" s="907">
        <v>1</v>
      </c>
      <c r="B411" s="536" t="s">
        <v>1019</v>
      </c>
      <c r="C411" s="540" t="s">
        <v>1089</v>
      </c>
      <c r="D411" s="541"/>
      <c r="E411" s="486"/>
      <c r="F411" s="568"/>
      <c r="G411" s="793"/>
      <c r="H411" s="998"/>
      <c r="I411" s="393"/>
    </row>
    <row r="412" spans="1:12" ht="19.5" hidden="1" customHeight="1" outlineLevel="1" x14ac:dyDescent="0.25">
      <c r="A412" s="907">
        <f>+A411+1</f>
        <v>2</v>
      </c>
      <c r="B412"/>
      <c r="C412" s="540"/>
      <c r="D412" s="541"/>
      <c r="E412" s="486"/>
      <c r="F412" s="568"/>
      <c r="G412" s="793"/>
      <c r="H412" s="998"/>
      <c r="I412" s="393"/>
    </row>
    <row r="413" spans="1:12" ht="19.5" hidden="1" customHeight="1" outlineLevel="1" x14ac:dyDescent="0.25">
      <c r="A413" s="907">
        <f t="shared" ref="A413:A476" si="5">+A412+1</f>
        <v>3</v>
      </c>
      <c r="B413"/>
      <c r="C413" s="540"/>
      <c r="D413" s="541"/>
      <c r="E413" s="486"/>
      <c r="F413" s="568"/>
      <c r="G413" s="793"/>
      <c r="H413" s="998"/>
      <c r="I413" s="393"/>
    </row>
    <row r="414" spans="1:12" ht="19.5" hidden="1" customHeight="1" outlineLevel="1" x14ac:dyDescent="0.25">
      <c r="A414" s="907">
        <f t="shared" si="5"/>
        <v>4</v>
      </c>
      <c r="B414"/>
      <c r="C414" s="540"/>
      <c r="D414" s="541"/>
      <c r="E414" s="486"/>
      <c r="F414" s="568"/>
      <c r="G414" s="793"/>
      <c r="H414" s="998"/>
      <c r="I414" s="393"/>
    </row>
    <row r="415" spans="1:12" ht="19.5" hidden="1" customHeight="1" outlineLevel="1" x14ac:dyDescent="0.25">
      <c r="A415" s="907">
        <f t="shared" si="5"/>
        <v>5</v>
      </c>
      <c r="B415"/>
      <c r="C415" s="540"/>
      <c r="D415" s="541"/>
      <c r="E415" s="486"/>
      <c r="F415" s="568"/>
      <c r="G415" s="793"/>
      <c r="H415" s="998"/>
      <c r="I415" s="393"/>
    </row>
    <row r="416" spans="1:12" ht="19.5" hidden="1" customHeight="1" outlineLevel="1" x14ac:dyDescent="0.25">
      <c r="A416" s="907">
        <f t="shared" si="5"/>
        <v>6</v>
      </c>
      <c r="B416"/>
      <c r="C416" s="540"/>
      <c r="D416" s="541"/>
      <c r="E416" s="486"/>
      <c r="F416" s="568"/>
      <c r="G416" s="793"/>
      <c r="H416" s="998"/>
      <c r="I416" s="393"/>
    </row>
    <row r="417" spans="1:9" ht="19.5" hidden="1" customHeight="1" outlineLevel="1" x14ac:dyDescent="0.25">
      <c r="A417" s="907">
        <f t="shared" si="5"/>
        <v>7</v>
      </c>
      <c r="B417"/>
      <c r="C417" s="540"/>
      <c r="D417" s="541"/>
      <c r="E417" s="486"/>
      <c r="F417" s="568"/>
      <c r="G417" s="793"/>
      <c r="H417" s="998"/>
      <c r="I417" s="393"/>
    </row>
    <row r="418" spans="1:9" ht="19.5" hidden="1" customHeight="1" outlineLevel="1" x14ac:dyDescent="0.25">
      <c r="A418" s="907">
        <f t="shared" si="5"/>
        <v>8</v>
      </c>
      <c r="B418"/>
      <c r="C418" s="540"/>
      <c r="D418" s="541"/>
      <c r="E418" s="486"/>
      <c r="F418" s="568"/>
      <c r="G418" s="793"/>
      <c r="H418" s="998"/>
      <c r="I418" s="393"/>
    </row>
    <row r="419" spans="1:9" ht="19.5" hidden="1" customHeight="1" outlineLevel="1" x14ac:dyDescent="0.25">
      <c r="A419" s="907">
        <f t="shared" si="5"/>
        <v>9</v>
      </c>
      <c r="B419"/>
      <c r="C419" s="540"/>
      <c r="D419" s="541"/>
      <c r="E419" s="486"/>
      <c r="F419" s="568"/>
      <c r="G419" s="793"/>
      <c r="H419" s="998"/>
      <c r="I419" s="393"/>
    </row>
    <row r="420" spans="1:9" ht="19.5" hidden="1" customHeight="1" outlineLevel="1" x14ac:dyDescent="0.25">
      <c r="A420" s="907">
        <f t="shared" si="5"/>
        <v>10</v>
      </c>
      <c r="B420"/>
      <c r="C420" s="540"/>
      <c r="D420" s="541"/>
      <c r="E420" s="486"/>
      <c r="F420" s="568"/>
      <c r="G420" s="793"/>
      <c r="H420" s="998"/>
      <c r="I420" s="393"/>
    </row>
    <row r="421" spans="1:9" ht="19.5" hidden="1" customHeight="1" outlineLevel="1" x14ac:dyDescent="0.25">
      <c r="A421" s="907">
        <f t="shared" si="5"/>
        <v>11</v>
      </c>
      <c r="B421"/>
      <c r="C421" s="540"/>
      <c r="D421" s="541"/>
      <c r="E421" s="486"/>
      <c r="F421" s="568"/>
      <c r="G421" s="793"/>
      <c r="H421" s="998"/>
      <c r="I421" s="393"/>
    </row>
    <row r="422" spans="1:9" ht="19.5" hidden="1" customHeight="1" outlineLevel="1" x14ac:dyDescent="0.25">
      <c r="A422" s="907">
        <f t="shared" si="5"/>
        <v>12</v>
      </c>
      <c r="B422"/>
      <c r="C422" s="540"/>
      <c r="D422" s="541"/>
      <c r="E422" s="486"/>
      <c r="F422" s="568"/>
      <c r="G422" s="793"/>
      <c r="H422" s="998"/>
      <c r="I422" s="393"/>
    </row>
    <row r="423" spans="1:9" ht="19.5" hidden="1" customHeight="1" outlineLevel="1" x14ac:dyDescent="0.25">
      <c r="A423" s="907">
        <f t="shared" si="5"/>
        <v>13</v>
      </c>
      <c r="B423"/>
      <c r="C423" s="540"/>
      <c r="D423" s="541"/>
      <c r="E423" s="486"/>
      <c r="F423" s="568"/>
      <c r="G423" s="793"/>
      <c r="H423" s="998"/>
      <c r="I423" s="393"/>
    </row>
    <row r="424" spans="1:9" ht="19.5" hidden="1" customHeight="1" outlineLevel="1" x14ac:dyDescent="0.25">
      <c r="A424" s="907">
        <f t="shared" si="5"/>
        <v>14</v>
      </c>
      <c r="B424"/>
      <c r="C424" s="540"/>
      <c r="D424" s="541"/>
      <c r="E424" s="486"/>
      <c r="F424" s="568"/>
      <c r="G424" s="793"/>
      <c r="H424" s="998"/>
      <c r="I424" s="393"/>
    </row>
    <row r="425" spans="1:9" ht="19.5" hidden="1" customHeight="1" outlineLevel="1" x14ac:dyDescent="0.25">
      <c r="A425" s="907">
        <f t="shared" si="5"/>
        <v>15</v>
      </c>
      <c r="B425"/>
      <c r="C425" s="540"/>
      <c r="D425" s="541"/>
      <c r="E425" s="486"/>
      <c r="F425" s="568"/>
      <c r="G425" s="793"/>
      <c r="H425" s="998"/>
      <c r="I425" s="393"/>
    </row>
    <row r="426" spans="1:9" ht="19.5" hidden="1" customHeight="1" outlineLevel="1" x14ac:dyDescent="0.25">
      <c r="A426" s="907">
        <f t="shared" si="5"/>
        <v>16</v>
      </c>
      <c r="B426"/>
      <c r="C426" s="540"/>
      <c r="D426" s="541"/>
      <c r="E426" s="486"/>
      <c r="F426" s="568"/>
      <c r="G426" s="793"/>
      <c r="H426" s="998"/>
      <c r="I426" s="393"/>
    </row>
    <row r="427" spans="1:9" ht="19.5" hidden="1" customHeight="1" outlineLevel="1" x14ac:dyDescent="0.25">
      <c r="A427" s="907">
        <f t="shared" si="5"/>
        <v>17</v>
      </c>
      <c r="B427"/>
      <c r="C427" s="540"/>
      <c r="D427" s="541"/>
      <c r="E427" s="486"/>
      <c r="F427" s="568"/>
      <c r="G427" s="793"/>
      <c r="H427" s="998"/>
      <c r="I427" s="393"/>
    </row>
    <row r="428" spans="1:9" ht="19.5" hidden="1" customHeight="1" outlineLevel="1" x14ac:dyDescent="0.25">
      <c r="A428" s="907">
        <f t="shared" si="5"/>
        <v>18</v>
      </c>
      <c r="B428"/>
      <c r="C428" s="540"/>
      <c r="D428" s="541"/>
      <c r="E428" s="486"/>
      <c r="F428" s="568"/>
      <c r="G428" s="793"/>
      <c r="H428" s="998"/>
      <c r="I428" s="393"/>
    </row>
    <row r="429" spans="1:9" ht="19.5" hidden="1" customHeight="1" outlineLevel="1" x14ac:dyDescent="0.25">
      <c r="A429" s="907">
        <f t="shared" si="5"/>
        <v>19</v>
      </c>
      <c r="B429"/>
      <c r="C429" s="540"/>
      <c r="D429" s="541"/>
      <c r="E429" s="486"/>
      <c r="F429" s="568"/>
      <c r="G429" s="793"/>
      <c r="H429" s="998"/>
      <c r="I429" s="393"/>
    </row>
    <row r="430" spans="1:9" ht="19.5" hidden="1" customHeight="1" outlineLevel="1" x14ac:dyDescent="0.25">
      <c r="A430" s="907">
        <f t="shared" si="5"/>
        <v>20</v>
      </c>
      <c r="B430"/>
      <c r="C430" s="540"/>
      <c r="D430" s="541"/>
      <c r="E430" s="486"/>
      <c r="F430" s="568"/>
      <c r="G430" s="793"/>
      <c r="H430" s="998"/>
      <c r="I430" s="393"/>
    </row>
    <row r="431" spans="1:9" ht="19.5" hidden="1" customHeight="1" outlineLevel="1" x14ac:dyDescent="0.25">
      <c r="A431" s="907">
        <f t="shared" si="5"/>
        <v>21</v>
      </c>
      <c r="B431"/>
      <c r="C431" s="540"/>
      <c r="D431" s="541"/>
      <c r="E431" s="486"/>
      <c r="F431" s="568"/>
      <c r="G431" s="793"/>
      <c r="H431" s="998"/>
      <c r="I431" s="393"/>
    </row>
    <row r="432" spans="1:9" ht="19.5" hidden="1" customHeight="1" outlineLevel="1" x14ac:dyDescent="0.25">
      <c r="A432" s="907">
        <f t="shared" si="5"/>
        <v>22</v>
      </c>
      <c r="B432"/>
      <c r="C432" s="540"/>
      <c r="D432" s="541"/>
      <c r="E432" s="486"/>
      <c r="F432" s="568"/>
      <c r="G432" s="793"/>
      <c r="H432" s="998"/>
      <c r="I432" s="393"/>
    </row>
    <row r="433" spans="1:9" ht="19.5" hidden="1" customHeight="1" outlineLevel="1" x14ac:dyDescent="0.25">
      <c r="A433" s="907">
        <f t="shared" si="5"/>
        <v>23</v>
      </c>
      <c r="B433"/>
      <c r="C433" s="540"/>
      <c r="D433" s="541"/>
      <c r="E433" s="486"/>
      <c r="F433" s="568"/>
      <c r="G433" s="793"/>
      <c r="H433" s="998"/>
      <c r="I433" s="393"/>
    </row>
    <row r="434" spans="1:9" ht="19.5" hidden="1" customHeight="1" outlineLevel="1" x14ac:dyDescent="0.25">
      <c r="A434" s="907">
        <f t="shared" si="5"/>
        <v>24</v>
      </c>
      <c r="B434"/>
      <c r="C434" s="540"/>
      <c r="D434" s="541"/>
      <c r="E434" s="486"/>
      <c r="F434" s="568"/>
      <c r="G434" s="793"/>
      <c r="H434" s="998"/>
      <c r="I434" s="393"/>
    </row>
    <row r="435" spans="1:9" ht="19.5" hidden="1" customHeight="1" outlineLevel="1" x14ac:dyDescent="0.25">
      <c r="A435" s="907">
        <f t="shared" si="5"/>
        <v>25</v>
      </c>
      <c r="B435"/>
      <c r="C435" s="540"/>
      <c r="D435" s="541"/>
      <c r="E435" s="486"/>
      <c r="F435" s="568"/>
      <c r="G435" s="793"/>
      <c r="H435" s="998"/>
      <c r="I435" s="393"/>
    </row>
    <row r="436" spans="1:9" ht="19.5" hidden="1" customHeight="1" outlineLevel="1" x14ac:dyDescent="0.25">
      <c r="A436" s="907">
        <f t="shared" si="5"/>
        <v>26</v>
      </c>
      <c r="B436"/>
      <c r="C436" s="540"/>
      <c r="D436" s="541"/>
      <c r="E436" s="486"/>
      <c r="F436" s="568"/>
      <c r="G436" s="793"/>
      <c r="H436" s="998"/>
      <c r="I436" s="393"/>
    </row>
    <row r="437" spans="1:9" ht="19.5" hidden="1" customHeight="1" outlineLevel="1" x14ac:dyDescent="0.25">
      <c r="A437" s="907">
        <f t="shared" si="5"/>
        <v>27</v>
      </c>
      <c r="B437"/>
      <c r="C437" s="540"/>
      <c r="D437" s="541"/>
      <c r="E437" s="486"/>
      <c r="F437" s="568"/>
      <c r="G437" s="793"/>
      <c r="H437" s="998"/>
      <c r="I437" s="393"/>
    </row>
    <row r="438" spans="1:9" ht="19.5" hidden="1" customHeight="1" outlineLevel="1" x14ac:dyDescent="0.25">
      <c r="A438" s="907">
        <f t="shared" si="5"/>
        <v>28</v>
      </c>
      <c r="B438"/>
      <c r="C438" s="540"/>
      <c r="D438" s="541"/>
      <c r="E438" s="486"/>
      <c r="F438" s="568"/>
      <c r="G438" s="793"/>
      <c r="H438" s="998"/>
      <c r="I438" s="393"/>
    </row>
    <row r="439" spans="1:9" ht="19.5" hidden="1" customHeight="1" outlineLevel="1" x14ac:dyDescent="0.25">
      <c r="A439" s="907">
        <f t="shared" si="5"/>
        <v>29</v>
      </c>
      <c r="B439"/>
      <c r="C439" s="540"/>
      <c r="D439" s="541"/>
      <c r="E439" s="486"/>
      <c r="F439" s="568"/>
      <c r="G439" s="793"/>
      <c r="H439" s="998"/>
      <c r="I439" s="393"/>
    </row>
    <row r="440" spans="1:9" ht="19.5" hidden="1" customHeight="1" outlineLevel="1" x14ac:dyDescent="0.25">
      <c r="A440" s="907">
        <f t="shared" si="5"/>
        <v>30</v>
      </c>
      <c r="B440"/>
      <c r="C440" s="540"/>
      <c r="D440" s="541"/>
      <c r="E440" s="486"/>
      <c r="F440" s="568"/>
      <c r="G440" s="793"/>
      <c r="H440" s="998"/>
      <c r="I440" s="393"/>
    </row>
    <row r="441" spans="1:9" ht="19.5" hidden="1" customHeight="1" outlineLevel="1" x14ac:dyDescent="0.25">
      <c r="A441" s="907">
        <f t="shared" si="5"/>
        <v>31</v>
      </c>
      <c r="B441"/>
      <c r="C441" s="540"/>
      <c r="D441" s="541"/>
      <c r="E441" s="486"/>
      <c r="F441" s="568"/>
      <c r="G441" s="793"/>
      <c r="H441" s="998"/>
      <c r="I441" s="393"/>
    </row>
    <row r="442" spans="1:9" ht="19.5" hidden="1" customHeight="1" outlineLevel="1" x14ac:dyDescent="0.25">
      <c r="A442" s="907">
        <f t="shared" si="5"/>
        <v>32</v>
      </c>
      <c r="B442"/>
      <c r="C442" s="540"/>
      <c r="D442" s="541"/>
      <c r="E442" s="486"/>
      <c r="F442" s="568"/>
      <c r="G442" s="793"/>
      <c r="H442" s="998"/>
      <c r="I442" s="393"/>
    </row>
    <row r="443" spans="1:9" ht="19.5" hidden="1" customHeight="1" outlineLevel="1" x14ac:dyDescent="0.25">
      <c r="A443" s="907">
        <f t="shared" si="5"/>
        <v>33</v>
      </c>
      <c r="B443"/>
      <c r="C443" s="540"/>
      <c r="D443" s="541"/>
      <c r="E443" s="486"/>
      <c r="F443" s="568"/>
      <c r="G443" s="793"/>
      <c r="H443" s="998"/>
      <c r="I443" s="393"/>
    </row>
    <row r="444" spans="1:9" ht="19.5" hidden="1" customHeight="1" outlineLevel="1" x14ac:dyDescent="0.25">
      <c r="A444" s="907">
        <f t="shared" si="5"/>
        <v>34</v>
      </c>
      <c r="B444"/>
      <c r="C444" s="540"/>
      <c r="D444" s="541"/>
      <c r="E444" s="486"/>
      <c r="F444" s="568"/>
      <c r="G444" s="793"/>
      <c r="H444" s="998"/>
      <c r="I444" s="393"/>
    </row>
    <row r="445" spans="1:9" ht="19.5" hidden="1" customHeight="1" outlineLevel="1" x14ac:dyDescent="0.25">
      <c r="A445" s="907">
        <f t="shared" si="5"/>
        <v>35</v>
      </c>
      <c r="B445"/>
      <c r="C445" s="540"/>
      <c r="D445" s="541"/>
      <c r="E445" s="486"/>
      <c r="F445" s="568"/>
      <c r="G445" s="793"/>
      <c r="H445" s="998"/>
      <c r="I445" s="393"/>
    </row>
    <row r="446" spans="1:9" ht="19.5" hidden="1" customHeight="1" outlineLevel="1" x14ac:dyDescent="0.25">
      <c r="A446" s="907">
        <f t="shared" si="5"/>
        <v>36</v>
      </c>
      <c r="B446"/>
      <c r="C446" s="540"/>
      <c r="D446" s="541"/>
      <c r="E446" s="486"/>
      <c r="F446" s="568"/>
      <c r="G446" s="793"/>
      <c r="H446" s="998"/>
      <c r="I446" s="393"/>
    </row>
    <row r="447" spans="1:9" ht="19.5" hidden="1" customHeight="1" outlineLevel="1" x14ac:dyDescent="0.25">
      <c r="A447" s="907">
        <f t="shared" si="5"/>
        <v>37</v>
      </c>
      <c r="B447"/>
      <c r="C447" s="540"/>
      <c r="D447" s="541"/>
      <c r="E447" s="486"/>
      <c r="F447" s="568"/>
      <c r="G447" s="793"/>
      <c r="H447" s="998"/>
      <c r="I447" s="393"/>
    </row>
    <row r="448" spans="1:9" ht="19.5" hidden="1" customHeight="1" outlineLevel="1" x14ac:dyDescent="0.25">
      <c r="A448" s="907">
        <f t="shared" si="5"/>
        <v>38</v>
      </c>
      <c r="B448"/>
      <c r="C448" s="540"/>
      <c r="D448" s="541"/>
      <c r="E448" s="486"/>
      <c r="F448" s="568"/>
      <c r="G448" s="793"/>
      <c r="H448" s="998"/>
      <c r="I448" s="393"/>
    </row>
    <row r="449" spans="1:9" ht="19.5" hidden="1" customHeight="1" outlineLevel="1" x14ac:dyDescent="0.25">
      <c r="A449" s="907">
        <f t="shared" si="5"/>
        <v>39</v>
      </c>
      <c r="B449"/>
      <c r="C449" s="540"/>
      <c r="D449" s="541"/>
      <c r="E449" s="486"/>
      <c r="F449" s="568"/>
      <c r="G449" s="793"/>
      <c r="H449" s="998"/>
      <c r="I449" s="393"/>
    </row>
    <row r="450" spans="1:9" ht="19.5" hidden="1" customHeight="1" outlineLevel="1" x14ac:dyDescent="0.25">
      <c r="A450" s="907">
        <f t="shared" si="5"/>
        <v>40</v>
      </c>
      <c r="B450"/>
      <c r="C450" s="540"/>
      <c r="D450" s="541"/>
      <c r="E450" s="486"/>
      <c r="F450" s="568"/>
      <c r="G450" s="793"/>
      <c r="H450" s="998"/>
      <c r="I450" s="393"/>
    </row>
    <row r="451" spans="1:9" ht="19.5" hidden="1" customHeight="1" outlineLevel="1" x14ac:dyDescent="0.25">
      <c r="A451" s="907">
        <f t="shared" si="5"/>
        <v>41</v>
      </c>
      <c r="B451"/>
      <c r="C451" s="540"/>
      <c r="D451" s="541"/>
      <c r="E451" s="486"/>
      <c r="F451" s="568"/>
      <c r="G451" s="793"/>
      <c r="H451" s="998"/>
      <c r="I451" s="393"/>
    </row>
    <row r="452" spans="1:9" ht="19.5" hidden="1" customHeight="1" outlineLevel="1" x14ac:dyDescent="0.25">
      <c r="A452" s="907">
        <f t="shared" si="5"/>
        <v>42</v>
      </c>
      <c r="B452"/>
      <c r="C452" s="540"/>
      <c r="D452" s="541"/>
      <c r="E452" s="486"/>
      <c r="F452" s="568"/>
      <c r="G452" s="793"/>
      <c r="H452" s="998"/>
      <c r="I452" s="393"/>
    </row>
    <row r="453" spans="1:9" ht="19.5" hidden="1" customHeight="1" outlineLevel="1" x14ac:dyDescent="0.25">
      <c r="A453" s="907">
        <f t="shared" si="5"/>
        <v>43</v>
      </c>
      <c r="B453"/>
      <c r="C453" s="540"/>
      <c r="D453" s="541"/>
      <c r="E453" s="486"/>
      <c r="F453" s="568"/>
      <c r="G453" s="793"/>
      <c r="H453" s="998"/>
      <c r="I453" s="393"/>
    </row>
    <row r="454" spans="1:9" ht="19.5" hidden="1" customHeight="1" outlineLevel="1" x14ac:dyDescent="0.25">
      <c r="A454" s="907">
        <f t="shared" si="5"/>
        <v>44</v>
      </c>
      <c r="B454"/>
      <c r="C454" s="540"/>
      <c r="D454" s="541"/>
      <c r="E454" s="486"/>
      <c r="F454" s="568"/>
      <c r="G454" s="793"/>
      <c r="H454" s="998"/>
      <c r="I454" s="393"/>
    </row>
    <row r="455" spans="1:9" ht="19.5" hidden="1" customHeight="1" outlineLevel="1" x14ac:dyDescent="0.25">
      <c r="A455" s="907">
        <f t="shared" si="5"/>
        <v>45</v>
      </c>
      <c r="B455"/>
      <c r="C455" s="540"/>
      <c r="D455" s="541"/>
      <c r="E455" s="486"/>
      <c r="F455" s="568"/>
      <c r="G455" s="793"/>
      <c r="H455" s="998"/>
      <c r="I455" s="393"/>
    </row>
    <row r="456" spans="1:9" ht="19.5" hidden="1" customHeight="1" outlineLevel="1" x14ac:dyDescent="0.25">
      <c r="A456" s="907">
        <f t="shared" si="5"/>
        <v>46</v>
      </c>
      <c r="B456"/>
      <c r="C456" s="540"/>
      <c r="D456" s="541"/>
      <c r="E456" s="486"/>
      <c r="F456" s="568"/>
      <c r="G456" s="793"/>
      <c r="H456" s="998"/>
      <c r="I456" s="393"/>
    </row>
    <row r="457" spans="1:9" ht="19.5" hidden="1" customHeight="1" outlineLevel="1" x14ac:dyDescent="0.25">
      <c r="A457" s="907">
        <f t="shared" si="5"/>
        <v>47</v>
      </c>
      <c r="B457"/>
      <c r="C457" s="540"/>
      <c r="D457" s="541"/>
      <c r="E457" s="486"/>
      <c r="F457" s="568"/>
      <c r="G457" s="793"/>
      <c r="H457" s="998"/>
      <c r="I457" s="393"/>
    </row>
    <row r="458" spans="1:9" ht="19.5" hidden="1" customHeight="1" outlineLevel="1" x14ac:dyDescent="0.25">
      <c r="A458" s="907">
        <f t="shared" si="5"/>
        <v>48</v>
      </c>
      <c r="B458"/>
      <c r="C458" s="540"/>
      <c r="D458" s="541"/>
      <c r="E458" s="486"/>
      <c r="F458" s="568"/>
      <c r="G458" s="793"/>
      <c r="H458" s="998"/>
      <c r="I458" s="393"/>
    </row>
    <row r="459" spans="1:9" ht="19.5" hidden="1" customHeight="1" outlineLevel="1" x14ac:dyDescent="0.25">
      <c r="A459" s="907">
        <f t="shared" si="5"/>
        <v>49</v>
      </c>
      <c r="B459"/>
      <c r="C459" s="540"/>
      <c r="D459" s="541"/>
      <c r="E459" s="486"/>
      <c r="F459" s="568"/>
      <c r="G459" s="793"/>
      <c r="H459" s="998"/>
      <c r="I459" s="393"/>
    </row>
    <row r="460" spans="1:9" ht="19.5" hidden="1" customHeight="1" outlineLevel="1" x14ac:dyDescent="0.25">
      <c r="A460" s="907">
        <f t="shared" si="5"/>
        <v>50</v>
      </c>
      <c r="B460"/>
      <c r="C460" s="540"/>
      <c r="D460" s="541"/>
      <c r="E460" s="486"/>
      <c r="F460" s="568"/>
      <c r="G460" s="793"/>
      <c r="H460" s="998"/>
      <c r="I460" s="393"/>
    </row>
    <row r="461" spans="1:9" ht="19.5" hidden="1" customHeight="1" outlineLevel="1" x14ac:dyDescent="0.25">
      <c r="A461" s="907">
        <f t="shared" si="5"/>
        <v>51</v>
      </c>
      <c r="B461"/>
      <c r="C461" s="540"/>
      <c r="D461" s="541"/>
      <c r="E461" s="486"/>
      <c r="F461" s="568"/>
      <c r="G461" s="793"/>
      <c r="H461" s="998"/>
      <c r="I461" s="393"/>
    </row>
    <row r="462" spans="1:9" ht="19.5" hidden="1" customHeight="1" outlineLevel="1" x14ac:dyDescent="0.25">
      <c r="A462" s="907">
        <f t="shared" si="5"/>
        <v>52</v>
      </c>
      <c r="B462"/>
      <c r="C462" s="540"/>
      <c r="D462" s="541"/>
      <c r="E462" s="486"/>
      <c r="F462" s="568"/>
      <c r="G462" s="793"/>
      <c r="H462" s="998"/>
      <c r="I462" s="393"/>
    </row>
    <row r="463" spans="1:9" ht="19.5" hidden="1" customHeight="1" outlineLevel="1" x14ac:dyDescent="0.25">
      <c r="A463" s="907">
        <f t="shared" si="5"/>
        <v>53</v>
      </c>
      <c r="B463"/>
      <c r="C463" s="540"/>
      <c r="D463" s="541"/>
      <c r="E463" s="486"/>
      <c r="F463" s="568"/>
      <c r="G463" s="793"/>
      <c r="H463" s="998"/>
      <c r="I463" s="393"/>
    </row>
    <row r="464" spans="1:9" ht="19.5" hidden="1" customHeight="1" outlineLevel="1" x14ac:dyDescent="0.25">
      <c r="A464" s="907">
        <f t="shared" si="5"/>
        <v>54</v>
      </c>
      <c r="B464"/>
      <c r="C464" s="540"/>
      <c r="D464" s="541"/>
      <c r="E464" s="486"/>
      <c r="F464" s="568"/>
      <c r="G464" s="793"/>
      <c r="H464" s="998"/>
      <c r="I464" s="393"/>
    </row>
    <row r="465" spans="1:9" ht="19.5" hidden="1" customHeight="1" outlineLevel="1" x14ac:dyDescent="0.25">
      <c r="A465" s="907">
        <f t="shared" si="5"/>
        <v>55</v>
      </c>
      <c r="B465"/>
      <c r="C465" s="540"/>
      <c r="D465" s="541"/>
      <c r="E465" s="486"/>
      <c r="F465" s="568"/>
      <c r="G465" s="793"/>
      <c r="H465" s="998"/>
      <c r="I465" s="393"/>
    </row>
    <row r="466" spans="1:9" ht="19.5" hidden="1" customHeight="1" outlineLevel="1" x14ac:dyDescent="0.25">
      <c r="A466" s="907">
        <f t="shared" si="5"/>
        <v>56</v>
      </c>
      <c r="B466"/>
      <c r="C466" s="540"/>
      <c r="D466" s="541"/>
      <c r="E466" s="486"/>
      <c r="F466" s="568"/>
      <c r="G466" s="793"/>
      <c r="H466" s="998"/>
      <c r="I466" s="393"/>
    </row>
    <row r="467" spans="1:9" ht="19.5" hidden="1" customHeight="1" outlineLevel="1" x14ac:dyDescent="0.25">
      <c r="A467" s="907">
        <f t="shared" si="5"/>
        <v>57</v>
      </c>
      <c r="B467"/>
      <c r="C467" s="540"/>
      <c r="D467" s="541"/>
      <c r="E467" s="486"/>
      <c r="F467" s="568"/>
      <c r="G467" s="793"/>
      <c r="H467" s="998"/>
      <c r="I467" s="393"/>
    </row>
    <row r="468" spans="1:9" ht="19.5" hidden="1" customHeight="1" outlineLevel="1" x14ac:dyDescent="0.25">
      <c r="A468" s="907">
        <f t="shared" si="5"/>
        <v>58</v>
      </c>
      <c r="B468"/>
      <c r="C468" s="540"/>
      <c r="D468" s="541"/>
      <c r="E468" s="486"/>
      <c r="F468" s="568"/>
      <c r="G468" s="793"/>
      <c r="H468" s="998"/>
      <c r="I468" s="393"/>
    </row>
    <row r="469" spans="1:9" ht="19.5" hidden="1" customHeight="1" outlineLevel="1" x14ac:dyDescent="0.25">
      <c r="A469" s="907">
        <f t="shared" si="5"/>
        <v>59</v>
      </c>
      <c r="B469"/>
      <c r="C469" s="540"/>
      <c r="D469" s="541"/>
      <c r="E469" s="486"/>
      <c r="F469" s="568"/>
      <c r="G469" s="793"/>
      <c r="H469" s="998"/>
      <c r="I469" s="393"/>
    </row>
    <row r="470" spans="1:9" ht="19.5" hidden="1" customHeight="1" outlineLevel="1" x14ac:dyDescent="0.25">
      <c r="A470" s="907">
        <f t="shared" si="5"/>
        <v>60</v>
      </c>
      <c r="B470"/>
      <c r="C470" s="540"/>
      <c r="D470" s="541"/>
      <c r="E470" s="486"/>
      <c r="F470" s="568"/>
      <c r="G470" s="793"/>
      <c r="H470" s="998"/>
      <c r="I470" s="393"/>
    </row>
    <row r="471" spans="1:9" ht="19.5" hidden="1" customHeight="1" outlineLevel="1" x14ac:dyDescent="0.25">
      <c r="A471" s="907">
        <f t="shared" si="5"/>
        <v>61</v>
      </c>
      <c r="B471"/>
      <c r="C471" s="540"/>
      <c r="D471" s="541"/>
      <c r="E471" s="486"/>
      <c r="F471" s="568"/>
      <c r="G471" s="793"/>
      <c r="H471" s="998"/>
      <c r="I471" s="393"/>
    </row>
    <row r="472" spans="1:9" ht="19.5" hidden="1" customHeight="1" outlineLevel="1" x14ac:dyDescent="0.25">
      <c r="A472" s="907">
        <f t="shared" si="5"/>
        <v>62</v>
      </c>
      <c r="B472"/>
      <c r="C472" s="540"/>
      <c r="D472" s="541"/>
      <c r="E472" s="486"/>
      <c r="F472" s="568"/>
      <c r="G472" s="793"/>
      <c r="H472" s="998"/>
      <c r="I472" s="393"/>
    </row>
    <row r="473" spans="1:9" ht="19.5" hidden="1" customHeight="1" outlineLevel="1" x14ac:dyDescent="0.25">
      <c r="A473" s="907">
        <f t="shared" si="5"/>
        <v>63</v>
      </c>
      <c r="B473"/>
      <c r="C473" s="540"/>
      <c r="D473" s="541"/>
      <c r="E473" s="486"/>
      <c r="F473" s="568"/>
      <c r="G473" s="793"/>
      <c r="H473" s="998"/>
      <c r="I473" s="393"/>
    </row>
    <row r="474" spans="1:9" ht="19.5" hidden="1" customHeight="1" outlineLevel="1" x14ac:dyDescent="0.25">
      <c r="A474" s="907">
        <f t="shared" si="5"/>
        <v>64</v>
      </c>
      <c r="B474"/>
      <c r="C474" s="540"/>
      <c r="D474" s="541"/>
      <c r="E474" s="486"/>
      <c r="F474" s="568"/>
      <c r="G474" s="793"/>
      <c r="H474" s="998"/>
      <c r="I474" s="393"/>
    </row>
    <row r="475" spans="1:9" ht="19.5" hidden="1" customHeight="1" outlineLevel="1" x14ac:dyDescent="0.25">
      <c r="A475" s="907">
        <f t="shared" si="5"/>
        <v>65</v>
      </c>
      <c r="B475"/>
      <c r="C475" s="540"/>
      <c r="D475" s="541"/>
      <c r="E475" s="486"/>
      <c r="F475" s="568"/>
      <c r="G475" s="793"/>
      <c r="H475" s="998"/>
      <c r="I475" s="393"/>
    </row>
    <row r="476" spans="1:9" ht="19.5" hidden="1" customHeight="1" outlineLevel="1" x14ac:dyDescent="0.25">
      <c r="A476" s="907">
        <f t="shared" si="5"/>
        <v>66</v>
      </c>
      <c r="B476"/>
      <c r="C476" s="540"/>
      <c r="D476" s="541"/>
      <c r="E476" s="486"/>
      <c r="F476" s="568"/>
      <c r="G476" s="793"/>
      <c r="H476" s="998"/>
      <c r="I476" s="393"/>
    </row>
    <row r="477" spans="1:9" ht="19.5" hidden="1" customHeight="1" outlineLevel="1" x14ac:dyDescent="0.25">
      <c r="A477" s="907">
        <f t="shared" ref="A477:A485" si="6">+A476+1</f>
        <v>67</v>
      </c>
      <c r="B477"/>
      <c r="C477" s="540"/>
      <c r="D477" s="541"/>
      <c r="E477" s="486"/>
      <c r="F477" s="568"/>
      <c r="G477" s="793"/>
      <c r="H477" s="998"/>
      <c r="I477" s="393"/>
    </row>
    <row r="478" spans="1:9" ht="19.5" hidden="1" customHeight="1" outlineLevel="1" x14ac:dyDescent="0.25">
      <c r="A478" s="907">
        <f t="shared" si="6"/>
        <v>68</v>
      </c>
      <c r="B478" s="536"/>
      <c r="C478" s="540"/>
      <c r="D478" s="541"/>
      <c r="E478" s="486"/>
      <c r="F478" s="568"/>
      <c r="G478" s="793"/>
      <c r="H478" s="998"/>
      <c r="I478" s="393"/>
    </row>
    <row r="479" spans="1:9" ht="19.5" hidden="1" customHeight="1" outlineLevel="1" x14ac:dyDescent="0.25">
      <c r="A479" s="907">
        <f t="shared" si="6"/>
        <v>69</v>
      </c>
      <c r="B479"/>
      <c r="C479" s="540"/>
      <c r="D479" s="541"/>
      <c r="E479" s="486"/>
      <c r="F479" s="568"/>
      <c r="G479" s="793"/>
      <c r="H479" s="998"/>
      <c r="I479" s="393"/>
    </row>
    <row r="480" spans="1:9" ht="19.5" hidden="1" customHeight="1" outlineLevel="1" x14ac:dyDescent="0.25">
      <c r="A480" s="907">
        <f t="shared" si="6"/>
        <v>70</v>
      </c>
      <c r="B480"/>
      <c r="C480" s="540"/>
      <c r="D480" s="541"/>
      <c r="E480" s="486"/>
      <c r="F480" s="568"/>
      <c r="G480" s="793"/>
      <c r="H480" s="998"/>
      <c r="I480" s="393"/>
    </row>
    <row r="481" spans="1:11" ht="19.5" hidden="1" customHeight="1" outlineLevel="1" x14ac:dyDescent="0.25">
      <c r="A481" s="907">
        <f t="shared" si="6"/>
        <v>71</v>
      </c>
      <c r="B481"/>
      <c r="C481" s="540"/>
      <c r="D481" s="541"/>
      <c r="E481" s="486"/>
      <c r="F481" s="568"/>
      <c r="G481" s="793"/>
      <c r="H481" s="998"/>
      <c r="I481" s="393"/>
    </row>
    <row r="482" spans="1:11" ht="19.5" hidden="1" customHeight="1" outlineLevel="1" x14ac:dyDescent="0.25">
      <c r="A482" s="907">
        <f t="shared" si="6"/>
        <v>72</v>
      </c>
      <c r="B482"/>
      <c r="C482" s="540"/>
      <c r="D482" s="541"/>
      <c r="E482" s="486"/>
      <c r="F482" s="568"/>
      <c r="G482" s="793"/>
      <c r="H482" s="998"/>
      <c r="I482" s="393"/>
    </row>
    <row r="483" spans="1:11" ht="19.5" hidden="1" customHeight="1" outlineLevel="1" x14ac:dyDescent="0.25">
      <c r="A483" s="907">
        <f t="shared" si="6"/>
        <v>73</v>
      </c>
      <c r="B483"/>
      <c r="C483" s="540"/>
      <c r="D483" s="541"/>
      <c r="E483" s="486"/>
      <c r="F483" s="568"/>
      <c r="G483" s="793"/>
      <c r="H483" s="998"/>
      <c r="I483" s="393"/>
    </row>
    <row r="484" spans="1:11" ht="19.5" hidden="1" customHeight="1" outlineLevel="1" x14ac:dyDescent="0.25">
      <c r="A484" s="907">
        <f t="shared" si="6"/>
        <v>74</v>
      </c>
      <c r="B484"/>
      <c r="C484" s="540"/>
      <c r="D484" s="541"/>
      <c r="E484" s="486"/>
      <c r="F484" s="568"/>
      <c r="G484" s="793"/>
      <c r="H484" s="998"/>
      <c r="I484" s="393"/>
    </row>
    <row r="485" spans="1:11" ht="19.5" customHeight="1" collapsed="1" x14ac:dyDescent="0.25">
      <c r="A485" s="907">
        <f t="shared" si="6"/>
        <v>75</v>
      </c>
      <c r="B485"/>
      <c r="C485" s="540"/>
      <c r="D485" s="541"/>
      <c r="E485" s="486"/>
      <c r="F485" s="568"/>
      <c r="G485" s="793"/>
      <c r="H485" s="998"/>
      <c r="I485" s="393"/>
    </row>
    <row r="486" spans="1:11" ht="19.5" customHeight="1" thickBot="1" x14ac:dyDescent="0.35">
      <c r="A486" s="912"/>
      <c r="B486" s="1482" t="s">
        <v>277</v>
      </c>
      <c r="C486" s="1483"/>
      <c r="D486" s="1484"/>
      <c r="E486" s="380"/>
      <c r="F486" s="473">
        <v>0</v>
      </c>
      <c r="G486" s="621">
        <v>0</v>
      </c>
      <c r="H486" s="861">
        <v>0</v>
      </c>
      <c r="I486" s="622">
        <f>ROUND(H486/2080,2)</f>
        <v>0</v>
      </c>
    </row>
    <row r="487" spans="1:11" ht="19.5" customHeight="1" thickTop="1" x14ac:dyDescent="0.3">
      <c r="A487" s="912"/>
      <c r="B487" s="375"/>
      <c r="C487" s="375"/>
      <c r="D487" s="375"/>
      <c r="E487" s="297"/>
      <c r="F487" s="368"/>
      <c r="G487" s="294"/>
      <c r="H487" s="295"/>
      <c r="I487" s="396"/>
    </row>
    <row r="488" spans="1:11" ht="19.5" customHeight="1" x14ac:dyDescent="0.3">
      <c r="A488" s="906" t="s">
        <v>75</v>
      </c>
      <c r="B488" s="1487" t="s">
        <v>345</v>
      </c>
      <c r="C488" s="1488"/>
      <c r="D488" s="1489"/>
      <c r="E488" s="524"/>
      <c r="F488" s="338"/>
      <c r="G488" s="338"/>
      <c r="H488" s="997"/>
      <c r="I488" s="391"/>
      <c r="J488" s="863"/>
      <c r="K488" s="579"/>
    </row>
    <row r="489" spans="1:11" ht="19.5" customHeight="1" x14ac:dyDescent="0.3">
      <c r="A489" s="907">
        <v>1</v>
      </c>
      <c r="B489" s="825" t="s">
        <v>937</v>
      </c>
      <c r="C489" s="826"/>
      <c r="D489" s="585"/>
      <c r="E489"/>
      <c r="F489" s="537"/>
      <c r="G489" s="963"/>
      <c r="H489" s="555"/>
      <c r="I489" s="393"/>
      <c r="K489" s="579"/>
    </row>
    <row r="490" spans="1:11" ht="19.5" customHeight="1" x14ac:dyDescent="0.3">
      <c r="A490" s="907">
        <v>2</v>
      </c>
      <c r="B490" s="825"/>
      <c r="C490" s="826"/>
      <c r="D490" s="585"/>
      <c r="E490"/>
      <c r="F490" s="537"/>
      <c r="G490" s="963"/>
      <c r="H490" s="555"/>
      <c r="I490" s="393"/>
      <c r="K490" s="579"/>
    </row>
    <row r="491" spans="1:11" ht="19.5" hidden="1" customHeight="1" outlineLevel="1" x14ac:dyDescent="0.3">
      <c r="A491" s="907">
        <v>3</v>
      </c>
      <c r="B491" s="825"/>
      <c r="C491" s="826"/>
      <c r="D491" s="585"/>
      <c r="E491"/>
      <c r="F491" s="537"/>
      <c r="G491" s="963"/>
      <c r="H491" s="555"/>
      <c r="I491" s="393"/>
      <c r="K491" s="579"/>
    </row>
    <row r="492" spans="1:11" ht="19.5" hidden="1" customHeight="1" outlineLevel="1" x14ac:dyDescent="0.3">
      <c r="A492" s="907">
        <v>4</v>
      </c>
      <c r="B492" s="825"/>
      <c r="C492" s="826"/>
      <c r="D492" s="585"/>
      <c r="E492"/>
      <c r="F492" s="537"/>
      <c r="G492" s="963"/>
      <c r="H492" s="555"/>
      <c r="I492" s="393"/>
      <c r="K492" s="834"/>
    </row>
    <row r="493" spans="1:11" ht="19.5" hidden="1" customHeight="1" outlineLevel="1" x14ac:dyDescent="0.3">
      <c r="A493" s="907">
        <v>5</v>
      </c>
      <c r="B493" s="825"/>
      <c r="C493" s="826"/>
      <c r="D493" s="585"/>
      <c r="E493"/>
      <c r="F493" s="537"/>
      <c r="G493" s="963"/>
      <c r="H493" s="555"/>
      <c r="I493" s="393"/>
      <c r="K493" s="834"/>
    </row>
    <row r="494" spans="1:11" ht="19.5" hidden="1" customHeight="1" outlineLevel="1" x14ac:dyDescent="0.3">
      <c r="A494" s="907">
        <v>6</v>
      </c>
      <c r="B494" s="825"/>
      <c r="C494" s="826"/>
      <c r="D494" s="585"/>
      <c r="E494"/>
      <c r="F494" s="537"/>
      <c r="G494" s="963"/>
      <c r="H494" s="555"/>
      <c r="I494" s="393"/>
      <c r="K494" s="834"/>
    </row>
    <row r="495" spans="1:11" ht="19.5" hidden="1" customHeight="1" outlineLevel="1" x14ac:dyDescent="0.3">
      <c r="A495" s="907">
        <v>7</v>
      </c>
      <c r="B495" s="825"/>
      <c r="C495" s="826"/>
      <c r="D495" s="585"/>
      <c r="E495"/>
      <c r="F495" s="537"/>
      <c r="G495" s="963"/>
      <c r="H495" s="555"/>
      <c r="I495" s="393"/>
      <c r="K495" s="834"/>
    </row>
    <row r="496" spans="1:11" ht="19.5" hidden="1" customHeight="1" outlineLevel="1" x14ac:dyDescent="0.3">
      <c r="A496" s="907">
        <v>8</v>
      </c>
      <c r="B496" s="825"/>
      <c r="C496" s="826"/>
      <c r="D496" s="585"/>
      <c r="E496"/>
      <c r="F496" s="537"/>
      <c r="G496" s="963"/>
      <c r="H496" s="555"/>
      <c r="I496" s="393"/>
      <c r="K496" s="834"/>
    </row>
    <row r="497" spans="1:11" ht="19.5" hidden="1" customHeight="1" outlineLevel="1" x14ac:dyDescent="0.3">
      <c r="A497" s="907">
        <v>9</v>
      </c>
      <c r="B497" s="825"/>
      <c r="C497" s="826"/>
      <c r="D497" s="585"/>
      <c r="E497"/>
      <c r="F497" s="537"/>
      <c r="G497" s="963"/>
      <c r="H497" s="555"/>
      <c r="I497" s="393"/>
      <c r="K497" s="579"/>
    </row>
    <row r="498" spans="1:11" ht="19.5" hidden="1" customHeight="1" outlineLevel="1" x14ac:dyDescent="0.3">
      <c r="A498" s="907">
        <v>10</v>
      </c>
      <c r="B498" s="825"/>
      <c r="C498" s="826"/>
      <c r="D498" s="585"/>
      <c r="E498"/>
      <c r="F498" s="537"/>
      <c r="G498" s="963"/>
      <c r="H498" s="555"/>
      <c r="I498" s="393"/>
      <c r="K498" s="579"/>
    </row>
    <row r="499" spans="1:11" ht="19.5" hidden="1" customHeight="1" outlineLevel="1" x14ac:dyDescent="0.3">
      <c r="A499" s="907">
        <v>11</v>
      </c>
      <c r="B499" s="825"/>
      <c r="C499" s="826"/>
      <c r="D499" s="585"/>
      <c r="E499"/>
      <c r="F499" s="537"/>
      <c r="G499" s="963"/>
      <c r="H499" s="555"/>
      <c r="I499" s="393"/>
      <c r="K499" s="579"/>
    </row>
    <row r="500" spans="1:11" ht="19.5" hidden="1" customHeight="1" outlineLevel="1" x14ac:dyDescent="0.3">
      <c r="A500" s="907">
        <v>12</v>
      </c>
      <c r="B500" s="825"/>
      <c r="C500" s="826"/>
      <c r="D500" s="585"/>
      <c r="E500"/>
      <c r="F500" s="537"/>
      <c r="G500" s="963"/>
      <c r="H500" s="555"/>
      <c r="I500" s="393"/>
      <c r="K500" s="579"/>
    </row>
    <row r="501" spans="1:11" ht="19.5" hidden="1" customHeight="1" outlineLevel="1" x14ac:dyDescent="0.3">
      <c r="A501" s="907">
        <v>13</v>
      </c>
      <c r="B501" s="825"/>
      <c r="C501" s="826"/>
      <c r="D501" s="567"/>
      <c r="E501"/>
      <c r="F501" s="537"/>
      <c r="G501" s="963"/>
      <c r="H501" s="555"/>
      <c r="I501" s="393"/>
      <c r="K501" s="579"/>
    </row>
    <row r="502" spans="1:11" ht="19.5" hidden="1" customHeight="1" outlineLevel="1" x14ac:dyDescent="0.3">
      <c r="A502" s="907">
        <v>14</v>
      </c>
      <c r="B502" s="825"/>
      <c r="C502" s="826"/>
      <c r="D502" s="567"/>
      <c r="E502"/>
      <c r="F502" s="537"/>
      <c r="G502" s="963"/>
      <c r="H502" s="555"/>
      <c r="I502" s="393"/>
      <c r="K502" s="579"/>
    </row>
    <row r="503" spans="1:11" ht="19.5" hidden="1" customHeight="1" outlineLevel="1" x14ac:dyDescent="0.3">
      <c r="A503" s="907">
        <v>15</v>
      </c>
      <c r="B503" s="825"/>
      <c r="C503" s="826"/>
      <c r="D503" s="521"/>
      <c r="E503"/>
      <c r="F503" s="537"/>
      <c r="G503" s="963"/>
      <c r="H503" s="555"/>
      <c r="I503" s="393"/>
      <c r="K503" s="779"/>
    </row>
    <row r="504" spans="1:11" ht="19.5" hidden="1" customHeight="1" outlineLevel="1" x14ac:dyDescent="0.3">
      <c r="A504" s="907">
        <v>16</v>
      </c>
      <c r="B504" s="825"/>
      <c r="C504" s="826"/>
      <c r="D504" s="521"/>
      <c r="E504"/>
      <c r="F504" s="537"/>
      <c r="G504" s="963"/>
      <c r="H504" s="555"/>
      <c r="I504" s="393"/>
      <c r="K504" s="779"/>
    </row>
    <row r="505" spans="1:11" ht="19.5" hidden="1" customHeight="1" outlineLevel="1" x14ac:dyDescent="0.3">
      <c r="A505" s="907">
        <v>17</v>
      </c>
      <c r="B505" s="825"/>
      <c r="C505" s="826"/>
      <c r="D505" s="521"/>
      <c r="E505"/>
      <c r="F505" s="537"/>
      <c r="G505" s="963"/>
      <c r="H505" s="555"/>
      <c r="I505" s="393"/>
      <c r="K505" s="779"/>
    </row>
    <row r="506" spans="1:11" ht="19.5" hidden="1" customHeight="1" outlineLevel="1" x14ac:dyDescent="0.3">
      <c r="A506" s="907">
        <v>18</v>
      </c>
      <c r="B506" s="825"/>
      <c r="C506" s="826"/>
      <c r="D506" s="521"/>
      <c r="E506"/>
      <c r="F506" s="537"/>
      <c r="G506" s="963"/>
      <c r="H506" s="555"/>
      <c r="I506" s="393"/>
      <c r="K506" s="579"/>
    </row>
    <row r="507" spans="1:11" ht="19.5" hidden="1" customHeight="1" outlineLevel="1" x14ac:dyDescent="0.3">
      <c r="A507" s="907">
        <v>19</v>
      </c>
      <c r="B507" s="825"/>
      <c r="C507" s="826"/>
      <c r="D507" s="521"/>
      <c r="E507"/>
      <c r="F507" s="537"/>
      <c r="G507" s="963"/>
      <c r="H507" s="555"/>
      <c r="I507" s="393"/>
      <c r="K507" s="579"/>
    </row>
    <row r="508" spans="1:11" ht="19.5" hidden="1" customHeight="1" outlineLevel="1" x14ac:dyDescent="0.3">
      <c r="A508" s="907">
        <v>20</v>
      </c>
      <c r="B508" s="825"/>
      <c r="C508" s="826"/>
      <c r="D508" s="521"/>
      <c r="E508"/>
      <c r="F508" s="537"/>
      <c r="G508" s="963"/>
      <c r="H508" s="555"/>
      <c r="I508" s="393"/>
      <c r="K508" s="579"/>
    </row>
    <row r="509" spans="1:11" ht="19.5" hidden="1" customHeight="1" outlineLevel="1" x14ac:dyDescent="0.3">
      <c r="A509" s="907">
        <v>21</v>
      </c>
      <c r="B509" s="825"/>
      <c r="C509" s="826"/>
      <c r="D509" s="521"/>
      <c r="E509"/>
      <c r="F509" s="537"/>
      <c r="G509" s="963"/>
      <c r="H509" s="555"/>
      <c r="I509" s="393"/>
      <c r="K509" s="579"/>
    </row>
    <row r="510" spans="1:11" ht="19.5" hidden="1" customHeight="1" outlineLevel="1" x14ac:dyDescent="0.3">
      <c r="A510" s="907">
        <v>22</v>
      </c>
      <c r="B510" s="825"/>
      <c r="C510" s="826"/>
      <c r="D510" s="521"/>
      <c r="E510"/>
      <c r="F510" s="537"/>
      <c r="G510" s="963"/>
      <c r="H510" s="555"/>
      <c r="I510" s="393"/>
      <c r="K510" s="579"/>
    </row>
    <row r="511" spans="1:11" ht="19.5" hidden="1" customHeight="1" outlineLevel="1" x14ac:dyDescent="0.3">
      <c r="A511" s="907">
        <v>23</v>
      </c>
      <c r="B511" s="825"/>
      <c r="C511" s="826"/>
      <c r="D511" s="521"/>
      <c r="E511"/>
      <c r="F511" s="537"/>
      <c r="G511" s="963"/>
      <c r="H511" s="555"/>
      <c r="I511" s="393"/>
      <c r="K511" s="579"/>
    </row>
    <row r="512" spans="1:11" ht="19.5" hidden="1" customHeight="1" outlineLevel="1" x14ac:dyDescent="0.3">
      <c r="A512" s="907">
        <v>24</v>
      </c>
      <c r="B512" s="825"/>
      <c r="C512" s="826"/>
      <c r="D512" s="521"/>
      <c r="E512"/>
      <c r="F512" s="537"/>
      <c r="G512" s="963"/>
      <c r="H512" s="555"/>
      <c r="I512" s="393"/>
      <c r="K512" s="579"/>
    </row>
    <row r="513" spans="1:11" ht="19.5" hidden="1" customHeight="1" outlineLevel="1" x14ac:dyDescent="0.3">
      <c r="A513" s="907">
        <v>25</v>
      </c>
      <c r="B513" s="825"/>
      <c r="C513" s="828"/>
      <c r="D513" s="543"/>
      <c r="E513"/>
      <c r="F513" s="537"/>
      <c r="G513" s="963"/>
      <c r="H513" s="555"/>
      <c r="I513" s="393"/>
      <c r="K513" s="579"/>
    </row>
    <row r="514" spans="1:11" ht="19.5" hidden="1" customHeight="1" outlineLevel="1" x14ac:dyDescent="0.3">
      <c r="A514" s="907">
        <f>+A513+1</f>
        <v>26</v>
      </c>
      <c r="B514" s="825"/>
      <c r="C514" s="828"/>
      <c r="D514" s="543"/>
      <c r="E514"/>
      <c r="F514" s="537"/>
      <c r="G514" s="963"/>
      <c r="H514" s="555"/>
      <c r="I514" s="393"/>
      <c r="K514" s="579"/>
    </row>
    <row r="515" spans="1:11" ht="19.5" hidden="1" customHeight="1" outlineLevel="1" x14ac:dyDescent="0.3">
      <c r="A515" s="907">
        <f t="shared" ref="A515:A566" si="7">+A514+1</f>
        <v>27</v>
      </c>
      <c r="B515" s="825"/>
      <c r="C515" s="828"/>
      <c r="D515" s="543"/>
      <c r="E515"/>
      <c r="F515" s="537"/>
      <c r="G515" s="963"/>
      <c r="H515" s="555"/>
      <c r="I515" s="393"/>
      <c r="K515" s="579"/>
    </row>
    <row r="516" spans="1:11" ht="19.5" hidden="1" customHeight="1" outlineLevel="1" x14ac:dyDescent="0.3">
      <c r="A516" s="907">
        <f t="shared" si="7"/>
        <v>28</v>
      </c>
      <c r="B516" s="825"/>
      <c r="C516" s="828"/>
      <c r="D516" s="543"/>
      <c r="E516"/>
      <c r="F516" s="537"/>
      <c r="G516" s="963"/>
      <c r="H516" s="555"/>
      <c r="I516" s="393"/>
      <c r="K516" s="579"/>
    </row>
    <row r="517" spans="1:11" ht="19.5" hidden="1" customHeight="1" outlineLevel="1" x14ac:dyDescent="0.3">
      <c r="A517" s="907">
        <f t="shared" si="7"/>
        <v>29</v>
      </c>
      <c r="B517" s="825"/>
      <c r="C517" s="828"/>
      <c r="D517" s="543"/>
      <c r="E517"/>
      <c r="F517" s="537"/>
      <c r="G517" s="963"/>
      <c r="H517" s="555"/>
      <c r="I517" s="393"/>
      <c r="K517" s="579"/>
    </row>
    <row r="518" spans="1:11" ht="19.5" hidden="1" customHeight="1" outlineLevel="1" x14ac:dyDescent="0.3">
      <c r="A518" s="907">
        <f t="shared" si="7"/>
        <v>30</v>
      </c>
      <c r="B518" s="825"/>
      <c r="C518" s="828"/>
      <c r="D518" s="543"/>
      <c r="E518"/>
      <c r="F518" s="537"/>
      <c r="G518" s="963"/>
      <c r="H518" s="555"/>
      <c r="I518" s="393"/>
      <c r="K518" s="579"/>
    </row>
    <row r="519" spans="1:11" ht="19.5" hidden="1" customHeight="1" outlineLevel="1" x14ac:dyDescent="0.3">
      <c r="A519" s="907">
        <f t="shared" si="7"/>
        <v>31</v>
      </c>
      <c r="B519" s="825"/>
      <c r="C519" s="828"/>
      <c r="D519" s="543"/>
      <c r="E519"/>
      <c r="F519" s="537"/>
      <c r="G519" s="963"/>
      <c r="H519" s="555"/>
      <c r="I519" s="393"/>
      <c r="K519" s="579"/>
    </row>
    <row r="520" spans="1:11" ht="19.5" hidden="1" customHeight="1" outlineLevel="1" x14ac:dyDescent="0.3">
      <c r="A520" s="907">
        <f t="shared" si="7"/>
        <v>32</v>
      </c>
      <c r="B520" s="825"/>
      <c r="C520" s="828"/>
      <c r="D520" s="543"/>
      <c r="E520"/>
      <c r="F520" s="537"/>
      <c r="G520" s="963"/>
      <c r="H520" s="555"/>
      <c r="I520" s="393"/>
      <c r="K520" s="579"/>
    </row>
    <row r="521" spans="1:11" ht="19.5" hidden="1" customHeight="1" outlineLevel="1" x14ac:dyDescent="0.3">
      <c r="A521" s="907">
        <f t="shared" si="7"/>
        <v>33</v>
      </c>
      <c r="B521" s="825"/>
      <c r="C521" s="828"/>
      <c r="D521" s="543"/>
      <c r="E521"/>
      <c r="F521" s="537"/>
      <c r="G521" s="963"/>
      <c r="H521" s="555"/>
      <c r="I521" s="393"/>
      <c r="K521" s="579"/>
    </row>
    <row r="522" spans="1:11" ht="19.5" hidden="1" customHeight="1" outlineLevel="1" x14ac:dyDescent="0.3">
      <c r="A522" s="907">
        <f t="shared" si="7"/>
        <v>34</v>
      </c>
      <c r="B522" s="825"/>
      <c r="C522" s="828"/>
      <c r="D522" s="543"/>
      <c r="E522"/>
      <c r="F522" s="537"/>
      <c r="G522" s="963"/>
      <c r="H522" s="555"/>
      <c r="I522" s="393"/>
      <c r="K522" s="579"/>
    </row>
    <row r="523" spans="1:11" ht="19.5" hidden="1" customHeight="1" outlineLevel="1" x14ac:dyDescent="0.3">
      <c r="A523" s="907">
        <f t="shared" si="7"/>
        <v>35</v>
      </c>
      <c r="B523" s="825"/>
      <c r="C523" s="828"/>
      <c r="D523" s="543"/>
      <c r="E523"/>
      <c r="F523" s="537"/>
      <c r="G523" s="963"/>
      <c r="H523" s="555"/>
      <c r="I523" s="393"/>
      <c r="K523" s="579"/>
    </row>
    <row r="524" spans="1:11" ht="19.5" hidden="1" customHeight="1" outlineLevel="1" x14ac:dyDescent="0.3">
      <c r="A524" s="907">
        <f t="shared" si="7"/>
        <v>36</v>
      </c>
      <c r="B524" s="825"/>
      <c r="C524" s="828"/>
      <c r="D524" s="543"/>
      <c r="E524"/>
      <c r="F524" s="537"/>
      <c r="G524" s="963"/>
      <c r="H524" s="555"/>
      <c r="I524" s="393"/>
      <c r="K524" s="579"/>
    </row>
    <row r="525" spans="1:11" ht="19.5" hidden="1" customHeight="1" outlineLevel="1" x14ac:dyDescent="0.3">
      <c r="A525" s="907">
        <f t="shared" si="7"/>
        <v>37</v>
      </c>
      <c r="B525" s="825"/>
      <c r="C525" s="828"/>
      <c r="D525" s="543"/>
      <c r="E525"/>
      <c r="F525" s="537"/>
      <c r="G525" s="963"/>
      <c r="H525" s="555"/>
      <c r="I525" s="393"/>
      <c r="K525" s="579"/>
    </row>
    <row r="526" spans="1:11" ht="19.5" hidden="1" customHeight="1" outlineLevel="1" x14ac:dyDescent="0.3">
      <c r="A526" s="907">
        <f t="shared" si="7"/>
        <v>38</v>
      </c>
      <c r="B526" s="825"/>
      <c r="C526" s="828"/>
      <c r="D526" s="543"/>
      <c r="E526"/>
      <c r="F526" s="537"/>
      <c r="G526" s="963"/>
      <c r="H526" s="555"/>
      <c r="I526" s="393"/>
      <c r="K526" s="579"/>
    </row>
    <row r="527" spans="1:11" ht="19.5" hidden="1" customHeight="1" outlineLevel="1" x14ac:dyDescent="0.3">
      <c r="A527" s="907">
        <f t="shared" si="7"/>
        <v>39</v>
      </c>
      <c r="B527" s="825"/>
      <c r="C527" s="828"/>
      <c r="D527" s="543"/>
      <c r="E527"/>
      <c r="F527" s="537"/>
      <c r="G527" s="963"/>
      <c r="H527" s="555"/>
      <c r="I527" s="393"/>
      <c r="K527" s="579"/>
    </row>
    <row r="528" spans="1:11" ht="19.5" hidden="1" customHeight="1" outlineLevel="1" x14ac:dyDescent="0.3">
      <c r="A528" s="907">
        <f t="shared" si="7"/>
        <v>40</v>
      </c>
      <c r="B528" s="825"/>
      <c r="C528" s="828"/>
      <c r="D528" s="543"/>
      <c r="E528"/>
      <c r="F528" s="537"/>
      <c r="G528" s="963"/>
      <c r="H528" s="555"/>
      <c r="I528" s="393"/>
      <c r="K528" s="579"/>
    </row>
    <row r="529" spans="1:11" ht="19.5" hidden="1" customHeight="1" outlineLevel="1" x14ac:dyDescent="0.3">
      <c r="A529" s="907">
        <f t="shared" si="7"/>
        <v>41</v>
      </c>
      <c r="B529" s="825"/>
      <c r="C529" s="828"/>
      <c r="D529" s="543"/>
      <c r="E529"/>
      <c r="F529" s="537"/>
      <c r="G529" s="963"/>
      <c r="H529" s="555"/>
      <c r="I529" s="393"/>
      <c r="K529" s="835"/>
    </row>
    <row r="530" spans="1:11" ht="19.5" hidden="1" customHeight="1" outlineLevel="1" x14ac:dyDescent="0.3">
      <c r="A530" s="907">
        <f t="shared" si="7"/>
        <v>42</v>
      </c>
      <c r="B530" s="825"/>
      <c r="C530" s="828"/>
      <c r="D530" s="543"/>
      <c r="E530"/>
      <c r="F530" s="537"/>
      <c r="G530" s="963"/>
      <c r="H530" s="555"/>
      <c r="I530" s="393"/>
      <c r="K530" s="835"/>
    </row>
    <row r="531" spans="1:11" ht="19.5" hidden="1" customHeight="1" outlineLevel="1" x14ac:dyDescent="0.3">
      <c r="A531" s="907">
        <f t="shared" si="7"/>
        <v>43</v>
      </c>
      <c r="B531" s="825"/>
      <c r="C531" s="828"/>
      <c r="D531" s="543"/>
      <c r="E531"/>
      <c r="F531" s="537"/>
      <c r="G531" s="963"/>
      <c r="H531" s="555"/>
      <c r="I531" s="393"/>
      <c r="K531" s="835"/>
    </row>
    <row r="532" spans="1:11" ht="19.5" hidden="1" customHeight="1" outlineLevel="1" x14ac:dyDescent="0.3">
      <c r="A532" s="907">
        <f t="shared" si="7"/>
        <v>44</v>
      </c>
      <c r="B532" s="825"/>
      <c r="C532" s="828"/>
      <c r="D532" s="543"/>
      <c r="E532"/>
      <c r="F532" s="537"/>
      <c r="G532" s="963"/>
      <c r="H532" s="555"/>
      <c r="I532" s="393"/>
      <c r="K532" s="835"/>
    </row>
    <row r="533" spans="1:11" ht="19.5" hidden="1" customHeight="1" outlineLevel="1" x14ac:dyDescent="0.3">
      <c r="A533" s="907">
        <f t="shared" si="7"/>
        <v>45</v>
      </c>
      <c r="B533" s="825"/>
      <c r="C533" s="828"/>
      <c r="D533" s="543"/>
      <c r="E533"/>
      <c r="F533" s="537"/>
      <c r="G533" s="963"/>
      <c r="H533" s="555"/>
      <c r="I533" s="393"/>
      <c r="K533" s="835"/>
    </row>
    <row r="534" spans="1:11" ht="19.5" hidden="1" customHeight="1" outlineLevel="1" x14ac:dyDescent="0.3">
      <c r="A534" s="907">
        <f t="shared" si="7"/>
        <v>46</v>
      </c>
      <c r="B534" s="825"/>
      <c r="C534" s="828"/>
      <c r="D534" s="543"/>
      <c r="E534"/>
      <c r="F534" s="537"/>
      <c r="G534" s="963"/>
      <c r="H534" s="555"/>
      <c r="I534" s="393"/>
      <c r="K534" s="835"/>
    </row>
    <row r="535" spans="1:11" ht="19.5" hidden="1" customHeight="1" outlineLevel="1" x14ac:dyDescent="0.3">
      <c r="A535" s="907">
        <f t="shared" si="7"/>
        <v>47</v>
      </c>
      <c r="B535" s="825"/>
      <c r="C535" s="828"/>
      <c r="D535" s="543"/>
      <c r="E535"/>
      <c r="F535" s="537"/>
      <c r="G535" s="963"/>
      <c r="H535" s="555"/>
      <c r="I535" s="393"/>
      <c r="K535" s="835"/>
    </row>
    <row r="536" spans="1:11" ht="19.5" hidden="1" customHeight="1" outlineLevel="1" x14ac:dyDescent="0.3">
      <c r="A536" s="907">
        <f t="shared" si="7"/>
        <v>48</v>
      </c>
      <c r="B536" s="825"/>
      <c r="C536" s="828"/>
      <c r="D536" s="543"/>
      <c r="E536"/>
      <c r="F536" s="537"/>
      <c r="G536" s="963"/>
      <c r="H536" s="555"/>
      <c r="I536" s="393"/>
      <c r="K536" s="835"/>
    </row>
    <row r="537" spans="1:11" ht="19.5" hidden="1" customHeight="1" outlineLevel="1" x14ac:dyDescent="0.3">
      <c r="A537" s="907">
        <f t="shared" si="7"/>
        <v>49</v>
      </c>
      <c r="B537" s="825"/>
      <c r="C537" s="828"/>
      <c r="D537" s="543"/>
      <c r="E537"/>
      <c r="F537" s="537"/>
      <c r="G537" s="963"/>
      <c r="H537" s="555"/>
      <c r="I537" s="393"/>
      <c r="K537" s="835"/>
    </row>
    <row r="538" spans="1:11" ht="19.5" hidden="1" customHeight="1" outlineLevel="1" x14ac:dyDescent="0.3">
      <c r="A538" s="907">
        <f t="shared" si="7"/>
        <v>50</v>
      </c>
      <c r="B538" s="825"/>
      <c r="C538" s="828"/>
      <c r="D538" s="543"/>
      <c r="E538"/>
      <c r="F538" s="537"/>
      <c r="G538" s="963"/>
      <c r="H538" s="555"/>
      <c r="I538" s="393"/>
      <c r="K538" s="835"/>
    </row>
    <row r="539" spans="1:11" ht="19.5" hidden="1" customHeight="1" outlineLevel="1" x14ac:dyDescent="0.3">
      <c r="A539" s="907">
        <f t="shared" si="7"/>
        <v>51</v>
      </c>
      <c r="B539" s="825"/>
      <c r="C539" s="828"/>
      <c r="D539" s="543"/>
      <c r="E539"/>
      <c r="F539" s="537"/>
      <c r="G539" s="963"/>
      <c r="H539" s="555"/>
      <c r="I539" s="393"/>
      <c r="K539" s="835"/>
    </row>
    <row r="540" spans="1:11" ht="19.5" hidden="1" customHeight="1" outlineLevel="1" x14ac:dyDescent="0.3">
      <c r="A540" s="907">
        <f t="shared" si="7"/>
        <v>52</v>
      </c>
      <c r="B540" s="825"/>
      <c r="C540" s="828"/>
      <c r="D540" s="543"/>
      <c r="E540"/>
      <c r="F540" s="537"/>
      <c r="G540" s="963"/>
      <c r="H540" s="555"/>
      <c r="I540" s="393"/>
      <c r="K540" s="835"/>
    </row>
    <row r="541" spans="1:11" ht="19.5" hidden="1" customHeight="1" outlineLevel="1" x14ac:dyDescent="0.3">
      <c r="A541" s="907">
        <f t="shared" si="7"/>
        <v>53</v>
      </c>
      <c r="B541" s="825"/>
      <c r="C541" s="828"/>
      <c r="D541" s="543"/>
      <c r="E541"/>
      <c r="F541" s="537"/>
      <c r="G541" s="963"/>
      <c r="H541" s="555"/>
      <c r="I541" s="393"/>
      <c r="K541" s="835"/>
    </row>
    <row r="542" spans="1:11" ht="19.5" hidden="1" customHeight="1" outlineLevel="1" x14ac:dyDescent="0.3">
      <c r="A542" s="907">
        <f t="shared" si="7"/>
        <v>54</v>
      </c>
      <c r="B542" s="825"/>
      <c r="C542" s="828"/>
      <c r="D542" s="543"/>
      <c r="E542"/>
      <c r="F542" s="537"/>
      <c r="G542" s="963"/>
      <c r="H542" s="555"/>
      <c r="I542" s="393"/>
      <c r="K542" s="579"/>
    </row>
    <row r="543" spans="1:11" ht="19.5" hidden="1" customHeight="1" outlineLevel="1" x14ac:dyDescent="0.3">
      <c r="A543" s="907">
        <f t="shared" si="7"/>
        <v>55</v>
      </c>
      <c r="B543" s="825"/>
      <c r="C543" s="828"/>
      <c r="D543" s="543"/>
      <c r="E543"/>
      <c r="F543" s="537"/>
      <c r="G543" s="963"/>
      <c r="H543" s="555"/>
      <c r="I543" s="393"/>
      <c r="K543" s="579"/>
    </row>
    <row r="544" spans="1:11" ht="19.5" hidden="1" customHeight="1" outlineLevel="1" x14ac:dyDescent="0.3">
      <c r="A544" s="907">
        <f t="shared" si="7"/>
        <v>56</v>
      </c>
      <c r="B544" s="825"/>
      <c r="C544" s="828"/>
      <c r="D544" s="543"/>
      <c r="E544"/>
      <c r="F544" s="537"/>
      <c r="G544" s="963"/>
      <c r="H544" s="555"/>
      <c r="I544" s="393"/>
      <c r="K544" s="579"/>
    </row>
    <row r="545" spans="1:11" ht="19.5" hidden="1" customHeight="1" outlineLevel="1" x14ac:dyDescent="0.3">
      <c r="A545" s="907">
        <f t="shared" si="7"/>
        <v>57</v>
      </c>
      <c r="B545" s="825"/>
      <c r="C545" s="828"/>
      <c r="D545" s="543"/>
      <c r="E545"/>
      <c r="F545" s="537"/>
      <c r="G545" s="963"/>
      <c r="H545" s="555"/>
      <c r="I545" s="393"/>
      <c r="K545" s="579"/>
    </row>
    <row r="546" spans="1:11" ht="19.5" hidden="1" customHeight="1" outlineLevel="1" x14ac:dyDescent="0.3">
      <c r="A546" s="907">
        <f t="shared" si="7"/>
        <v>58</v>
      </c>
      <c r="B546" s="825"/>
      <c r="C546" s="828"/>
      <c r="D546" s="543"/>
      <c r="E546"/>
      <c r="F546" s="537"/>
      <c r="G546" s="963"/>
      <c r="H546" s="555"/>
      <c r="I546" s="393"/>
      <c r="K546" s="579"/>
    </row>
    <row r="547" spans="1:11" ht="19.5" hidden="1" customHeight="1" outlineLevel="1" x14ac:dyDescent="0.3">
      <c r="A547" s="907">
        <f t="shared" si="7"/>
        <v>59</v>
      </c>
      <c r="B547" s="825"/>
      <c r="C547" s="828"/>
      <c r="D547" s="543"/>
      <c r="E547"/>
      <c r="F547" s="537"/>
      <c r="G547" s="963"/>
      <c r="H547" s="555"/>
      <c r="I547" s="393"/>
      <c r="K547" s="579"/>
    </row>
    <row r="548" spans="1:11" ht="19.5" hidden="1" customHeight="1" outlineLevel="1" x14ac:dyDescent="0.3">
      <c r="A548" s="907">
        <f t="shared" si="7"/>
        <v>60</v>
      </c>
      <c r="B548" s="825"/>
      <c r="C548" s="828"/>
      <c r="D548" s="543"/>
      <c r="E548"/>
      <c r="F548" s="537"/>
      <c r="G548" s="963"/>
      <c r="H548" s="555"/>
      <c r="I548" s="393"/>
      <c r="K548" s="579"/>
    </row>
    <row r="549" spans="1:11" ht="19.5" hidden="1" customHeight="1" outlineLevel="1" x14ac:dyDescent="0.3">
      <c r="A549" s="907">
        <f t="shared" si="7"/>
        <v>61</v>
      </c>
      <c r="B549" s="825"/>
      <c r="C549" s="828"/>
      <c r="D549" s="543"/>
      <c r="E549"/>
      <c r="F549" s="537"/>
      <c r="G549" s="963"/>
      <c r="H549" s="555"/>
      <c r="I549" s="393"/>
      <c r="K549" s="579"/>
    </row>
    <row r="550" spans="1:11" ht="19.5" hidden="1" customHeight="1" outlineLevel="1" x14ac:dyDescent="0.3">
      <c r="A550" s="907">
        <f>+A549+1</f>
        <v>62</v>
      </c>
      <c r="B550" s="825"/>
      <c r="C550" s="828"/>
      <c r="D550" s="543"/>
      <c r="E550"/>
      <c r="F550" s="537"/>
      <c r="G550" s="963"/>
      <c r="H550" s="555"/>
      <c r="I550" s="393"/>
      <c r="K550" s="579"/>
    </row>
    <row r="551" spans="1:11" ht="19.5" hidden="1" customHeight="1" outlineLevel="1" x14ac:dyDescent="0.3">
      <c r="A551" s="907">
        <f t="shared" si="7"/>
        <v>63</v>
      </c>
      <c r="B551" s="825"/>
      <c r="C551" s="828"/>
      <c r="D551" s="543"/>
      <c r="E551"/>
      <c r="F551" s="537"/>
      <c r="G551" s="963"/>
      <c r="H551" s="555"/>
      <c r="I551" s="393"/>
      <c r="K551" s="579"/>
    </row>
    <row r="552" spans="1:11" ht="19.5" hidden="1" customHeight="1" outlineLevel="1" x14ac:dyDescent="0.3">
      <c r="A552" s="907">
        <f t="shared" si="7"/>
        <v>64</v>
      </c>
      <c r="B552" s="825"/>
      <c r="C552" s="828"/>
      <c r="D552" s="543"/>
      <c r="E552"/>
      <c r="F552" s="537"/>
      <c r="G552" s="963"/>
      <c r="H552" s="555"/>
      <c r="I552" s="393"/>
      <c r="K552" s="579"/>
    </row>
    <row r="553" spans="1:11" ht="19.5" hidden="1" customHeight="1" outlineLevel="1" x14ac:dyDescent="0.3">
      <c r="A553" s="907">
        <f t="shared" si="7"/>
        <v>65</v>
      </c>
      <c r="B553" s="825"/>
      <c r="C553" s="828"/>
      <c r="D553" s="543"/>
      <c r="E553"/>
      <c r="F553" s="537"/>
      <c r="G553" s="963"/>
      <c r="H553" s="555"/>
      <c r="I553" s="393"/>
      <c r="K553" s="579"/>
    </row>
    <row r="554" spans="1:11" ht="19.5" hidden="1" customHeight="1" outlineLevel="1" x14ac:dyDescent="0.3">
      <c r="A554" s="907">
        <f t="shared" si="7"/>
        <v>66</v>
      </c>
      <c r="B554" s="825"/>
      <c r="C554" s="828"/>
      <c r="D554" s="543"/>
      <c r="E554"/>
      <c r="F554" s="537"/>
      <c r="G554" s="963"/>
      <c r="H554" s="555"/>
      <c r="I554" s="393"/>
      <c r="K554" s="579"/>
    </row>
    <row r="555" spans="1:11" ht="19.5" hidden="1" customHeight="1" outlineLevel="1" x14ac:dyDescent="0.3">
      <c r="A555" s="907">
        <f t="shared" si="7"/>
        <v>67</v>
      </c>
      <c r="B555" s="825"/>
      <c r="C555" s="828"/>
      <c r="D555" s="543"/>
      <c r="E555"/>
      <c r="F555" s="537"/>
      <c r="G555" s="963"/>
      <c r="H555" s="555"/>
      <c r="I555" s="393"/>
      <c r="K555" s="579"/>
    </row>
    <row r="556" spans="1:11" ht="19.5" hidden="1" customHeight="1" outlineLevel="1" x14ac:dyDescent="0.3">
      <c r="A556" s="907">
        <f t="shared" si="7"/>
        <v>68</v>
      </c>
      <c r="B556" s="825"/>
      <c r="C556" s="828"/>
      <c r="D556" s="543"/>
      <c r="E556"/>
      <c r="F556" s="537"/>
      <c r="G556" s="963"/>
      <c r="H556" s="555"/>
      <c r="I556" s="393"/>
      <c r="K556" s="579"/>
    </row>
    <row r="557" spans="1:11" ht="19.5" hidden="1" customHeight="1" outlineLevel="1" x14ac:dyDescent="0.3">
      <c r="A557" s="907">
        <f t="shared" si="7"/>
        <v>69</v>
      </c>
      <c r="B557" s="825"/>
      <c r="C557" s="828"/>
      <c r="D557" s="543"/>
      <c r="E557"/>
      <c r="F557" s="537"/>
      <c r="G557" s="963"/>
      <c r="H557" s="555"/>
      <c r="I557" s="393"/>
      <c r="K557" s="579"/>
    </row>
    <row r="558" spans="1:11" ht="19.5" hidden="1" customHeight="1" outlineLevel="1" x14ac:dyDescent="0.3">
      <c r="A558" s="907">
        <f t="shared" si="7"/>
        <v>70</v>
      </c>
      <c r="B558" s="825"/>
      <c r="C558" s="828"/>
      <c r="D558" s="543"/>
      <c r="E558"/>
      <c r="F558" s="537"/>
      <c r="G558" s="963"/>
      <c r="H558" s="555"/>
      <c r="I558" s="393"/>
      <c r="K558" s="579"/>
    </row>
    <row r="559" spans="1:11" ht="19.5" hidden="1" customHeight="1" outlineLevel="1" x14ac:dyDescent="0.3">
      <c r="A559" s="907">
        <f t="shared" si="7"/>
        <v>71</v>
      </c>
      <c r="B559" s="825"/>
      <c r="C559" s="828"/>
      <c r="D559" s="543"/>
      <c r="E559"/>
      <c r="F559" s="537"/>
      <c r="G559" s="963"/>
      <c r="H559" s="555"/>
      <c r="I559" s="393"/>
      <c r="K559" s="579"/>
    </row>
    <row r="560" spans="1:11" ht="19.5" hidden="1" customHeight="1" outlineLevel="1" x14ac:dyDescent="0.3">
      <c r="A560" s="907">
        <f t="shared" si="7"/>
        <v>72</v>
      </c>
      <c r="B560" s="825"/>
      <c r="C560" s="828"/>
      <c r="D560" s="543"/>
      <c r="E560"/>
      <c r="F560" s="537"/>
      <c r="G560" s="963"/>
      <c r="H560" s="555"/>
      <c r="I560" s="393"/>
      <c r="K560" s="579"/>
    </row>
    <row r="561" spans="1:11" ht="19.5" hidden="1" customHeight="1" outlineLevel="1" x14ac:dyDescent="0.3">
      <c r="A561" s="907">
        <f t="shared" si="7"/>
        <v>73</v>
      </c>
      <c r="B561" s="825"/>
      <c r="C561" s="828"/>
      <c r="D561" s="543"/>
      <c r="E561"/>
      <c r="F561" s="537"/>
      <c r="G561" s="963"/>
      <c r="H561" s="555"/>
      <c r="I561" s="393"/>
      <c r="K561" s="579"/>
    </row>
    <row r="562" spans="1:11" ht="19.5" hidden="1" customHeight="1" outlineLevel="1" x14ac:dyDescent="0.3">
      <c r="A562" s="907">
        <f t="shared" si="7"/>
        <v>74</v>
      </c>
      <c r="B562" s="825"/>
      <c r="C562" s="828"/>
      <c r="D562" s="543"/>
      <c r="E562"/>
      <c r="F562" s="537"/>
      <c r="G562" s="963"/>
      <c r="H562" s="555"/>
      <c r="I562" s="393"/>
      <c r="K562" s="579"/>
    </row>
    <row r="563" spans="1:11" ht="19.5" hidden="1" customHeight="1" outlineLevel="1" x14ac:dyDescent="0.3">
      <c r="A563" s="907">
        <f t="shared" si="7"/>
        <v>75</v>
      </c>
      <c r="B563" s="825"/>
      <c r="C563" s="828"/>
      <c r="D563" s="543"/>
      <c r="E563"/>
      <c r="F563" s="537"/>
      <c r="G563" s="963"/>
      <c r="H563" s="555"/>
      <c r="I563" s="393"/>
      <c r="K563" s="579"/>
    </row>
    <row r="564" spans="1:11" ht="19.5" hidden="1" customHeight="1" outlineLevel="1" x14ac:dyDescent="0.3">
      <c r="A564" s="907">
        <f t="shared" si="7"/>
        <v>76</v>
      </c>
      <c r="B564" s="825"/>
      <c r="C564" s="828"/>
      <c r="D564" s="543"/>
      <c r="E564"/>
      <c r="F564" s="537"/>
      <c r="G564" s="963"/>
      <c r="H564" s="555"/>
      <c r="I564" s="393"/>
      <c r="K564" s="579"/>
    </row>
    <row r="565" spans="1:11" ht="19.5" hidden="1" customHeight="1" outlineLevel="1" x14ac:dyDescent="0.3">
      <c r="A565" s="907">
        <f t="shared" si="7"/>
        <v>77</v>
      </c>
      <c r="B565" s="825"/>
      <c r="C565" s="828"/>
      <c r="D565" s="543"/>
      <c r="E565"/>
      <c r="F565" s="537"/>
      <c r="G565" s="963"/>
      <c r="H565" s="555"/>
      <c r="I565" s="393"/>
      <c r="K565" s="579"/>
    </row>
    <row r="566" spans="1:11" ht="19.5" hidden="1" customHeight="1" outlineLevel="1" x14ac:dyDescent="0.3">
      <c r="A566" s="907">
        <f t="shared" si="7"/>
        <v>78</v>
      </c>
      <c r="B566" s="825"/>
      <c r="C566" s="828"/>
      <c r="D566" s="543"/>
      <c r="E566"/>
      <c r="F566" s="537"/>
      <c r="G566" s="963"/>
      <c r="H566" s="555"/>
      <c r="I566" s="393"/>
      <c r="K566" s="579"/>
    </row>
    <row r="567" spans="1:11" ht="19.5" hidden="1" customHeight="1" outlineLevel="1" x14ac:dyDescent="0.3">
      <c r="A567" s="907">
        <f>+A566+1</f>
        <v>79</v>
      </c>
      <c r="B567" s="825"/>
      <c r="C567" s="828"/>
      <c r="D567" s="543"/>
      <c r="E567"/>
      <c r="F567" s="537"/>
      <c r="G567" s="963"/>
      <c r="H567" s="555"/>
      <c r="I567" s="393"/>
      <c r="K567" s="579"/>
    </row>
    <row r="568" spans="1:11" ht="19.5" hidden="1" customHeight="1" outlineLevel="1" x14ac:dyDescent="0.3">
      <c r="A568" s="907">
        <f>+A567+1</f>
        <v>80</v>
      </c>
      <c r="B568" s="825"/>
      <c r="C568" s="828"/>
      <c r="D568" s="543"/>
      <c r="E568"/>
      <c r="F568" s="537"/>
      <c r="G568" s="963"/>
      <c r="H568" s="555"/>
      <c r="I568" s="393"/>
    </row>
    <row r="569" spans="1:11" ht="19.5" hidden="1" customHeight="1" outlineLevel="1" x14ac:dyDescent="0.3">
      <c r="A569" s="907"/>
      <c r="B569" s="825"/>
      <c r="C569" s="828"/>
      <c r="D569" s="543"/>
      <c r="E569"/>
      <c r="F569" s="537"/>
      <c r="G569" s="963"/>
      <c r="H569" s="555"/>
      <c r="I569" s="393"/>
    </row>
    <row r="570" spans="1:11" ht="19.5" hidden="1" customHeight="1" outlineLevel="1" x14ac:dyDescent="0.3">
      <c r="A570" s="907"/>
      <c r="B570" s="825"/>
      <c r="C570" s="828"/>
      <c r="D570" s="543"/>
      <c r="E570"/>
      <c r="F570" s="537"/>
      <c r="G570" s="963"/>
      <c r="H570" s="555"/>
      <c r="I570" s="393"/>
    </row>
    <row r="571" spans="1:11" ht="19.5" hidden="1" customHeight="1" outlineLevel="1" x14ac:dyDescent="0.3">
      <c r="A571" s="907"/>
      <c r="B571" s="825"/>
      <c r="C571" s="828"/>
      <c r="D571" s="543"/>
      <c r="E571"/>
      <c r="F571" s="537"/>
      <c r="G571" s="963"/>
      <c r="H571" s="555"/>
      <c r="I571" s="393"/>
    </row>
    <row r="572" spans="1:11" ht="19.5" hidden="1" customHeight="1" outlineLevel="1" x14ac:dyDescent="0.3">
      <c r="A572" s="907"/>
      <c r="B572" s="825"/>
      <c r="C572" s="828"/>
      <c r="D572" s="543"/>
      <c r="E572"/>
      <c r="F572" s="537"/>
      <c r="G572" s="963"/>
      <c r="H572" s="555"/>
      <c r="I572" s="393"/>
    </row>
    <row r="573" spans="1:11" ht="19.5" hidden="1" customHeight="1" outlineLevel="1" x14ac:dyDescent="0.3">
      <c r="A573" s="907"/>
      <c r="B573" s="825"/>
      <c r="C573" s="828"/>
      <c r="D573" s="543"/>
      <c r="E573"/>
      <c r="F573" s="537"/>
      <c r="G573" s="963"/>
      <c r="H573" s="555"/>
      <c r="I573" s="393"/>
    </row>
    <row r="574" spans="1:11" ht="19.5" hidden="1" customHeight="1" outlineLevel="1" x14ac:dyDescent="0.3">
      <c r="A574" s="907"/>
      <c r="B574" s="825"/>
      <c r="C574" s="828"/>
      <c r="D574" s="543"/>
      <c r="E574"/>
      <c r="F574" s="537"/>
      <c r="G574" s="963"/>
      <c r="H574" s="555"/>
      <c r="I574" s="393"/>
    </row>
    <row r="575" spans="1:11" ht="19.5" hidden="1" customHeight="1" outlineLevel="1" x14ac:dyDescent="0.3">
      <c r="A575" s="907"/>
      <c r="B575" s="825"/>
      <c r="C575" s="828"/>
      <c r="D575" s="543"/>
      <c r="E575"/>
      <c r="F575" s="537"/>
      <c r="G575" s="963"/>
      <c r="H575" s="555"/>
      <c r="I575" s="393"/>
    </row>
    <row r="576" spans="1:11" ht="19.5" hidden="1" customHeight="1" outlineLevel="1" x14ac:dyDescent="0.3">
      <c r="A576" s="907"/>
      <c r="B576" s="825"/>
      <c r="C576" s="828"/>
      <c r="D576" s="543"/>
      <c r="E576"/>
      <c r="F576" s="537"/>
      <c r="G576" s="963"/>
      <c r="H576" s="555"/>
      <c r="I576" s="393"/>
    </row>
    <row r="577" spans="1:9" ht="19.5" hidden="1" customHeight="1" outlineLevel="1" x14ac:dyDescent="0.3">
      <c r="A577" s="907"/>
      <c r="B577" s="825"/>
      <c r="C577" s="828"/>
      <c r="D577" s="543"/>
      <c r="E577"/>
      <c r="F577" s="537"/>
      <c r="G577" s="963"/>
      <c r="H577" s="555"/>
      <c r="I577" s="393"/>
    </row>
    <row r="578" spans="1:9" ht="19.5" hidden="1" customHeight="1" outlineLevel="1" x14ac:dyDescent="0.3">
      <c r="A578" s="907"/>
      <c r="B578" s="825"/>
      <c r="C578" s="828"/>
      <c r="D578" s="543"/>
      <c r="E578"/>
      <c r="F578" s="537"/>
      <c r="G578" s="963"/>
      <c r="H578" s="555"/>
      <c r="I578" s="393"/>
    </row>
    <row r="579" spans="1:9" ht="19.5" hidden="1" customHeight="1" outlineLevel="1" x14ac:dyDescent="0.3">
      <c r="A579" s="907"/>
      <c r="B579" s="825"/>
      <c r="C579" s="828"/>
      <c r="D579" s="543"/>
      <c r="E579"/>
      <c r="F579" s="537"/>
      <c r="G579" s="963"/>
      <c r="H579" s="555"/>
      <c r="I579" s="393"/>
    </row>
    <row r="580" spans="1:9" ht="19.5" hidden="1" customHeight="1" outlineLevel="1" x14ac:dyDescent="0.3">
      <c r="A580" s="907"/>
      <c r="B580" s="825"/>
      <c r="C580" s="828"/>
      <c r="D580" s="543"/>
      <c r="E580"/>
      <c r="F580" s="537"/>
      <c r="G580" s="963"/>
      <c r="H580" s="555"/>
      <c r="I580" s="393"/>
    </row>
    <row r="581" spans="1:9" ht="19.5" hidden="1" customHeight="1" outlineLevel="1" x14ac:dyDescent="0.3">
      <c r="A581" s="907"/>
      <c r="B581" s="825"/>
      <c r="C581" s="828"/>
      <c r="D581" s="543"/>
      <c r="E581"/>
      <c r="F581" s="537"/>
      <c r="G581" s="963"/>
      <c r="H581" s="555"/>
      <c r="I581" s="393"/>
    </row>
    <row r="582" spans="1:9" ht="19.5" hidden="1" customHeight="1" outlineLevel="1" x14ac:dyDescent="0.3">
      <c r="A582" s="907"/>
      <c r="B582" s="825"/>
      <c r="C582" s="828"/>
      <c r="D582" s="543"/>
      <c r="E582"/>
      <c r="F582" s="537"/>
      <c r="G582" s="963"/>
      <c r="H582" s="555"/>
      <c r="I582" s="393"/>
    </row>
    <row r="583" spans="1:9" ht="19.5" hidden="1" customHeight="1" outlineLevel="1" x14ac:dyDescent="0.3">
      <c r="A583" s="907"/>
      <c r="B583" s="825"/>
      <c r="C583" s="828"/>
      <c r="D583" s="543"/>
      <c r="E583"/>
      <c r="F583" s="537"/>
      <c r="G583" s="963"/>
      <c r="H583" s="555"/>
      <c r="I583" s="393"/>
    </row>
    <row r="584" spans="1:9" ht="19.5" hidden="1" customHeight="1" outlineLevel="1" x14ac:dyDescent="0.3">
      <c r="A584" s="907"/>
      <c r="B584" s="825"/>
      <c r="C584" s="828"/>
      <c r="D584" s="543"/>
      <c r="E584"/>
      <c r="F584" s="537"/>
      <c r="G584" s="963"/>
      <c r="H584" s="555"/>
      <c r="I584" s="393"/>
    </row>
    <row r="585" spans="1:9" ht="19.5" hidden="1" customHeight="1" outlineLevel="1" x14ac:dyDescent="0.3">
      <c r="A585" s="907"/>
      <c r="B585" s="825"/>
      <c r="C585" s="828"/>
      <c r="D585" s="543"/>
      <c r="E585"/>
      <c r="F585" s="537"/>
      <c r="G585" s="963"/>
      <c r="H585" s="555"/>
      <c r="I585" s="393"/>
    </row>
    <row r="586" spans="1:9" ht="19.5" hidden="1" customHeight="1" outlineLevel="1" x14ac:dyDescent="0.3">
      <c r="A586" s="907"/>
      <c r="B586" s="825"/>
      <c r="C586" s="828"/>
      <c r="D586" s="543"/>
      <c r="E586"/>
      <c r="F586" s="537"/>
      <c r="G586" s="963"/>
      <c r="H586" s="555"/>
      <c r="I586" s="393"/>
    </row>
    <row r="587" spans="1:9" ht="19.5" hidden="1" customHeight="1" outlineLevel="1" x14ac:dyDescent="0.3">
      <c r="A587" s="907"/>
      <c r="B587" s="825"/>
      <c r="C587" s="828"/>
      <c r="D587" s="543"/>
      <c r="E587"/>
      <c r="F587" s="537"/>
      <c r="G587" s="963"/>
      <c r="H587" s="555"/>
      <c r="I587" s="393"/>
    </row>
    <row r="588" spans="1:9" ht="19.5" hidden="1" customHeight="1" outlineLevel="1" x14ac:dyDescent="0.3">
      <c r="A588" s="907"/>
      <c r="B588" s="825"/>
      <c r="C588" s="828"/>
      <c r="D588" s="543"/>
      <c r="E588"/>
      <c r="F588" s="537"/>
      <c r="G588" s="963"/>
      <c r="H588" s="555"/>
      <c r="I588" s="393"/>
    </row>
    <row r="589" spans="1:9" ht="19.5" hidden="1" customHeight="1" outlineLevel="1" x14ac:dyDescent="0.3">
      <c r="A589" s="907"/>
      <c r="B589" s="825"/>
      <c r="C589" s="828"/>
      <c r="D589" s="543"/>
      <c r="E589"/>
      <c r="F589" s="537"/>
      <c r="G589" s="963"/>
      <c r="H589" s="555"/>
      <c r="I589" s="393"/>
    </row>
    <row r="590" spans="1:9" ht="19.5" hidden="1" customHeight="1" outlineLevel="1" x14ac:dyDescent="0.3">
      <c r="A590" s="907"/>
      <c r="B590" s="825"/>
      <c r="C590" s="828"/>
      <c r="D590" s="543"/>
      <c r="E590"/>
      <c r="F590" s="537"/>
      <c r="G590" s="963"/>
      <c r="H590" s="555"/>
      <c r="I590" s="393"/>
    </row>
    <row r="591" spans="1:9" ht="19.5" hidden="1" customHeight="1" outlineLevel="1" x14ac:dyDescent="0.3">
      <c r="A591" s="907"/>
      <c r="B591" s="825"/>
      <c r="C591" s="828"/>
      <c r="D591" s="543"/>
      <c r="E591"/>
      <c r="F591" s="537"/>
      <c r="G591" s="963"/>
      <c r="H591" s="555"/>
      <c r="I591" s="393"/>
    </row>
    <row r="592" spans="1:9" ht="19.5" hidden="1" customHeight="1" outlineLevel="1" x14ac:dyDescent="0.3">
      <c r="A592" s="907"/>
      <c r="B592" s="825"/>
      <c r="C592" s="828"/>
      <c r="D592" s="543"/>
      <c r="E592"/>
      <c r="F592" s="537"/>
      <c r="G592" s="963"/>
      <c r="H592" s="555"/>
      <c r="I592" s="393"/>
    </row>
    <row r="593" spans="1:9" ht="19.5" hidden="1" customHeight="1" outlineLevel="1" x14ac:dyDescent="0.3">
      <c r="A593" s="907"/>
      <c r="B593" s="825"/>
      <c r="C593" s="828"/>
      <c r="D593" s="543"/>
      <c r="E593"/>
      <c r="F593" s="537"/>
      <c r="G593" s="963"/>
      <c r="H593" s="555"/>
      <c r="I593" s="393"/>
    </row>
    <row r="594" spans="1:9" ht="19.5" hidden="1" customHeight="1" outlineLevel="1" x14ac:dyDescent="0.3">
      <c r="A594" s="907"/>
      <c r="B594" s="825"/>
      <c r="C594" s="828"/>
      <c r="D594" s="543"/>
      <c r="E594"/>
      <c r="F594" s="537"/>
      <c r="G594" s="963"/>
      <c r="H594" s="555"/>
      <c r="I594" s="393"/>
    </row>
    <row r="595" spans="1:9" ht="19.5" hidden="1" customHeight="1" outlineLevel="1" x14ac:dyDescent="0.3">
      <c r="A595" s="907"/>
      <c r="B595" s="825"/>
      <c r="C595" s="828"/>
      <c r="D595" s="543"/>
      <c r="E595"/>
      <c r="F595" s="537"/>
      <c r="G595" s="963"/>
      <c r="H595" s="555"/>
      <c r="I595" s="393"/>
    </row>
    <row r="596" spans="1:9" ht="19.5" hidden="1" customHeight="1" outlineLevel="1" x14ac:dyDescent="0.3">
      <c r="A596" s="907"/>
      <c r="B596" s="825"/>
      <c r="C596" s="828"/>
      <c r="D596" s="543"/>
      <c r="E596"/>
      <c r="F596" s="537"/>
      <c r="G596" s="963"/>
      <c r="H596" s="555"/>
      <c r="I596" s="393"/>
    </row>
    <row r="597" spans="1:9" ht="19.5" hidden="1" customHeight="1" outlineLevel="1" x14ac:dyDescent="0.3">
      <c r="A597" s="907"/>
      <c r="B597" s="825"/>
      <c r="C597" s="828"/>
      <c r="D597" s="543"/>
      <c r="E597"/>
      <c r="F597" s="537"/>
      <c r="G597" s="963"/>
      <c r="H597" s="555"/>
      <c r="I597" s="393"/>
    </row>
    <row r="598" spans="1:9" ht="19.5" hidden="1" customHeight="1" outlineLevel="1" x14ac:dyDescent="0.3">
      <c r="A598" s="907"/>
      <c r="B598" s="825"/>
      <c r="C598" s="828"/>
      <c r="D598" s="543"/>
      <c r="E598"/>
      <c r="F598" s="537"/>
      <c r="G598" s="963"/>
      <c r="H598" s="555"/>
      <c r="I598" s="393"/>
    </row>
    <row r="599" spans="1:9" ht="19.5" hidden="1" customHeight="1" outlineLevel="1" x14ac:dyDescent="0.3">
      <c r="A599" s="907"/>
      <c r="B599" s="825"/>
      <c r="C599" s="828"/>
      <c r="D599" s="543"/>
      <c r="E599"/>
      <c r="F599" s="537"/>
      <c r="G599" s="963"/>
      <c r="H599" s="555"/>
      <c r="I599" s="393"/>
    </row>
    <row r="600" spans="1:9" ht="19.5" hidden="1" customHeight="1" outlineLevel="1" x14ac:dyDescent="0.3">
      <c r="A600" s="907"/>
      <c r="B600" s="825"/>
      <c r="C600" s="828"/>
      <c r="D600" s="543"/>
      <c r="E600"/>
      <c r="F600" s="537"/>
      <c r="G600" s="963"/>
      <c r="H600" s="555"/>
      <c r="I600" s="393"/>
    </row>
    <row r="601" spans="1:9" ht="19.5" hidden="1" customHeight="1" outlineLevel="1" x14ac:dyDescent="0.3">
      <c r="A601" s="907"/>
      <c r="B601" s="825"/>
      <c r="C601" s="828"/>
      <c r="D601" s="543"/>
      <c r="E601"/>
      <c r="F601" s="537"/>
      <c r="G601" s="963"/>
      <c r="H601" s="555"/>
      <c r="I601" s="393"/>
    </row>
    <row r="602" spans="1:9" ht="19.5" hidden="1" customHeight="1" outlineLevel="1" x14ac:dyDescent="0.3">
      <c r="A602" s="907"/>
      <c r="B602" s="825"/>
      <c r="C602" s="828"/>
      <c r="D602" s="543"/>
      <c r="E602"/>
      <c r="F602" s="537"/>
      <c r="G602" s="963"/>
      <c r="H602" s="555"/>
      <c r="I602" s="393"/>
    </row>
    <row r="603" spans="1:9" ht="19.5" hidden="1" customHeight="1" outlineLevel="1" x14ac:dyDescent="0.3">
      <c r="A603" s="907"/>
      <c r="B603" s="825"/>
      <c r="C603" s="828"/>
      <c r="D603" s="543"/>
      <c r="E603"/>
      <c r="F603" s="537"/>
      <c r="G603" s="963"/>
      <c r="H603" s="555"/>
      <c r="I603" s="393"/>
    </row>
    <row r="604" spans="1:9" ht="19.5" hidden="1" customHeight="1" outlineLevel="1" x14ac:dyDescent="0.3">
      <c r="A604" s="907"/>
      <c r="B604" s="825"/>
      <c r="C604" s="828"/>
      <c r="D604" s="543"/>
      <c r="E604"/>
      <c r="F604" s="537"/>
      <c r="G604" s="963"/>
      <c r="H604" s="555"/>
      <c r="I604" s="393"/>
    </row>
    <row r="605" spans="1:9" ht="19.5" hidden="1" customHeight="1" outlineLevel="1" x14ac:dyDescent="0.3">
      <c r="A605" s="907"/>
      <c r="B605" s="825"/>
      <c r="C605" s="828"/>
      <c r="D605" s="543"/>
      <c r="E605"/>
      <c r="F605" s="537"/>
      <c r="G605" s="963"/>
      <c r="H605" s="555"/>
      <c r="I605" s="393"/>
    </row>
    <row r="606" spans="1:9" ht="19.5" hidden="1" customHeight="1" outlineLevel="1" x14ac:dyDescent="0.3">
      <c r="A606" s="907"/>
      <c r="B606" s="825"/>
      <c r="C606" s="828"/>
      <c r="D606" s="543"/>
      <c r="E606"/>
      <c r="F606" s="537"/>
      <c r="G606" s="963"/>
      <c r="H606" s="555"/>
      <c r="I606" s="393"/>
    </row>
    <row r="607" spans="1:9" ht="19.5" hidden="1" customHeight="1" outlineLevel="1" x14ac:dyDescent="0.3">
      <c r="A607" s="907"/>
      <c r="B607" s="825"/>
      <c r="C607" s="828"/>
      <c r="D607" s="543"/>
      <c r="E607"/>
      <c r="F607" s="537"/>
      <c r="G607" s="963"/>
      <c r="H607" s="555"/>
      <c r="I607" s="393"/>
    </row>
    <row r="608" spans="1:9" ht="19.5" hidden="1" customHeight="1" outlineLevel="1" x14ac:dyDescent="0.3">
      <c r="A608" s="907"/>
      <c r="B608" s="825"/>
      <c r="C608" s="828"/>
      <c r="D608" s="543"/>
      <c r="E608"/>
      <c r="F608" s="537"/>
      <c r="G608" s="963"/>
      <c r="H608" s="555"/>
      <c r="I608" s="393"/>
    </row>
    <row r="609" spans="1:9" ht="19.5" hidden="1" customHeight="1" outlineLevel="1" x14ac:dyDescent="0.3">
      <c r="A609" s="907"/>
      <c r="B609" s="825"/>
      <c r="C609" s="828"/>
      <c r="D609" s="543"/>
      <c r="E609"/>
      <c r="F609" s="537"/>
      <c r="G609" s="963"/>
      <c r="H609" s="555"/>
      <c r="I609" s="393"/>
    </row>
    <row r="610" spans="1:9" ht="19.5" hidden="1" customHeight="1" outlineLevel="1" x14ac:dyDescent="0.3">
      <c r="A610" s="907"/>
      <c r="B610" s="825"/>
      <c r="C610" s="828"/>
      <c r="D610" s="543"/>
      <c r="E610"/>
      <c r="F610" s="537"/>
      <c r="G610" s="963"/>
      <c r="H610" s="555"/>
      <c r="I610" s="393"/>
    </row>
    <row r="611" spans="1:9" ht="19.5" hidden="1" customHeight="1" outlineLevel="1" x14ac:dyDescent="0.3">
      <c r="A611" s="907"/>
      <c r="B611" s="825"/>
      <c r="C611" s="828"/>
      <c r="D611" s="543"/>
      <c r="E611"/>
      <c r="F611" s="537"/>
      <c r="G611" s="963"/>
      <c r="H611" s="555"/>
      <c r="I611" s="393"/>
    </row>
    <row r="612" spans="1:9" ht="19.5" hidden="1" customHeight="1" outlineLevel="1" x14ac:dyDescent="0.3">
      <c r="A612" s="907"/>
      <c r="B612" s="825"/>
      <c r="C612" s="828"/>
      <c r="D612" s="543"/>
      <c r="E612"/>
      <c r="F612" s="537"/>
      <c r="G612" s="963"/>
      <c r="H612" s="555"/>
      <c r="I612" s="393"/>
    </row>
    <row r="613" spans="1:9" ht="19.5" hidden="1" customHeight="1" outlineLevel="1" x14ac:dyDescent="0.3">
      <c r="A613" s="907"/>
      <c r="B613" s="825"/>
      <c r="C613" s="828"/>
      <c r="D613" s="543"/>
      <c r="E613"/>
      <c r="F613" s="537"/>
      <c r="G613" s="963"/>
      <c r="H613" s="555"/>
      <c r="I613" s="393"/>
    </row>
    <row r="614" spans="1:9" ht="19.5" hidden="1" customHeight="1" outlineLevel="1" x14ac:dyDescent="0.3">
      <c r="A614" s="907"/>
      <c r="B614" s="825"/>
      <c r="C614" s="828"/>
      <c r="D614" s="543"/>
      <c r="E614"/>
      <c r="F614" s="537"/>
      <c r="G614" s="963"/>
      <c r="H614" s="555"/>
      <c r="I614" s="393"/>
    </row>
    <row r="615" spans="1:9" ht="19.5" hidden="1" customHeight="1" outlineLevel="1" x14ac:dyDescent="0.3">
      <c r="A615" s="907"/>
      <c r="B615" s="825"/>
      <c r="C615" s="828"/>
      <c r="D615" s="543"/>
      <c r="E615"/>
      <c r="F615" s="537"/>
      <c r="G615" s="963"/>
      <c r="H615" s="555"/>
      <c r="I615" s="393"/>
    </row>
    <row r="616" spans="1:9" ht="19.5" hidden="1" customHeight="1" outlineLevel="1" x14ac:dyDescent="0.3">
      <c r="A616" s="907"/>
      <c r="B616" s="825"/>
      <c r="C616" s="828"/>
      <c r="D616" s="543"/>
      <c r="E616"/>
      <c r="F616" s="537"/>
      <c r="G616" s="963"/>
      <c r="H616" s="555"/>
      <c r="I616" s="393"/>
    </row>
    <row r="617" spans="1:9" ht="19.5" hidden="1" customHeight="1" outlineLevel="1" x14ac:dyDescent="0.3">
      <c r="A617" s="907"/>
      <c r="B617" s="825"/>
      <c r="C617" s="828"/>
      <c r="D617" s="543"/>
      <c r="E617"/>
      <c r="F617" s="537"/>
      <c r="G617" s="963"/>
      <c r="H617" s="555"/>
      <c r="I617" s="393"/>
    </row>
    <row r="618" spans="1:9" ht="19.5" hidden="1" customHeight="1" outlineLevel="1" x14ac:dyDescent="0.3">
      <c r="A618" s="907"/>
      <c r="B618" s="825"/>
      <c r="C618" s="828"/>
      <c r="D618" s="543"/>
      <c r="E618"/>
      <c r="F618" s="537"/>
      <c r="G618" s="963"/>
      <c r="H618" s="555"/>
      <c r="I618" s="393"/>
    </row>
    <row r="619" spans="1:9" ht="19.5" hidden="1" customHeight="1" outlineLevel="1" x14ac:dyDescent="0.3">
      <c r="A619" s="907"/>
      <c r="B619" s="825"/>
      <c r="C619" s="828"/>
      <c r="D619" s="543"/>
      <c r="E619"/>
      <c r="F619" s="537"/>
      <c r="G619" s="963"/>
      <c r="H619" s="555"/>
      <c r="I619" s="393"/>
    </row>
    <row r="620" spans="1:9" ht="19.5" hidden="1" customHeight="1" outlineLevel="1" x14ac:dyDescent="0.3">
      <c r="A620" s="907"/>
      <c r="B620" s="825"/>
      <c r="C620" s="828"/>
      <c r="D620" s="543"/>
      <c r="E620"/>
      <c r="F620" s="537"/>
      <c r="G620" s="963"/>
      <c r="H620" s="555"/>
      <c r="I620" s="393"/>
    </row>
    <row r="621" spans="1:9" ht="19.5" hidden="1" customHeight="1" outlineLevel="1" x14ac:dyDescent="0.3">
      <c r="A621" s="907"/>
      <c r="B621" s="825"/>
      <c r="C621" s="828"/>
      <c r="D621" s="543"/>
      <c r="E621"/>
      <c r="F621" s="537"/>
      <c r="G621" s="963"/>
      <c r="H621" s="555"/>
      <c r="I621" s="393"/>
    </row>
    <row r="622" spans="1:9" ht="19.5" hidden="1" customHeight="1" outlineLevel="1" x14ac:dyDescent="0.3">
      <c r="A622" s="907"/>
      <c r="B622" s="825"/>
      <c r="C622" s="828"/>
      <c r="D622" s="543"/>
      <c r="E622"/>
      <c r="F622" s="537"/>
      <c r="G622" s="963"/>
      <c r="H622" s="555"/>
      <c r="I622" s="393"/>
    </row>
    <row r="623" spans="1:9" ht="19.5" hidden="1" customHeight="1" outlineLevel="1" x14ac:dyDescent="0.3">
      <c r="A623" s="907"/>
      <c r="B623" s="825"/>
      <c r="C623" s="828"/>
      <c r="D623" s="543"/>
      <c r="E623"/>
      <c r="F623" s="537"/>
      <c r="G623" s="963"/>
      <c r="H623" s="555"/>
      <c r="I623" s="393"/>
    </row>
    <row r="624" spans="1:9" ht="19.5" hidden="1" customHeight="1" outlineLevel="1" x14ac:dyDescent="0.3">
      <c r="A624" s="907"/>
      <c r="B624" s="825"/>
      <c r="C624" s="828"/>
      <c r="D624" s="543"/>
      <c r="E624"/>
      <c r="F624" s="537"/>
      <c r="G624" s="963"/>
      <c r="H624" s="555"/>
      <c r="I624" s="393"/>
    </row>
    <row r="625" spans="1:9" ht="19.5" hidden="1" customHeight="1" outlineLevel="1" x14ac:dyDescent="0.3">
      <c r="A625" s="907"/>
      <c r="B625" s="825"/>
      <c r="C625" s="828"/>
      <c r="D625" s="543"/>
      <c r="E625"/>
      <c r="F625" s="537"/>
      <c r="G625" s="963"/>
      <c r="H625" s="555"/>
      <c r="I625" s="393"/>
    </row>
    <row r="626" spans="1:9" ht="19.5" hidden="1" customHeight="1" outlineLevel="1" x14ac:dyDescent="0.3">
      <c r="A626" s="907"/>
      <c r="B626" s="825"/>
      <c r="C626" s="828"/>
      <c r="D626" s="543"/>
      <c r="E626"/>
      <c r="F626" s="537"/>
      <c r="G626" s="963"/>
      <c r="H626" s="555"/>
      <c r="I626" s="393"/>
    </row>
    <row r="627" spans="1:9" ht="19.5" hidden="1" customHeight="1" outlineLevel="1" x14ac:dyDescent="0.3">
      <c r="A627" s="907"/>
      <c r="B627" s="825"/>
      <c r="C627" s="828"/>
      <c r="D627" s="543"/>
      <c r="E627"/>
      <c r="F627" s="537"/>
      <c r="G627" s="963"/>
      <c r="H627" s="555"/>
      <c r="I627" s="393"/>
    </row>
    <row r="628" spans="1:9" ht="19.5" hidden="1" customHeight="1" outlineLevel="1" x14ac:dyDescent="0.3">
      <c r="A628" s="907"/>
      <c r="B628" s="825"/>
      <c r="C628" s="828"/>
      <c r="D628" s="543"/>
      <c r="E628"/>
      <c r="F628" s="537"/>
      <c r="G628" s="963"/>
      <c r="H628" s="555"/>
      <c r="I628" s="393"/>
    </row>
    <row r="629" spans="1:9" ht="19.5" hidden="1" customHeight="1" outlineLevel="1" x14ac:dyDescent="0.3">
      <c r="A629" s="907"/>
      <c r="B629" s="825"/>
      <c r="C629" s="828"/>
      <c r="D629" s="543"/>
      <c r="E629"/>
      <c r="F629" s="537"/>
      <c r="G629" s="963"/>
      <c r="H629" s="555"/>
      <c r="I629" s="393"/>
    </row>
    <row r="630" spans="1:9" ht="19.5" hidden="1" customHeight="1" outlineLevel="1" x14ac:dyDescent="0.3">
      <c r="A630" s="907"/>
      <c r="B630" s="825"/>
      <c r="C630" s="828"/>
      <c r="D630" s="543"/>
      <c r="E630"/>
      <c r="F630" s="537"/>
      <c r="G630" s="963"/>
      <c r="H630" s="555"/>
      <c r="I630" s="393"/>
    </row>
    <row r="631" spans="1:9" ht="19.5" hidden="1" customHeight="1" outlineLevel="1" x14ac:dyDescent="0.3">
      <c r="A631" s="907"/>
      <c r="B631" s="825"/>
      <c r="C631" s="828"/>
      <c r="D631" s="543"/>
      <c r="E631"/>
      <c r="F631" s="537"/>
      <c r="G631" s="963"/>
      <c r="H631" s="555"/>
      <c r="I631" s="393"/>
    </row>
    <row r="632" spans="1:9" ht="19.5" hidden="1" customHeight="1" outlineLevel="1" x14ac:dyDescent="0.3">
      <c r="A632" s="907"/>
      <c r="B632" s="825"/>
      <c r="C632" s="828"/>
      <c r="D632" s="543"/>
      <c r="E632"/>
      <c r="F632" s="537"/>
      <c r="G632" s="963"/>
      <c r="H632" s="555"/>
      <c r="I632" s="393"/>
    </row>
    <row r="633" spans="1:9" ht="19.5" hidden="1" customHeight="1" outlineLevel="1" x14ac:dyDescent="0.3">
      <c r="A633" s="907"/>
      <c r="B633" s="825"/>
      <c r="C633" s="828"/>
      <c r="D633" s="543"/>
      <c r="E633"/>
      <c r="F633" s="537"/>
      <c r="G633" s="963"/>
      <c r="H633" s="555"/>
      <c r="I633" s="393"/>
    </row>
    <row r="634" spans="1:9" ht="19.5" hidden="1" customHeight="1" outlineLevel="1" x14ac:dyDescent="0.3">
      <c r="A634" s="907"/>
      <c r="B634" s="825"/>
      <c r="C634" s="828"/>
      <c r="D634" s="543"/>
      <c r="E634"/>
      <c r="F634" s="537"/>
      <c r="G634" s="963"/>
      <c r="H634" s="555"/>
      <c r="I634" s="393"/>
    </row>
    <row r="635" spans="1:9" ht="19.5" hidden="1" customHeight="1" outlineLevel="1" x14ac:dyDescent="0.3">
      <c r="A635" s="907"/>
      <c r="B635" s="825"/>
      <c r="C635" s="828"/>
      <c r="D635" s="543"/>
      <c r="E635"/>
      <c r="F635" s="537"/>
      <c r="G635" s="963"/>
      <c r="H635" s="555"/>
      <c r="I635" s="393"/>
    </row>
    <row r="636" spans="1:9" ht="19.5" hidden="1" customHeight="1" outlineLevel="1" x14ac:dyDescent="0.3">
      <c r="A636" s="907"/>
      <c r="B636" s="825"/>
      <c r="C636" s="828"/>
      <c r="D636" s="543"/>
      <c r="E636"/>
      <c r="F636" s="537"/>
      <c r="G636" s="963"/>
      <c r="H636" s="555"/>
      <c r="I636" s="393"/>
    </row>
    <row r="637" spans="1:9" ht="19.5" hidden="1" customHeight="1" outlineLevel="1" x14ac:dyDescent="0.3">
      <c r="A637" s="907"/>
      <c r="B637" s="825"/>
      <c r="C637" s="828"/>
      <c r="D637" s="543"/>
      <c r="E637"/>
      <c r="F637" s="537"/>
      <c r="G637" s="963"/>
      <c r="H637" s="555"/>
      <c r="I637" s="393"/>
    </row>
    <row r="638" spans="1:9" ht="19.5" hidden="1" customHeight="1" outlineLevel="1" x14ac:dyDescent="0.3">
      <c r="A638" s="907"/>
      <c r="B638" s="825"/>
      <c r="C638" s="828"/>
      <c r="D638" s="543"/>
      <c r="E638"/>
      <c r="F638" s="537"/>
      <c r="G638" s="963"/>
      <c r="H638" s="555"/>
      <c r="I638" s="393"/>
    </row>
    <row r="639" spans="1:9" ht="19.5" hidden="1" customHeight="1" outlineLevel="1" x14ac:dyDescent="0.3">
      <c r="A639" s="907"/>
      <c r="B639" s="825"/>
      <c r="C639" s="828"/>
      <c r="D639" s="543"/>
      <c r="E639"/>
      <c r="F639" s="537"/>
      <c r="G639" s="963"/>
      <c r="H639" s="555"/>
      <c r="I639" s="393"/>
    </row>
    <row r="640" spans="1:9" ht="19.5" hidden="1" customHeight="1" outlineLevel="1" x14ac:dyDescent="0.3">
      <c r="A640" s="907"/>
      <c r="B640" s="825"/>
      <c r="C640" s="828"/>
      <c r="D640" s="543"/>
      <c r="E640"/>
      <c r="F640" s="537"/>
      <c r="G640" s="963"/>
      <c r="H640" s="555"/>
      <c r="I640" s="393"/>
    </row>
    <row r="641" spans="1:9" ht="19.5" hidden="1" customHeight="1" outlineLevel="1" x14ac:dyDescent="0.3">
      <c r="A641" s="907"/>
      <c r="B641" s="825"/>
      <c r="C641" s="828"/>
      <c r="D641" s="543"/>
      <c r="E641"/>
      <c r="F641" s="537"/>
      <c r="G641" s="963"/>
      <c r="H641" s="555"/>
      <c r="I641" s="393"/>
    </row>
    <row r="642" spans="1:9" ht="19.5" hidden="1" customHeight="1" outlineLevel="1" x14ac:dyDescent="0.3">
      <c r="A642" s="907"/>
      <c r="B642" s="825"/>
      <c r="C642" s="828"/>
      <c r="D642" s="543"/>
      <c r="E642"/>
      <c r="F642" s="537"/>
      <c r="G642" s="963"/>
      <c r="H642" s="555"/>
      <c r="I642" s="393"/>
    </row>
    <row r="643" spans="1:9" ht="19.5" hidden="1" customHeight="1" outlineLevel="1" x14ac:dyDescent="0.3">
      <c r="A643" s="907"/>
      <c r="B643" s="825"/>
      <c r="C643" s="828"/>
      <c r="D643" s="543"/>
      <c r="E643"/>
      <c r="F643" s="537"/>
      <c r="G643" s="963"/>
      <c r="H643" s="555"/>
      <c r="I643" s="393"/>
    </row>
    <row r="644" spans="1:9" ht="19.5" hidden="1" customHeight="1" outlineLevel="1" x14ac:dyDescent="0.3">
      <c r="A644" s="907"/>
      <c r="B644" s="825"/>
      <c r="C644" s="828"/>
      <c r="D644" s="543"/>
      <c r="E644"/>
      <c r="F644" s="537"/>
      <c r="G644" s="963"/>
      <c r="H644" s="555"/>
      <c r="I644" s="393"/>
    </row>
    <row r="645" spans="1:9" ht="19.5" hidden="1" customHeight="1" outlineLevel="1" x14ac:dyDescent="0.3">
      <c r="A645" s="907"/>
      <c r="B645" s="825"/>
      <c r="C645" s="828"/>
      <c r="D645" s="543"/>
      <c r="E645"/>
      <c r="F645" s="537"/>
      <c r="G645" s="963"/>
      <c r="H645" s="555"/>
      <c r="I645" s="393"/>
    </row>
    <row r="646" spans="1:9" ht="19.5" hidden="1" customHeight="1" outlineLevel="1" x14ac:dyDescent="0.3">
      <c r="A646" s="907"/>
      <c r="B646" s="825"/>
      <c r="C646" s="828"/>
      <c r="D646" s="543"/>
      <c r="E646"/>
      <c r="F646" s="537"/>
      <c r="G646" s="963"/>
      <c r="H646" s="555"/>
      <c r="I646" s="393"/>
    </row>
    <row r="647" spans="1:9" ht="19.5" hidden="1" customHeight="1" outlineLevel="1" x14ac:dyDescent="0.3">
      <c r="A647" s="907"/>
      <c r="B647" s="825"/>
      <c r="C647" s="828"/>
      <c r="D647" s="543"/>
      <c r="E647"/>
      <c r="F647" s="537"/>
      <c r="G647" s="963"/>
      <c r="H647" s="555"/>
      <c r="I647" s="393"/>
    </row>
    <row r="648" spans="1:9" ht="19.5" hidden="1" customHeight="1" outlineLevel="1" x14ac:dyDescent="0.3">
      <c r="A648" s="907"/>
      <c r="B648" s="825"/>
      <c r="C648" s="828"/>
      <c r="D648" s="543"/>
      <c r="E648"/>
      <c r="F648" s="537"/>
      <c r="G648" s="963"/>
      <c r="H648" s="555"/>
      <c r="I648" s="393"/>
    </row>
    <row r="649" spans="1:9" ht="19.5" hidden="1" customHeight="1" outlineLevel="1" x14ac:dyDescent="0.3">
      <c r="A649" s="907"/>
      <c r="B649" s="825"/>
      <c r="C649" s="828"/>
      <c r="D649" s="543"/>
      <c r="E649"/>
      <c r="F649" s="537"/>
      <c r="G649" s="963"/>
      <c r="H649" s="555"/>
      <c r="I649" s="393"/>
    </row>
    <row r="650" spans="1:9" ht="19.5" hidden="1" customHeight="1" outlineLevel="1" x14ac:dyDescent="0.3">
      <c r="A650" s="907"/>
      <c r="B650" s="825"/>
      <c r="C650" s="828"/>
      <c r="D650" s="543"/>
      <c r="E650"/>
      <c r="F650" s="537"/>
      <c r="G650" s="963"/>
      <c r="H650" s="555"/>
      <c r="I650" s="393"/>
    </row>
    <row r="651" spans="1:9" ht="19.5" hidden="1" customHeight="1" outlineLevel="1" x14ac:dyDescent="0.3">
      <c r="A651" s="907"/>
      <c r="B651" s="825"/>
      <c r="C651" s="828"/>
      <c r="D651" s="543"/>
      <c r="E651"/>
      <c r="F651" s="537"/>
      <c r="G651" s="963"/>
      <c r="H651" s="555"/>
      <c r="I651" s="393"/>
    </row>
    <row r="652" spans="1:9" ht="19.5" hidden="1" customHeight="1" outlineLevel="1" x14ac:dyDescent="0.3">
      <c r="A652" s="907"/>
      <c r="B652" s="825"/>
      <c r="C652" s="828"/>
      <c r="D652" s="543"/>
      <c r="E652"/>
      <c r="F652" s="537"/>
      <c r="G652" s="963"/>
      <c r="H652" s="555"/>
      <c r="I652" s="393"/>
    </row>
    <row r="653" spans="1:9" ht="19.5" hidden="1" customHeight="1" outlineLevel="1" x14ac:dyDescent="0.3">
      <c r="A653" s="907"/>
      <c r="B653" s="825"/>
      <c r="C653" s="828"/>
      <c r="D653" s="543"/>
      <c r="E653"/>
      <c r="F653" s="537"/>
      <c r="G653" s="963"/>
      <c r="H653" s="555"/>
      <c r="I653" s="393"/>
    </row>
    <row r="654" spans="1:9" ht="19.5" hidden="1" customHeight="1" outlineLevel="1" x14ac:dyDescent="0.3">
      <c r="A654" s="907"/>
      <c r="B654" s="825"/>
      <c r="C654" s="828"/>
      <c r="D654" s="543"/>
      <c r="E654"/>
      <c r="F654" s="537"/>
      <c r="G654" s="963"/>
      <c r="H654" s="555"/>
      <c r="I654" s="393"/>
    </row>
    <row r="655" spans="1:9" ht="19.5" hidden="1" customHeight="1" outlineLevel="1" x14ac:dyDescent="0.3">
      <c r="A655" s="907"/>
      <c r="B655" s="825"/>
      <c r="C655" s="828"/>
      <c r="D655" s="543"/>
      <c r="E655"/>
      <c r="F655" s="537"/>
      <c r="G655" s="963"/>
      <c r="H655" s="555"/>
      <c r="I655" s="393"/>
    </row>
    <row r="656" spans="1:9" ht="19.5" hidden="1" customHeight="1" outlineLevel="1" x14ac:dyDescent="0.3">
      <c r="A656" s="907"/>
      <c r="B656" s="825"/>
      <c r="C656" s="828"/>
      <c r="D656" s="543"/>
      <c r="E656"/>
      <c r="F656" s="537"/>
      <c r="G656" s="963"/>
      <c r="H656" s="555"/>
      <c r="I656" s="393"/>
    </row>
    <row r="657" spans="1:9" ht="19.5" hidden="1" customHeight="1" outlineLevel="1" x14ac:dyDescent="0.3">
      <c r="A657" s="907"/>
      <c r="B657" s="825"/>
      <c r="C657" s="828"/>
      <c r="D657" s="543"/>
      <c r="E657"/>
      <c r="F657" s="537"/>
      <c r="G657" s="963"/>
      <c r="H657" s="555"/>
      <c r="I657" s="393"/>
    </row>
    <row r="658" spans="1:9" ht="19.5" hidden="1" customHeight="1" outlineLevel="1" x14ac:dyDescent="0.3">
      <c r="A658" s="907"/>
      <c r="B658" s="825"/>
      <c r="C658" s="828"/>
      <c r="D658" s="543"/>
      <c r="E658"/>
      <c r="F658" s="537"/>
      <c r="G658" s="963"/>
      <c r="H658" s="555"/>
      <c r="I658" s="393"/>
    </row>
    <row r="659" spans="1:9" ht="19.5" hidden="1" customHeight="1" outlineLevel="1" x14ac:dyDescent="0.3">
      <c r="A659" s="907"/>
      <c r="B659" s="825"/>
      <c r="C659" s="828"/>
      <c r="D659" s="543"/>
      <c r="E659"/>
      <c r="F659" s="537"/>
      <c r="G659" s="963"/>
      <c r="H659" s="555"/>
      <c r="I659" s="393"/>
    </row>
    <row r="660" spans="1:9" ht="19.5" hidden="1" customHeight="1" outlineLevel="1" x14ac:dyDescent="0.3">
      <c r="A660" s="907"/>
      <c r="B660" s="825"/>
      <c r="C660" s="828"/>
      <c r="D660" s="543"/>
      <c r="E660"/>
      <c r="F660" s="537"/>
      <c r="G660" s="963"/>
      <c r="H660" s="555"/>
      <c r="I660" s="393"/>
    </row>
    <row r="661" spans="1:9" ht="19.5" hidden="1" customHeight="1" outlineLevel="1" x14ac:dyDescent="0.3">
      <c r="A661" s="907"/>
      <c r="B661" s="825"/>
      <c r="C661" s="828"/>
      <c r="D661" s="543"/>
      <c r="E661"/>
      <c r="F661" s="537"/>
      <c r="G661" s="963"/>
      <c r="H661" s="555"/>
      <c r="I661" s="393"/>
    </row>
    <row r="662" spans="1:9" ht="19.5" hidden="1" customHeight="1" outlineLevel="1" x14ac:dyDescent="0.3">
      <c r="A662" s="907"/>
      <c r="B662" s="825"/>
      <c r="C662" s="828"/>
      <c r="D662" s="543"/>
      <c r="E662"/>
      <c r="F662" s="537"/>
      <c r="G662" s="963"/>
      <c r="H662" s="555"/>
      <c r="I662" s="393"/>
    </row>
    <row r="663" spans="1:9" ht="19.5" hidden="1" customHeight="1" outlineLevel="1" x14ac:dyDescent="0.3">
      <c r="A663" s="907"/>
      <c r="B663" s="825"/>
      <c r="C663" s="828"/>
      <c r="D663" s="543"/>
      <c r="E663"/>
      <c r="F663" s="537"/>
      <c r="G663" s="963"/>
      <c r="H663" s="555"/>
      <c r="I663" s="393"/>
    </row>
    <row r="664" spans="1:9" ht="19.5" hidden="1" customHeight="1" outlineLevel="1" x14ac:dyDescent="0.3">
      <c r="A664" s="907"/>
      <c r="B664" s="825"/>
      <c r="C664" s="828"/>
      <c r="D664" s="543"/>
      <c r="E664"/>
      <c r="F664" s="537"/>
      <c r="G664" s="963"/>
      <c r="H664" s="555"/>
      <c r="I664" s="393"/>
    </row>
    <row r="665" spans="1:9" ht="19.5" hidden="1" customHeight="1" outlineLevel="1" x14ac:dyDescent="0.3">
      <c r="A665" s="907"/>
      <c r="B665" s="825"/>
      <c r="C665" s="828"/>
      <c r="D665" s="543"/>
      <c r="E665"/>
      <c r="F665" s="537"/>
      <c r="G665" s="963"/>
      <c r="H665" s="555"/>
      <c r="I665" s="393"/>
    </row>
    <row r="666" spans="1:9" ht="19.5" hidden="1" customHeight="1" outlineLevel="1" x14ac:dyDescent="0.3">
      <c r="A666" s="907"/>
      <c r="B666" s="825"/>
      <c r="C666" s="828"/>
      <c r="D666" s="543"/>
      <c r="E666"/>
      <c r="F666" s="537"/>
      <c r="G666" s="963"/>
      <c r="H666" s="555"/>
      <c r="I666" s="393"/>
    </row>
    <row r="667" spans="1:9" ht="19.5" hidden="1" customHeight="1" outlineLevel="1" x14ac:dyDescent="0.3">
      <c r="A667" s="907"/>
      <c r="B667" s="825"/>
      <c r="C667" s="828"/>
      <c r="D667" s="543"/>
      <c r="E667"/>
      <c r="F667" s="537"/>
      <c r="G667" s="963"/>
      <c r="H667" s="555"/>
      <c r="I667" s="393"/>
    </row>
    <row r="668" spans="1:9" ht="19.5" hidden="1" customHeight="1" outlineLevel="1" x14ac:dyDescent="0.3">
      <c r="A668" s="907"/>
      <c r="B668" s="825"/>
      <c r="C668" s="828"/>
      <c r="D668" s="543"/>
      <c r="E668"/>
      <c r="F668" s="537"/>
      <c r="G668" s="963"/>
      <c r="H668" s="555"/>
      <c r="I668" s="393"/>
    </row>
    <row r="669" spans="1:9" ht="19.5" hidden="1" customHeight="1" outlineLevel="1" x14ac:dyDescent="0.3">
      <c r="A669" s="907"/>
      <c r="B669" s="825"/>
      <c r="C669" s="828"/>
      <c r="D669" s="543"/>
      <c r="E669"/>
      <c r="F669" s="537"/>
      <c r="G669" s="963"/>
      <c r="H669" s="555"/>
      <c r="I669" s="393"/>
    </row>
    <row r="670" spans="1:9" ht="19.5" hidden="1" customHeight="1" outlineLevel="1" x14ac:dyDescent="0.3">
      <c r="A670" s="907"/>
      <c r="B670" s="825"/>
      <c r="C670" s="828"/>
      <c r="D670" s="543"/>
      <c r="E670"/>
      <c r="F670" s="537"/>
      <c r="G670" s="963"/>
      <c r="H670" s="555"/>
      <c r="I670" s="393"/>
    </row>
    <row r="671" spans="1:9" ht="19.5" hidden="1" customHeight="1" outlineLevel="1" x14ac:dyDescent="0.3">
      <c r="A671" s="907"/>
      <c r="B671" s="825"/>
      <c r="C671" s="828"/>
      <c r="D671" s="543"/>
      <c r="E671"/>
      <c r="F671" s="537"/>
      <c r="G671" s="963"/>
      <c r="H671" s="555"/>
      <c r="I671" s="393"/>
    </row>
    <row r="672" spans="1:9" ht="19.5" hidden="1" customHeight="1" outlineLevel="1" x14ac:dyDescent="0.3">
      <c r="A672" s="907"/>
      <c r="B672" s="825"/>
      <c r="C672" s="828"/>
      <c r="D672" s="543"/>
      <c r="E672"/>
      <c r="F672" s="537"/>
      <c r="G672" s="963"/>
      <c r="H672" s="555"/>
      <c r="I672" s="393"/>
    </row>
    <row r="673" spans="1:9" ht="19.5" hidden="1" customHeight="1" outlineLevel="1" x14ac:dyDescent="0.3">
      <c r="A673" s="907"/>
      <c r="B673" s="825"/>
      <c r="C673" s="828"/>
      <c r="D673" s="543"/>
      <c r="E673"/>
      <c r="F673" s="537"/>
      <c r="G673" s="963"/>
      <c r="H673" s="555"/>
      <c r="I673" s="393"/>
    </row>
    <row r="674" spans="1:9" ht="19.5" hidden="1" customHeight="1" outlineLevel="1" x14ac:dyDescent="0.3">
      <c r="A674" s="907"/>
      <c r="B674" s="825"/>
      <c r="C674" s="828"/>
      <c r="D674" s="543"/>
      <c r="E674"/>
      <c r="F674" s="537"/>
      <c r="G674" s="963"/>
      <c r="H674" s="555"/>
      <c r="I674" s="393"/>
    </row>
    <row r="675" spans="1:9" ht="19.5" hidden="1" customHeight="1" outlineLevel="1" x14ac:dyDescent="0.3">
      <c r="A675" s="907"/>
      <c r="B675" s="825"/>
      <c r="C675" s="828"/>
      <c r="D675" s="543"/>
      <c r="E675"/>
      <c r="F675" s="537"/>
      <c r="G675" s="963"/>
      <c r="H675" s="555"/>
      <c r="I675" s="393"/>
    </row>
    <row r="676" spans="1:9" ht="19.5" hidden="1" customHeight="1" outlineLevel="1" x14ac:dyDescent="0.3">
      <c r="A676" s="907"/>
      <c r="B676" s="825"/>
      <c r="C676" s="828"/>
      <c r="D676" s="543"/>
      <c r="E676"/>
      <c r="F676" s="537"/>
      <c r="G676" s="963"/>
      <c r="H676" s="555"/>
      <c r="I676" s="393"/>
    </row>
    <row r="677" spans="1:9" ht="19.5" hidden="1" customHeight="1" outlineLevel="1" x14ac:dyDescent="0.3">
      <c r="A677" s="907"/>
      <c r="B677" s="825"/>
      <c r="C677" s="828"/>
      <c r="D677" s="543"/>
      <c r="E677"/>
      <c r="F677" s="537"/>
      <c r="G677" s="963"/>
      <c r="H677" s="555"/>
      <c r="I677" s="393"/>
    </row>
    <row r="678" spans="1:9" ht="19.5" hidden="1" customHeight="1" outlineLevel="1" x14ac:dyDescent="0.3">
      <c r="A678" s="907"/>
      <c r="B678" s="825"/>
      <c r="C678" s="828"/>
      <c r="D678" s="543"/>
      <c r="E678"/>
      <c r="F678" s="537"/>
      <c r="G678" s="963"/>
      <c r="H678" s="555"/>
      <c r="I678" s="393"/>
    </row>
    <row r="679" spans="1:9" ht="19.5" hidden="1" customHeight="1" outlineLevel="1" x14ac:dyDescent="0.3">
      <c r="A679" s="907"/>
      <c r="B679" s="825"/>
      <c r="C679" s="828"/>
      <c r="D679" s="543"/>
      <c r="E679"/>
      <c r="F679" s="537"/>
      <c r="G679" s="963"/>
      <c r="H679" s="555"/>
      <c r="I679" s="393"/>
    </row>
    <row r="680" spans="1:9" ht="19.5" hidden="1" customHeight="1" outlineLevel="1" x14ac:dyDescent="0.3">
      <c r="A680" s="907"/>
      <c r="B680" s="825"/>
      <c r="C680" s="828"/>
      <c r="D680" s="543"/>
      <c r="E680"/>
      <c r="F680" s="537"/>
      <c r="G680" s="963"/>
      <c r="H680" s="555"/>
      <c r="I680" s="393"/>
    </row>
    <row r="681" spans="1:9" ht="19.5" hidden="1" customHeight="1" outlineLevel="1" x14ac:dyDescent="0.3">
      <c r="A681" s="907"/>
      <c r="B681" s="825"/>
      <c r="C681" s="828"/>
      <c r="D681" s="543"/>
      <c r="E681"/>
      <c r="F681" s="537"/>
      <c r="G681" s="963"/>
      <c r="H681" s="555"/>
      <c r="I681" s="393"/>
    </row>
    <row r="682" spans="1:9" ht="19.5" hidden="1" customHeight="1" outlineLevel="1" x14ac:dyDescent="0.3">
      <c r="A682" s="907"/>
      <c r="B682" s="825"/>
      <c r="C682" s="828"/>
      <c r="D682" s="543"/>
      <c r="E682"/>
      <c r="F682" s="537"/>
      <c r="G682" s="963"/>
      <c r="H682" s="555"/>
      <c r="I682" s="393"/>
    </row>
    <row r="683" spans="1:9" ht="19.5" hidden="1" customHeight="1" outlineLevel="1" x14ac:dyDescent="0.3">
      <c r="A683" s="907"/>
      <c r="B683" s="825"/>
      <c r="C683" s="828"/>
      <c r="D683" s="543"/>
      <c r="E683"/>
      <c r="F683" s="537"/>
      <c r="G683" s="963"/>
      <c r="H683" s="555"/>
      <c r="I683" s="393"/>
    </row>
    <row r="684" spans="1:9" ht="19.5" hidden="1" customHeight="1" outlineLevel="1" x14ac:dyDescent="0.3">
      <c r="A684" s="907"/>
      <c r="B684" s="825"/>
      <c r="C684" s="828"/>
      <c r="D684" s="543"/>
      <c r="E684"/>
      <c r="F684" s="537"/>
      <c r="G684" s="963"/>
      <c r="H684" s="555"/>
      <c r="I684" s="393"/>
    </row>
    <row r="685" spans="1:9" ht="19.5" hidden="1" customHeight="1" outlineLevel="1" x14ac:dyDescent="0.3">
      <c r="A685" s="907"/>
      <c r="B685" s="825"/>
      <c r="C685" s="828"/>
      <c r="D685" s="543"/>
      <c r="E685"/>
      <c r="F685" s="537"/>
      <c r="G685" s="963"/>
      <c r="H685" s="555"/>
      <c r="I685" s="393"/>
    </row>
    <row r="686" spans="1:9" ht="19.5" hidden="1" customHeight="1" outlineLevel="1" x14ac:dyDescent="0.3">
      <c r="A686" s="907"/>
      <c r="B686" s="825"/>
      <c r="C686" s="828"/>
      <c r="D686" s="543"/>
      <c r="E686"/>
      <c r="F686" s="537"/>
      <c r="G686" s="963"/>
      <c r="H686" s="555"/>
      <c r="I686" s="393"/>
    </row>
    <row r="687" spans="1:9" ht="19.5" hidden="1" customHeight="1" outlineLevel="1" x14ac:dyDescent="0.3">
      <c r="A687" s="907"/>
      <c r="B687" s="825"/>
      <c r="C687" s="828"/>
      <c r="D687" s="543"/>
      <c r="E687"/>
      <c r="F687" s="537"/>
      <c r="G687" s="963"/>
      <c r="H687" s="555"/>
      <c r="I687" s="393"/>
    </row>
    <row r="688" spans="1:9" ht="19.5" hidden="1" customHeight="1" outlineLevel="1" x14ac:dyDescent="0.3">
      <c r="A688" s="907"/>
      <c r="B688" s="825"/>
      <c r="C688" s="828"/>
      <c r="D688" s="543"/>
      <c r="E688"/>
      <c r="F688" s="537"/>
      <c r="G688" s="963"/>
      <c r="H688" s="555"/>
      <c r="I688" s="393"/>
    </row>
    <row r="689" spans="1:9" ht="19.5" hidden="1" customHeight="1" outlineLevel="1" x14ac:dyDescent="0.3">
      <c r="A689" s="907"/>
      <c r="B689" s="825"/>
      <c r="C689" s="828"/>
      <c r="D689" s="543"/>
      <c r="E689"/>
      <c r="F689" s="537"/>
      <c r="G689" s="963"/>
      <c r="H689" s="555"/>
      <c r="I689" s="393"/>
    </row>
    <row r="690" spans="1:9" ht="19.5" hidden="1" customHeight="1" outlineLevel="1" x14ac:dyDescent="0.3">
      <c r="A690" s="907"/>
      <c r="B690" s="825"/>
      <c r="C690" s="828"/>
      <c r="D690" s="543"/>
      <c r="E690"/>
      <c r="F690" s="537"/>
      <c r="G690" s="963"/>
      <c r="H690" s="555"/>
      <c r="I690" s="393"/>
    </row>
    <row r="691" spans="1:9" ht="19.5" hidden="1" customHeight="1" outlineLevel="1" x14ac:dyDescent="0.3">
      <c r="A691" s="907"/>
      <c r="B691" s="825"/>
      <c r="C691" s="828"/>
      <c r="D691" s="543"/>
      <c r="E691"/>
      <c r="F691" s="537"/>
      <c r="G691" s="963"/>
      <c r="H691" s="555"/>
      <c r="I691" s="393"/>
    </row>
    <row r="692" spans="1:9" ht="19.5" hidden="1" customHeight="1" outlineLevel="1" x14ac:dyDescent="0.3">
      <c r="A692" s="907"/>
      <c r="B692" s="825"/>
      <c r="C692" s="828"/>
      <c r="D692" s="543"/>
      <c r="E692"/>
      <c r="F692" s="537"/>
      <c r="G692" s="963"/>
      <c r="H692" s="555"/>
      <c r="I692" s="393"/>
    </row>
    <row r="693" spans="1:9" ht="19.5" hidden="1" customHeight="1" outlineLevel="1" x14ac:dyDescent="0.3">
      <c r="A693" s="907"/>
      <c r="B693" s="825"/>
      <c r="C693" s="828"/>
      <c r="D693" s="543"/>
      <c r="E693"/>
      <c r="F693" s="537"/>
      <c r="G693" s="963"/>
      <c r="H693" s="555"/>
      <c r="I693" s="393"/>
    </row>
    <row r="694" spans="1:9" ht="19.5" hidden="1" customHeight="1" outlineLevel="1" x14ac:dyDescent="0.3">
      <c r="A694" s="907"/>
      <c r="B694" s="825"/>
      <c r="C694" s="828"/>
      <c r="D694" s="543"/>
      <c r="E694"/>
      <c r="F694" s="537"/>
      <c r="G694" s="963"/>
      <c r="H694" s="555"/>
      <c r="I694" s="393"/>
    </row>
    <row r="695" spans="1:9" ht="19.5" hidden="1" customHeight="1" outlineLevel="1" x14ac:dyDescent="0.3">
      <c r="A695" s="907"/>
      <c r="B695" s="825"/>
      <c r="C695" s="828"/>
      <c r="D695" s="543"/>
      <c r="E695"/>
      <c r="F695" s="537"/>
      <c r="G695" s="963"/>
      <c r="H695" s="555"/>
      <c r="I695" s="393"/>
    </row>
    <row r="696" spans="1:9" ht="19.5" hidden="1" customHeight="1" outlineLevel="1" x14ac:dyDescent="0.3">
      <c r="A696" s="907"/>
      <c r="B696" s="825"/>
      <c r="C696" s="828"/>
      <c r="D696" s="543"/>
      <c r="E696"/>
      <c r="F696" s="537"/>
      <c r="G696" s="963"/>
      <c r="H696" s="555"/>
      <c r="I696" s="393"/>
    </row>
    <row r="697" spans="1:9" ht="19.5" hidden="1" customHeight="1" outlineLevel="1" x14ac:dyDescent="0.3">
      <c r="A697" s="907"/>
      <c r="B697" s="825"/>
      <c r="C697" s="828"/>
      <c r="D697" s="543"/>
      <c r="E697"/>
      <c r="F697" s="537"/>
      <c r="G697" s="963"/>
      <c r="H697" s="555"/>
      <c r="I697" s="393"/>
    </row>
    <row r="698" spans="1:9" ht="19.5" hidden="1" customHeight="1" outlineLevel="1" x14ac:dyDescent="0.3">
      <c r="A698" s="907"/>
      <c r="B698" s="825"/>
      <c r="C698" s="828"/>
      <c r="D698" s="543"/>
      <c r="E698"/>
      <c r="F698" s="537"/>
      <c r="G698" s="963"/>
      <c r="H698" s="555"/>
      <c r="I698" s="393"/>
    </row>
    <row r="699" spans="1:9" ht="19.5" hidden="1" customHeight="1" outlineLevel="1" x14ac:dyDescent="0.3">
      <c r="A699" s="907"/>
      <c r="B699" s="825"/>
      <c r="C699" s="828"/>
      <c r="D699" s="543"/>
      <c r="E699"/>
      <c r="F699" s="537"/>
      <c r="G699" s="963"/>
      <c r="H699" s="555"/>
      <c r="I699" s="393"/>
    </row>
    <row r="700" spans="1:9" ht="19.5" hidden="1" customHeight="1" outlineLevel="1" x14ac:dyDescent="0.3">
      <c r="A700" s="907"/>
      <c r="B700" s="825"/>
      <c r="C700" s="828"/>
      <c r="D700" s="543"/>
      <c r="E700"/>
      <c r="F700" s="537"/>
      <c r="G700" s="963"/>
      <c r="H700" s="555"/>
      <c r="I700" s="393"/>
    </row>
    <row r="701" spans="1:9" ht="19.5" hidden="1" customHeight="1" outlineLevel="1" x14ac:dyDescent="0.3">
      <c r="A701" s="907"/>
      <c r="B701" s="825"/>
      <c r="C701" s="828"/>
      <c r="D701" s="543"/>
      <c r="E701"/>
      <c r="F701" s="537"/>
      <c r="G701" s="963"/>
      <c r="H701" s="555"/>
      <c r="I701" s="393"/>
    </row>
    <row r="702" spans="1:9" ht="19.5" hidden="1" customHeight="1" outlineLevel="1" x14ac:dyDescent="0.3">
      <c r="A702" s="907"/>
      <c r="B702" s="825"/>
      <c r="C702" s="828"/>
      <c r="D702" s="543"/>
      <c r="E702"/>
      <c r="F702" s="537"/>
      <c r="G702" s="963"/>
      <c r="H702" s="555"/>
      <c r="I702" s="393"/>
    </row>
    <row r="703" spans="1:9" ht="19.5" hidden="1" customHeight="1" outlineLevel="1" x14ac:dyDescent="0.3">
      <c r="A703" s="907"/>
      <c r="B703" s="825"/>
      <c r="C703" s="828"/>
      <c r="D703" s="543"/>
      <c r="E703"/>
      <c r="F703" s="537"/>
      <c r="G703" s="963"/>
      <c r="H703" s="555"/>
      <c r="I703" s="393"/>
    </row>
    <row r="704" spans="1:9" ht="19.5" hidden="1" customHeight="1" outlineLevel="1" x14ac:dyDescent="0.3">
      <c r="A704" s="907"/>
      <c r="B704" s="825"/>
      <c r="C704" s="828"/>
      <c r="D704" s="543"/>
      <c r="E704"/>
      <c r="F704" s="537"/>
      <c r="G704" s="963"/>
      <c r="H704" s="555"/>
      <c r="I704" s="393"/>
    </row>
    <row r="705" spans="1:9" ht="19.5" hidden="1" customHeight="1" outlineLevel="1" x14ac:dyDescent="0.3">
      <c r="A705" s="907"/>
      <c r="B705" s="825"/>
      <c r="C705" s="828"/>
      <c r="D705" s="543"/>
      <c r="E705"/>
      <c r="F705" s="537"/>
      <c r="G705" s="963"/>
      <c r="H705" s="555"/>
      <c r="I705" s="393"/>
    </row>
    <row r="706" spans="1:9" ht="19.5" hidden="1" customHeight="1" outlineLevel="1" x14ac:dyDescent="0.3">
      <c r="A706" s="907"/>
      <c r="B706" s="825"/>
      <c r="C706" s="828"/>
      <c r="D706" s="543"/>
      <c r="E706"/>
      <c r="F706" s="537"/>
      <c r="G706" s="963"/>
      <c r="H706" s="555"/>
      <c r="I706" s="393"/>
    </row>
    <row r="707" spans="1:9" ht="19.5" hidden="1" customHeight="1" outlineLevel="1" x14ac:dyDescent="0.3">
      <c r="A707" s="907"/>
      <c r="B707" s="825"/>
      <c r="C707" s="828"/>
      <c r="D707" s="543"/>
      <c r="E707"/>
      <c r="F707" s="537"/>
      <c r="G707" s="963"/>
      <c r="H707" s="555"/>
      <c r="I707" s="393"/>
    </row>
    <row r="708" spans="1:9" ht="19.5" hidden="1" customHeight="1" outlineLevel="1" x14ac:dyDescent="0.3">
      <c r="A708" s="907"/>
      <c r="B708" s="825"/>
      <c r="C708" s="828"/>
      <c r="D708" s="543"/>
      <c r="E708"/>
      <c r="F708" s="537"/>
      <c r="G708" s="963"/>
      <c r="H708" s="555"/>
      <c r="I708" s="393"/>
    </row>
    <row r="709" spans="1:9" ht="19.5" hidden="1" customHeight="1" outlineLevel="1" x14ac:dyDescent="0.3">
      <c r="A709" s="907"/>
      <c r="B709" s="825"/>
      <c r="C709" s="828"/>
      <c r="D709" s="543"/>
      <c r="E709"/>
      <c r="F709" s="537"/>
      <c r="G709" s="963"/>
      <c r="H709" s="555"/>
      <c r="I709" s="393"/>
    </row>
    <row r="710" spans="1:9" ht="19.5" hidden="1" customHeight="1" outlineLevel="1" x14ac:dyDescent="0.3">
      <c r="A710" s="907"/>
      <c r="B710" s="825"/>
      <c r="C710" s="828"/>
      <c r="D710" s="543"/>
      <c r="E710"/>
      <c r="F710" s="537"/>
      <c r="G710" s="963"/>
      <c r="H710" s="555"/>
      <c r="I710" s="393"/>
    </row>
    <row r="711" spans="1:9" ht="19.5" hidden="1" customHeight="1" outlineLevel="1" x14ac:dyDescent="0.3">
      <c r="A711" s="907"/>
      <c r="B711" s="825"/>
      <c r="C711" s="828"/>
      <c r="D711" s="543"/>
      <c r="E711"/>
      <c r="F711" s="537"/>
      <c r="G711" s="963"/>
      <c r="H711" s="555"/>
      <c r="I711" s="393"/>
    </row>
    <row r="712" spans="1:9" ht="19.5" hidden="1" customHeight="1" outlineLevel="1" x14ac:dyDescent="0.3">
      <c r="A712" s="907"/>
      <c r="B712" s="825"/>
      <c r="C712" s="828"/>
      <c r="D712" s="543"/>
      <c r="E712"/>
      <c r="F712" s="537"/>
      <c r="G712" s="963"/>
      <c r="H712" s="555"/>
      <c r="I712" s="393"/>
    </row>
    <row r="713" spans="1:9" ht="19.5" hidden="1" customHeight="1" outlineLevel="1" x14ac:dyDescent="0.3">
      <c r="A713" s="907"/>
      <c r="B713" s="825"/>
      <c r="C713" s="828"/>
      <c r="D713" s="543"/>
      <c r="E713"/>
      <c r="F713" s="537"/>
      <c r="G713" s="963"/>
      <c r="H713" s="555"/>
      <c r="I713" s="393"/>
    </row>
    <row r="714" spans="1:9" ht="19.5" hidden="1" customHeight="1" outlineLevel="1" x14ac:dyDescent="0.3">
      <c r="A714" s="907"/>
      <c r="B714" s="825"/>
      <c r="C714" s="828"/>
      <c r="D714" s="543"/>
      <c r="E714"/>
      <c r="F714" s="537"/>
      <c r="G714" s="963"/>
      <c r="H714" s="555"/>
      <c r="I714" s="393"/>
    </row>
    <row r="715" spans="1:9" ht="19.5" hidden="1" customHeight="1" outlineLevel="1" x14ac:dyDescent="0.3">
      <c r="A715" s="907"/>
      <c r="B715" s="825"/>
      <c r="C715" s="828"/>
      <c r="D715" s="543"/>
      <c r="E715"/>
      <c r="F715" s="537"/>
      <c r="G715" s="963"/>
      <c r="H715" s="555"/>
      <c r="I715" s="393"/>
    </row>
    <row r="716" spans="1:9" ht="19.5" hidden="1" customHeight="1" outlineLevel="1" x14ac:dyDescent="0.3">
      <c r="A716" s="907"/>
      <c r="B716" s="825"/>
      <c r="C716" s="828"/>
      <c r="D716" s="543"/>
      <c r="E716"/>
      <c r="F716" s="537"/>
      <c r="G716" s="963"/>
      <c r="H716" s="555"/>
      <c r="I716" s="393"/>
    </row>
    <row r="717" spans="1:9" ht="19.5" hidden="1" customHeight="1" outlineLevel="1" x14ac:dyDescent="0.3">
      <c r="A717" s="907"/>
      <c r="B717" s="825"/>
      <c r="C717" s="828"/>
      <c r="D717" s="543"/>
      <c r="E717"/>
      <c r="F717" s="537"/>
      <c r="G717" s="963"/>
      <c r="H717" s="555"/>
      <c r="I717" s="393"/>
    </row>
    <row r="718" spans="1:9" ht="19.5" hidden="1" customHeight="1" outlineLevel="1" x14ac:dyDescent="0.3">
      <c r="A718" s="907"/>
      <c r="B718" s="825"/>
      <c r="C718" s="828"/>
      <c r="D718" s="543"/>
      <c r="E718"/>
      <c r="F718" s="537"/>
      <c r="G718" s="963"/>
      <c r="H718" s="555"/>
      <c r="I718" s="393"/>
    </row>
    <row r="719" spans="1:9" ht="19.5" hidden="1" customHeight="1" outlineLevel="1" x14ac:dyDescent="0.3">
      <c r="A719" s="907"/>
      <c r="B719" s="825"/>
      <c r="C719" s="828"/>
      <c r="D719" s="543"/>
      <c r="E719"/>
      <c r="F719" s="537"/>
      <c r="G719" s="963"/>
      <c r="H719" s="555"/>
      <c r="I719" s="393"/>
    </row>
    <row r="720" spans="1:9" ht="19.5" hidden="1" customHeight="1" outlineLevel="1" x14ac:dyDescent="0.3">
      <c r="A720" s="907"/>
      <c r="B720" s="825"/>
      <c r="C720" s="828"/>
      <c r="D720" s="543"/>
      <c r="E720"/>
      <c r="F720" s="537"/>
      <c r="G720" s="963"/>
      <c r="H720" s="555"/>
      <c r="I720" s="393"/>
    </row>
    <row r="721" spans="1:9" ht="19.5" hidden="1" customHeight="1" outlineLevel="1" x14ac:dyDescent="0.3">
      <c r="A721" s="907"/>
      <c r="B721" s="825"/>
      <c r="C721" s="828"/>
      <c r="D721" s="543"/>
      <c r="E721"/>
      <c r="F721" s="537"/>
      <c r="G721" s="963"/>
      <c r="H721" s="555"/>
      <c r="I721" s="393"/>
    </row>
    <row r="722" spans="1:9" ht="19.5" hidden="1" customHeight="1" outlineLevel="1" x14ac:dyDescent="0.3">
      <c r="A722" s="907"/>
      <c r="B722" s="825"/>
      <c r="C722" s="828"/>
      <c r="D722" s="543"/>
      <c r="E722"/>
      <c r="F722" s="537"/>
      <c r="G722" s="963"/>
      <c r="H722" s="555"/>
      <c r="I722" s="393"/>
    </row>
    <row r="723" spans="1:9" ht="19.5" hidden="1" customHeight="1" outlineLevel="1" x14ac:dyDescent="0.3">
      <c r="A723" s="907"/>
      <c r="B723" s="825"/>
      <c r="C723" s="828"/>
      <c r="D723" s="543"/>
      <c r="E723"/>
      <c r="F723" s="537"/>
      <c r="G723" s="963"/>
      <c r="H723" s="555"/>
      <c r="I723" s="393"/>
    </row>
    <row r="724" spans="1:9" ht="19.5" hidden="1" customHeight="1" outlineLevel="1" x14ac:dyDescent="0.3">
      <c r="A724" s="907"/>
      <c r="B724" s="825"/>
      <c r="C724" s="828"/>
      <c r="D724" s="543"/>
      <c r="E724"/>
      <c r="F724" s="537"/>
      <c r="G724" s="963"/>
      <c r="H724" s="555"/>
      <c r="I724" s="393"/>
    </row>
    <row r="725" spans="1:9" ht="19.5" hidden="1" customHeight="1" outlineLevel="1" x14ac:dyDescent="0.3">
      <c r="A725" s="907"/>
      <c r="B725" s="825"/>
      <c r="C725" s="828"/>
      <c r="D725" s="543"/>
      <c r="E725"/>
      <c r="F725" s="537"/>
      <c r="G725" s="963"/>
      <c r="H725" s="555"/>
      <c r="I725" s="393"/>
    </row>
    <row r="726" spans="1:9" ht="19.5" hidden="1" customHeight="1" outlineLevel="1" x14ac:dyDescent="0.3">
      <c r="A726" s="907"/>
      <c r="B726" s="825"/>
      <c r="C726" s="828"/>
      <c r="D726" s="543"/>
      <c r="E726"/>
      <c r="F726" s="537"/>
      <c r="G726" s="963"/>
      <c r="H726" s="555"/>
      <c r="I726" s="393"/>
    </row>
    <row r="727" spans="1:9" ht="19.5" hidden="1" customHeight="1" outlineLevel="1" x14ac:dyDescent="0.3">
      <c r="A727" s="907"/>
      <c r="B727" s="825"/>
      <c r="C727" s="828"/>
      <c r="D727" s="543"/>
      <c r="E727"/>
      <c r="F727" s="537"/>
      <c r="G727" s="963"/>
      <c r="H727" s="555"/>
      <c r="I727" s="393"/>
    </row>
    <row r="728" spans="1:9" ht="19.5" hidden="1" customHeight="1" outlineLevel="1" x14ac:dyDescent="0.3">
      <c r="A728" s="907"/>
      <c r="B728" s="825"/>
      <c r="C728" s="828"/>
      <c r="D728" s="543"/>
      <c r="E728"/>
      <c r="F728" s="537"/>
      <c r="G728" s="963"/>
      <c r="H728" s="555"/>
      <c r="I728" s="393"/>
    </row>
    <row r="729" spans="1:9" ht="19.5" hidden="1" customHeight="1" outlineLevel="1" x14ac:dyDescent="0.3">
      <c r="A729" s="907"/>
      <c r="B729" s="825"/>
      <c r="C729" s="828"/>
      <c r="D729" s="543"/>
      <c r="E729"/>
      <c r="F729" s="537"/>
      <c r="G729" s="963"/>
      <c r="H729" s="555"/>
      <c r="I729" s="393"/>
    </row>
    <row r="730" spans="1:9" ht="19.5" hidden="1" customHeight="1" outlineLevel="1" x14ac:dyDescent="0.3">
      <c r="A730" s="907"/>
      <c r="B730" s="825"/>
      <c r="C730" s="828"/>
      <c r="D730" s="543"/>
      <c r="E730"/>
      <c r="F730" s="537"/>
      <c r="G730" s="963"/>
      <c r="H730" s="555"/>
      <c r="I730" s="393"/>
    </row>
    <row r="731" spans="1:9" ht="19.5" hidden="1" customHeight="1" outlineLevel="1" x14ac:dyDescent="0.3">
      <c r="A731" s="907"/>
      <c r="B731" s="825"/>
      <c r="C731" s="828"/>
      <c r="D731" s="543"/>
      <c r="E731"/>
      <c r="F731" s="537"/>
      <c r="G731" s="963"/>
      <c r="H731" s="555"/>
      <c r="I731" s="393"/>
    </row>
    <row r="732" spans="1:9" ht="19.5" hidden="1" customHeight="1" outlineLevel="1" x14ac:dyDescent="0.3">
      <c r="A732" s="907"/>
      <c r="B732" s="825"/>
      <c r="C732" s="828"/>
      <c r="D732" s="543"/>
      <c r="E732"/>
      <c r="F732" s="537"/>
      <c r="G732" s="963"/>
      <c r="H732" s="555"/>
      <c r="I732" s="393"/>
    </row>
    <row r="733" spans="1:9" ht="19.5" hidden="1" customHeight="1" outlineLevel="1" x14ac:dyDescent="0.3">
      <c r="A733" s="907"/>
      <c r="B733" s="825"/>
      <c r="C733" s="828"/>
      <c r="D733" s="543"/>
      <c r="E733"/>
      <c r="F733" s="537"/>
      <c r="G733" s="963"/>
      <c r="H733" s="555"/>
      <c r="I733" s="393"/>
    </row>
    <row r="734" spans="1:9" ht="19.5" hidden="1" customHeight="1" outlineLevel="1" x14ac:dyDescent="0.3">
      <c r="A734" s="907"/>
      <c r="B734" s="825"/>
      <c r="C734" s="828"/>
      <c r="D734" s="543"/>
      <c r="E734"/>
      <c r="F734" s="537"/>
      <c r="G734" s="963"/>
      <c r="H734" s="555"/>
      <c r="I734" s="393"/>
    </row>
    <row r="735" spans="1:9" ht="19.5" customHeight="1" collapsed="1" x14ac:dyDescent="0.3">
      <c r="A735" s="907"/>
      <c r="B735" s="825" t="s">
        <v>937</v>
      </c>
      <c r="C735" s="828"/>
      <c r="D735" s="543"/>
      <c r="E735"/>
      <c r="F735" s="537"/>
      <c r="G735" s="963"/>
      <c r="H735" s="555"/>
      <c r="I735" s="393"/>
    </row>
    <row r="736" spans="1:9" ht="19.5" customHeight="1" x14ac:dyDescent="0.3">
      <c r="A736" s="907"/>
      <c r="B736" s="827"/>
      <c r="C736" s="828"/>
      <c r="D736" s="543"/>
      <c r="E736"/>
      <c r="F736" s="537"/>
      <c r="G736" s="963"/>
      <c r="H736" s="555"/>
      <c r="I736" s="393"/>
    </row>
    <row r="737" spans="1:9" ht="19.5" customHeight="1" x14ac:dyDescent="0.3">
      <c r="A737" s="907"/>
      <c r="B737" s="827"/>
      <c r="C737" s="828"/>
      <c r="D737" s="543"/>
      <c r="E737" s="837"/>
      <c r="F737" s="750"/>
      <c r="G737"/>
      <c r="H737" s="555"/>
      <c r="I737" s="393">
        <f>ROUND(H737/2080,2)</f>
        <v>0</v>
      </c>
    </row>
    <row r="738" spans="1:9" ht="19.5" customHeight="1" x14ac:dyDescent="0.3">
      <c r="A738" s="907"/>
      <c r="B738" s="827"/>
      <c r="C738" s="828"/>
      <c r="D738" s="543"/>
      <c r="E738" s="835"/>
      <c r="F738" s="750"/>
      <c r="G738" s="970">
        <v>0</v>
      </c>
      <c r="H738" s="555"/>
      <c r="I738" s="393">
        <f>ROUND(H738/2080,2)</f>
        <v>0</v>
      </c>
    </row>
    <row r="739" spans="1:9" ht="19.5" customHeight="1" x14ac:dyDescent="0.3">
      <c r="A739" s="907"/>
      <c r="B739" s="827"/>
      <c r="C739" s="542"/>
      <c r="D739" s="543"/>
      <c r="E739" s="479"/>
      <c r="F739" s="394"/>
      <c r="G739" s="477"/>
      <c r="H739" s="999"/>
      <c r="I739" s="393"/>
    </row>
    <row r="740" spans="1:9" ht="19.5" customHeight="1" thickBot="1" x14ac:dyDescent="0.35">
      <c r="A740" s="912"/>
      <c r="B740" s="1482" t="s">
        <v>278</v>
      </c>
      <c r="C740" s="1483"/>
      <c r="D740" s="1484"/>
      <c r="E740" s="522"/>
      <c r="F740" s="751">
        <f>+'MEDICAL DETAIL LIST'!E678</f>
        <v>12097011.910783837</v>
      </c>
      <c r="G740" s="751">
        <f>+'MEDICAL DETAIL LIST'!F678</f>
        <v>9448</v>
      </c>
      <c r="H740" s="1000">
        <f>+'MEDICAL DETAIL LIST'!G678</f>
        <v>433009.4015429999</v>
      </c>
      <c r="I740" s="752">
        <f>ROUND(H740/2080,2)</f>
        <v>208.18</v>
      </c>
    </row>
    <row r="741" spans="1:9" ht="19.5" customHeight="1" thickTop="1" x14ac:dyDescent="0.25">
      <c r="H741" s="1001"/>
    </row>
    <row r="742" spans="1:9" ht="19.5" customHeight="1" thickBot="1" x14ac:dyDescent="0.35">
      <c r="E742" s="803" t="s">
        <v>711</v>
      </c>
      <c r="F742" s="808">
        <f>+F740+F486+F407+F106+F66</f>
        <v>36674536.910783835</v>
      </c>
      <c r="G742" s="808">
        <f>+G740+G486+G407+G106+G66</f>
        <v>357104</v>
      </c>
      <c r="H742" s="1002">
        <f>+H740+H486+H407+H106+H66</f>
        <v>841214.4015429999</v>
      </c>
      <c r="I742" s="809">
        <v>435.43</v>
      </c>
    </row>
    <row r="743" spans="1:9" ht="19.5" customHeight="1" thickTop="1" x14ac:dyDescent="0.25"/>
    <row r="744" spans="1:9" ht="19.5" customHeight="1" x14ac:dyDescent="0.3">
      <c r="E744" s="149"/>
      <c r="G744" s="811"/>
    </row>
    <row r="745" spans="1:9" ht="19.5" customHeight="1" x14ac:dyDescent="0.3">
      <c r="E745" s="149"/>
      <c r="G745" s="851"/>
    </row>
  </sheetData>
  <mergeCells count="104">
    <mergeCell ref="B407:D407"/>
    <mergeCell ref="B83:D83"/>
    <mergeCell ref="B106:D106"/>
    <mergeCell ref="B84:D84"/>
    <mergeCell ref="B61:D61"/>
    <mergeCell ref="B75:D75"/>
    <mergeCell ref="B70:D70"/>
    <mergeCell ref="B77:D77"/>
    <mergeCell ref="B71:D71"/>
    <mergeCell ref="B72:D72"/>
    <mergeCell ref="B740:D740"/>
    <mergeCell ref="B486:D486"/>
    <mergeCell ref="B488:D488"/>
    <mergeCell ref="B410:D410"/>
    <mergeCell ref="B82:D82"/>
    <mergeCell ref="B108:D108"/>
    <mergeCell ref="B85:D85"/>
    <mergeCell ref="B86:D86"/>
    <mergeCell ref="B93:D93"/>
    <mergeCell ref="B105:D105"/>
    <mergeCell ref="B68:D68"/>
    <mergeCell ref="B48:D48"/>
    <mergeCell ref="B55:D55"/>
    <mergeCell ref="B49:D49"/>
    <mergeCell ref="B50:D50"/>
    <mergeCell ref="B51:D51"/>
    <mergeCell ref="B58:D58"/>
    <mergeCell ref="B65:D65"/>
    <mergeCell ref="B57:D57"/>
    <mergeCell ref="B63:D63"/>
    <mergeCell ref="B34:D34"/>
    <mergeCell ref="B64:D64"/>
    <mergeCell ref="B56:D56"/>
    <mergeCell ref="B25:D25"/>
    <mergeCell ref="B36:D36"/>
    <mergeCell ref="B37:D37"/>
    <mergeCell ref="B44:D44"/>
    <mergeCell ref="B45:D45"/>
    <mergeCell ref="B46:D46"/>
    <mergeCell ref="B47:D47"/>
    <mergeCell ref="B53:D53"/>
    <mergeCell ref="B59:D59"/>
    <mergeCell ref="B60:D60"/>
    <mergeCell ref="B41:D41"/>
    <mergeCell ref="B42:D42"/>
    <mergeCell ref="B54:D54"/>
    <mergeCell ref="B52:D52"/>
    <mergeCell ref="B19:D19"/>
    <mergeCell ref="B33:D33"/>
    <mergeCell ref="B43:D43"/>
    <mergeCell ref="B38:D38"/>
    <mergeCell ref="B26:D26"/>
    <mergeCell ref="B22:D22"/>
    <mergeCell ref="B39:D39"/>
    <mergeCell ref="B20:D20"/>
    <mergeCell ref="B35:D35"/>
    <mergeCell ref="B27:D27"/>
    <mergeCell ref="H13:I13"/>
    <mergeCell ref="B28:D28"/>
    <mergeCell ref="B40:D40"/>
    <mergeCell ref="B29:D29"/>
    <mergeCell ref="B30:D30"/>
    <mergeCell ref="B31:D31"/>
    <mergeCell ref="B32:D32"/>
    <mergeCell ref="B24:D24"/>
    <mergeCell ref="B17:D17"/>
    <mergeCell ref="B18:D18"/>
    <mergeCell ref="B76:D76"/>
    <mergeCell ref="A1:I1"/>
    <mergeCell ref="A2:I2"/>
    <mergeCell ref="A3:I3"/>
    <mergeCell ref="A4:I4"/>
    <mergeCell ref="C8:H8"/>
    <mergeCell ref="B23:D23"/>
    <mergeCell ref="A12:I12"/>
    <mergeCell ref="A13:D15"/>
    <mergeCell ref="B21:D21"/>
    <mergeCell ref="B92:D92"/>
    <mergeCell ref="B80:D80"/>
    <mergeCell ref="B66:D66"/>
    <mergeCell ref="B67:D67"/>
    <mergeCell ref="B69:D69"/>
    <mergeCell ref="B73:D73"/>
    <mergeCell ref="B81:D81"/>
    <mergeCell ref="B78:D78"/>
    <mergeCell ref="B79:D79"/>
    <mergeCell ref="B74:D74"/>
    <mergeCell ref="B103:D103"/>
    <mergeCell ref="B104:D104"/>
    <mergeCell ref="B96:D96"/>
    <mergeCell ref="B97:D97"/>
    <mergeCell ref="B98:D98"/>
    <mergeCell ref="B99:D99"/>
    <mergeCell ref="B100:D100"/>
    <mergeCell ref="B94:D94"/>
    <mergeCell ref="B95:D95"/>
    <mergeCell ref="B101:D101"/>
    <mergeCell ref="B62:D62"/>
    <mergeCell ref="B102:D102"/>
    <mergeCell ref="B87:D87"/>
    <mergeCell ref="B88:D88"/>
    <mergeCell ref="B89:D89"/>
    <mergeCell ref="B90:D90"/>
    <mergeCell ref="B91:D91"/>
  </mergeCells>
  <pageMargins left="0.7" right="0.7" top="0.75" bottom="0.75" header="0.3" footer="0.3"/>
  <pageSetup scale="54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8A826-4E0D-4367-92CE-DB4297645158}">
  <dimension ref="B2:P729"/>
  <sheetViews>
    <sheetView workbookViewId="0">
      <selection activeCell="N24" sqref="N24"/>
    </sheetView>
  </sheetViews>
  <sheetFormatPr defaultRowHeight="12.5" x14ac:dyDescent="0.25"/>
  <cols>
    <col min="3" max="3" width="19.54296875" customWidth="1"/>
    <col min="4" max="4" width="28.54296875" customWidth="1"/>
    <col min="5" max="5" width="18" customWidth="1"/>
    <col min="6" max="6" width="14.26953125" customWidth="1"/>
    <col min="7" max="7" width="17.1796875" customWidth="1"/>
  </cols>
  <sheetData>
    <row r="2" spans="2:8" ht="15.5" x14ac:dyDescent="0.35">
      <c r="C2" s="606" t="s">
        <v>1063</v>
      </c>
    </row>
    <row r="3" spans="2:8" ht="13" x14ac:dyDescent="0.3">
      <c r="C3" s="534"/>
    </row>
    <row r="4" spans="2:8" ht="13" x14ac:dyDescent="0.3">
      <c r="C4" s="534"/>
    </row>
    <row r="5" spans="2:8" ht="13" x14ac:dyDescent="0.3">
      <c r="D5" s="534" t="s">
        <v>1064</v>
      </c>
      <c r="E5" s="534"/>
    </row>
    <row r="7" spans="2:8" ht="13" x14ac:dyDescent="0.3">
      <c r="B7" s="1105" t="s">
        <v>1096</v>
      </c>
      <c r="C7" s="1092" t="s">
        <v>1026</v>
      </c>
      <c r="D7" s="1093" t="s">
        <v>1065</v>
      </c>
      <c r="E7" s="1094" t="s">
        <v>1185</v>
      </c>
      <c r="F7" s="1094" t="s">
        <v>1066</v>
      </c>
      <c r="G7" s="1094" t="s">
        <v>848</v>
      </c>
      <c r="H7" s="1095" t="s">
        <v>203</v>
      </c>
    </row>
    <row r="8" spans="2:8" ht="13" x14ac:dyDescent="0.3">
      <c r="B8" s="579">
        <v>1</v>
      </c>
      <c r="C8" s="1079" t="s">
        <v>513</v>
      </c>
      <c r="D8" s="1079" t="s">
        <v>23</v>
      </c>
      <c r="E8" s="537">
        <v>127830.26567123766</v>
      </c>
      <c r="F8" s="537">
        <v>1665</v>
      </c>
      <c r="G8" s="537">
        <v>1260.8</v>
      </c>
      <c r="H8" s="1096">
        <f t="shared" ref="H8:H54" si="0">+G8/2080</f>
        <v>0.60615384615384615</v>
      </c>
    </row>
    <row r="9" spans="2:8" ht="13" x14ac:dyDescent="0.3">
      <c r="B9" s="579">
        <f>+B8+1</f>
        <v>2</v>
      </c>
      <c r="C9" s="1079" t="s">
        <v>513</v>
      </c>
      <c r="D9" s="1079" t="s">
        <v>23</v>
      </c>
      <c r="E9" s="537">
        <v>253600</v>
      </c>
      <c r="F9" s="537">
        <v>3161</v>
      </c>
      <c r="G9" s="537">
        <v>1872</v>
      </c>
      <c r="H9" s="1096">
        <f t="shared" si="0"/>
        <v>0.9</v>
      </c>
    </row>
    <row r="10" spans="2:8" ht="13" x14ac:dyDescent="0.3">
      <c r="B10" s="579">
        <f t="shared" ref="B10:B54" si="1">+B9+1</f>
        <v>3</v>
      </c>
      <c r="C10" s="1079" t="s">
        <v>513</v>
      </c>
      <c r="D10" s="1079" t="s">
        <v>23</v>
      </c>
      <c r="E10" s="537">
        <v>115481.5203417235</v>
      </c>
      <c r="F10" s="537">
        <v>1047</v>
      </c>
      <c r="G10" s="537">
        <v>928</v>
      </c>
      <c r="H10" s="1096">
        <f t="shared" si="0"/>
        <v>0.44615384615384618</v>
      </c>
    </row>
    <row r="11" spans="2:8" ht="13" x14ac:dyDescent="0.3">
      <c r="B11" s="579">
        <f t="shared" si="1"/>
        <v>4</v>
      </c>
      <c r="C11" s="1079" t="s">
        <v>513</v>
      </c>
      <c r="D11" s="1079" t="s">
        <v>23</v>
      </c>
      <c r="E11" s="537">
        <v>302918</v>
      </c>
      <c r="F11" s="537">
        <v>4153</v>
      </c>
      <c r="G11" s="537">
        <v>2096</v>
      </c>
      <c r="H11" s="1096">
        <f t="shared" si="0"/>
        <v>1.0076923076923077</v>
      </c>
    </row>
    <row r="12" spans="2:8" ht="13" x14ac:dyDescent="0.3">
      <c r="B12" s="579">
        <f t="shared" si="1"/>
        <v>5</v>
      </c>
      <c r="C12" s="1079" t="s">
        <v>513</v>
      </c>
      <c r="D12" s="1079" t="s">
        <v>23</v>
      </c>
      <c r="E12" s="537">
        <v>152431.391292913</v>
      </c>
      <c r="F12" s="537">
        <v>2033</v>
      </c>
      <c r="G12" s="537">
        <v>1466.3</v>
      </c>
      <c r="H12" s="1096">
        <f t="shared" si="0"/>
        <v>0.704951923076923</v>
      </c>
    </row>
    <row r="13" spans="2:8" ht="13" x14ac:dyDescent="0.3">
      <c r="B13" s="579">
        <f t="shared" si="1"/>
        <v>6</v>
      </c>
      <c r="C13" s="1079" t="s">
        <v>513</v>
      </c>
      <c r="D13" s="1079" t="s">
        <v>23</v>
      </c>
      <c r="E13" s="537">
        <v>206025</v>
      </c>
      <c r="F13" s="537">
        <v>2971</v>
      </c>
      <c r="G13" s="537">
        <v>1604</v>
      </c>
      <c r="H13" s="1096">
        <f t="shared" si="0"/>
        <v>0.77115384615384619</v>
      </c>
    </row>
    <row r="14" spans="2:8" ht="13" x14ac:dyDescent="0.3">
      <c r="B14" s="579">
        <f t="shared" si="1"/>
        <v>7</v>
      </c>
      <c r="C14" s="1079" t="s">
        <v>513</v>
      </c>
      <c r="D14" s="1079" t="s">
        <v>23</v>
      </c>
      <c r="E14" s="537">
        <v>131950.99775851282</v>
      </c>
      <c r="F14" s="537">
        <v>1333</v>
      </c>
      <c r="G14" s="537">
        <v>1066.73</v>
      </c>
      <c r="H14" s="1096">
        <f t="shared" si="0"/>
        <v>0.51285096153846155</v>
      </c>
    </row>
    <row r="15" spans="2:8" ht="13" x14ac:dyDescent="0.3">
      <c r="B15" s="579">
        <f t="shared" si="1"/>
        <v>8</v>
      </c>
      <c r="C15" s="1079" t="s">
        <v>513</v>
      </c>
      <c r="D15" s="1079" t="s">
        <v>23</v>
      </c>
      <c r="E15" s="537">
        <v>25724.268476400597</v>
      </c>
      <c r="F15" s="537">
        <v>0</v>
      </c>
      <c r="G15" s="537">
        <v>165</v>
      </c>
      <c r="H15" s="1096">
        <f t="shared" si="0"/>
        <v>7.9326923076923073E-2</v>
      </c>
    </row>
    <row r="16" spans="2:8" ht="13" x14ac:dyDescent="0.3">
      <c r="B16" s="579">
        <f t="shared" si="1"/>
        <v>9</v>
      </c>
      <c r="C16" s="1079" t="s">
        <v>513</v>
      </c>
      <c r="D16" s="1079" t="s">
        <v>23</v>
      </c>
      <c r="E16" s="537">
        <v>97509.62575073741</v>
      </c>
      <c r="F16" s="537">
        <v>1101</v>
      </c>
      <c r="G16" s="537">
        <v>921</v>
      </c>
      <c r="H16" s="1096">
        <f t="shared" si="0"/>
        <v>0.44278846153846152</v>
      </c>
    </row>
    <row r="17" spans="2:8" ht="13" x14ac:dyDescent="0.3">
      <c r="B17" s="579">
        <f t="shared" si="1"/>
        <v>10</v>
      </c>
      <c r="C17" s="1079" t="s">
        <v>513</v>
      </c>
      <c r="D17" s="1079" t="s">
        <v>23</v>
      </c>
      <c r="E17" s="537">
        <v>244787.32130906201</v>
      </c>
      <c r="F17" s="537">
        <v>1244</v>
      </c>
      <c r="G17" s="537">
        <v>1730</v>
      </c>
      <c r="H17" s="1096">
        <f t="shared" si="0"/>
        <v>0.83173076923076927</v>
      </c>
    </row>
    <row r="18" spans="2:8" ht="13" x14ac:dyDescent="0.3">
      <c r="B18" s="579">
        <f t="shared" si="1"/>
        <v>11</v>
      </c>
      <c r="C18" s="1079" t="s">
        <v>513</v>
      </c>
      <c r="D18" s="1079" t="s">
        <v>23</v>
      </c>
      <c r="E18" s="537">
        <v>280934.32349887147</v>
      </c>
      <c r="F18" s="537">
        <v>2566</v>
      </c>
      <c r="G18" s="537">
        <v>1858</v>
      </c>
      <c r="H18" s="1096">
        <f t="shared" si="0"/>
        <v>0.89326923076923082</v>
      </c>
    </row>
    <row r="19" spans="2:8" ht="13" x14ac:dyDescent="0.3">
      <c r="B19" s="579">
        <f t="shared" si="1"/>
        <v>12</v>
      </c>
      <c r="C19" s="1079" t="s">
        <v>513</v>
      </c>
      <c r="D19" s="1079" t="s">
        <v>23</v>
      </c>
      <c r="E19" s="537">
        <v>252955</v>
      </c>
      <c r="F19" s="537">
        <v>3823</v>
      </c>
      <c r="G19" s="537">
        <v>2150</v>
      </c>
      <c r="H19" s="1096">
        <f t="shared" si="0"/>
        <v>1.0336538461538463</v>
      </c>
    </row>
    <row r="20" spans="2:8" ht="13" x14ac:dyDescent="0.3">
      <c r="B20" s="579">
        <f t="shared" si="1"/>
        <v>13</v>
      </c>
      <c r="C20" s="1079" t="s">
        <v>513</v>
      </c>
      <c r="D20" s="1079" t="s">
        <v>23</v>
      </c>
      <c r="E20" s="537">
        <v>199334</v>
      </c>
      <c r="F20" s="537">
        <v>2092</v>
      </c>
      <c r="G20" s="537">
        <v>1854</v>
      </c>
      <c r="H20" s="1096">
        <f t="shared" si="0"/>
        <v>0.8913461538461539</v>
      </c>
    </row>
    <row r="21" spans="2:8" ht="13" x14ac:dyDescent="0.3">
      <c r="B21" s="579">
        <f t="shared" si="1"/>
        <v>14</v>
      </c>
      <c r="C21" s="1079" t="s">
        <v>513</v>
      </c>
      <c r="D21" s="1079" t="s">
        <v>23</v>
      </c>
      <c r="E21" s="537">
        <v>42034.173465889849</v>
      </c>
      <c r="F21" s="537">
        <v>294</v>
      </c>
      <c r="G21" s="537">
        <v>288</v>
      </c>
      <c r="H21" s="1096">
        <f t="shared" si="0"/>
        <v>0.13846153846153847</v>
      </c>
    </row>
    <row r="22" spans="2:8" ht="13" x14ac:dyDescent="0.3">
      <c r="B22" s="579">
        <f t="shared" si="1"/>
        <v>15</v>
      </c>
      <c r="C22" s="1079" t="s">
        <v>513</v>
      </c>
      <c r="D22" s="1079" t="s">
        <v>23</v>
      </c>
      <c r="E22" s="1217">
        <v>170766.79083398922</v>
      </c>
      <c r="F22" s="537">
        <v>3434</v>
      </c>
      <c r="G22" s="537">
        <v>1992</v>
      </c>
      <c r="H22" s="1096">
        <f t="shared" si="0"/>
        <v>0.95769230769230773</v>
      </c>
    </row>
    <row r="23" spans="2:8" ht="13" x14ac:dyDescent="0.3">
      <c r="B23" s="579">
        <f t="shared" si="1"/>
        <v>16</v>
      </c>
      <c r="C23" s="1079" t="s">
        <v>513</v>
      </c>
      <c r="D23" s="1079" t="s">
        <v>23</v>
      </c>
      <c r="E23" s="537">
        <v>10953.995573386745</v>
      </c>
      <c r="F23" s="537">
        <v>40</v>
      </c>
      <c r="G23" s="537">
        <v>97.02</v>
      </c>
      <c r="H23" s="1096">
        <f t="shared" si="0"/>
        <v>4.6644230769230764E-2</v>
      </c>
    </row>
    <row r="24" spans="2:8" ht="13" x14ac:dyDescent="0.3">
      <c r="B24" s="579">
        <f t="shared" si="1"/>
        <v>17</v>
      </c>
      <c r="C24" s="1079" t="s">
        <v>513</v>
      </c>
      <c r="D24" s="1079" t="s">
        <v>23</v>
      </c>
      <c r="E24" s="537">
        <v>246492</v>
      </c>
      <c r="F24" s="537">
        <v>2858</v>
      </c>
      <c r="G24" s="537">
        <v>1702</v>
      </c>
      <c r="H24" s="1096">
        <f t="shared" si="0"/>
        <v>0.81826923076923075</v>
      </c>
    </row>
    <row r="25" spans="2:8" ht="13" x14ac:dyDescent="0.3">
      <c r="B25" s="579">
        <f t="shared" si="1"/>
        <v>18</v>
      </c>
      <c r="C25" s="1079" t="s">
        <v>513</v>
      </c>
      <c r="D25" s="1079" t="s">
        <v>23</v>
      </c>
      <c r="E25" s="537">
        <v>85727.978123153589</v>
      </c>
      <c r="F25" s="537">
        <v>1451</v>
      </c>
      <c r="G25" s="537">
        <v>1035.8</v>
      </c>
      <c r="H25" s="1096">
        <f t="shared" si="0"/>
        <v>0.49798076923076923</v>
      </c>
    </row>
    <row r="26" spans="2:8" ht="13" x14ac:dyDescent="0.3">
      <c r="B26" s="579">
        <f t="shared" si="1"/>
        <v>19</v>
      </c>
      <c r="C26" s="1079" t="s">
        <v>513</v>
      </c>
      <c r="D26" s="1079" t="s">
        <v>23</v>
      </c>
      <c r="E26" s="537">
        <v>296125.80245388119</v>
      </c>
      <c r="F26" s="537">
        <v>1898</v>
      </c>
      <c r="G26" s="537">
        <v>2012</v>
      </c>
      <c r="H26" s="1096">
        <f t="shared" si="0"/>
        <v>0.96730769230769231</v>
      </c>
    </row>
    <row r="27" spans="2:8" ht="13" x14ac:dyDescent="0.3">
      <c r="B27" s="579">
        <f t="shared" si="1"/>
        <v>20</v>
      </c>
      <c r="C27" s="1079" t="s">
        <v>513</v>
      </c>
      <c r="D27" s="1079" t="s">
        <v>23</v>
      </c>
      <c r="E27" s="537">
        <v>145670.80881029286</v>
      </c>
      <c r="F27" s="537">
        <v>1819</v>
      </c>
      <c r="G27" s="537">
        <v>1320</v>
      </c>
      <c r="H27" s="1096">
        <f t="shared" si="0"/>
        <v>0.63461538461538458</v>
      </c>
    </row>
    <row r="28" spans="2:8" ht="13" x14ac:dyDescent="0.3">
      <c r="B28" s="579">
        <f t="shared" si="1"/>
        <v>21</v>
      </c>
      <c r="C28" s="1079" t="s">
        <v>513</v>
      </c>
      <c r="D28" s="1079" t="s">
        <v>23</v>
      </c>
      <c r="E28" s="537">
        <v>87964.210609792193</v>
      </c>
      <c r="F28" s="537">
        <v>803</v>
      </c>
      <c r="G28" s="537">
        <v>665.1</v>
      </c>
      <c r="H28" s="1096">
        <f t="shared" si="0"/>
        <v>0.31975961538461539</v>
      </c>
    </row>
    <row r="29" spans="2:8" ht="13" x14ac:dyDescent="0.3">
      <c r="B29" s="579">
        <f t="shared" si="1"/>
        <v>22</v>
      </c>
      <c r="C29" s="1079" t="s">
        <v>513</v>
      </c>
      <c r="D29" s="1079" t="s">
        <v>23</v>
      </c>
      <c r="E29" s="537">
        <v>22220.680353325282</v>
      </c>
      <c r="F29" s="537">
        <v>1428</v>
      </c>
      <c r="G29" s="537">
        <v>328</v>
      </c>
      <c r="H29" s="1096">
        <f t="shared" si="0"/>
        <v>0.15769230769230769</v>
      </c>
    </row>
    <row r="30" spans="2:8" ht="13" x14ac:dyDescent="0.3">
      <c r="B30" s="579">
        <f t="shared" si="1"/>
        <v>23</v>
      </c>
      <c r="C30" s="1079" t="s">
        <v>513</v>
      </c>
      <c r="D30" s="1079" t="s">
        <v>23</v>
      </c>
      <c r="E30" s="537">
        <v>238147</v>
      </c>
      <c r="F30" s="537">
        <v>3415</v>
      </c>
      <c r="G30" s="537">
        <v>1604</v>
      </c>
      <c r="H30" s="1096">
        <f t="shared" si="0"/>
        <v>0.77115384615384619</v>
      </c>
    </row>
    <row r="31" spans="2:8" ht="13" x14ac:dyDescent="0.3">
      <c r="B31" s="579">
        <f t="shared" si="1"/>
        <v>24</v>
      </c>
      <c r="C31" s="1079" t="s">
        <v>513</v>
      </c>
      <c r="D31" s="1079" t="s">
        <v>23</v>
      </c>
      <c r="E31" s="537">
        <v>262449.14492846315</v>
      </c>
      <c r="F31" s="537">
        <v>3583</v>
      </c>
      <c r="G31" s="537">
        <v>2109</v>
      </c>
      <c r="H31" s="1096">
        <f t="shared" si="0"/>
        <v>1.0139423076923078</v>
      </c>
    </row>
    <row r="32" spans="2:8" ht="13" x14ac:dyDescent="0.3">
      <c r="B32" s="579">
        <f t="shared" si="1"/>
        <v>25</v>
      </c>
      <c r="C32" s="1079" t="s">
        <v>513</v>
      </c>
      <c r="D32" s="1079" t="s">
        <v>23</v>
      </c>
      <c r="E32" s="537">
        <v>52683.134672361033</v>
      </c>
      <c r="F32" s="537">
        <v>534</v>
      </c>
      <c r="G32" s="537">
        <v>479</v>
      </c>
      <c r="H32" s="1096">
        <f t="shared" si="0"/>
        <v>0.23028846153846153</v>
      </c>
    </row>
    <row r="33" spans="2:8" ht="13" x14ac:dyDescent="0.3">
      <c r="B33" s="579">
        <f t="shared" si="1"/>
        <v>26</v>
      </c>
      <c r="C33" s="1079" t="s">
        <v>513</v>
      </c>
      <c r="D33" s="1079" t="s">
        <v>23</v>
      </c>
      <c r="E33" s="537">
        <v>254893.96810641998</v>
      </c>
      <c r="F33" s="537">
        <v>3003</v>
      </c>
      <c r="G33" s="537">
        <v>2084</v>
      </c>
      <c r="H33" s="1096">
        <f t="shared" si="0"/>
        <v>1.0019230769230769</v>
      </c>
    </row>
    <row r="34" spans="2:8" ht="13" x14ac:dyDescent="0.3">
      <c r="B34" s="579">
        <f t="shared" si="1"/>
        <v>27</v>
      </c>
      <c r="C34" s="1079" t="s">
        <v>513</v>
      </c>
      <c r="D34" s="1079" t="s">
        <v>23</v>
      </c>
      <c r="E34" s="537">
        <v>239204</v>
      </c>
      <c r="F34" s="537">
        <v>3866</v>
      </c>
      <c r="G34" s="537">
        <v>2149</v>
      </c>
      <c r="H34" s="1096">
        <f t="shared" si="0"/>
        <v>1.0331730769230769</v>
      </c>
    </row>
    <row r="35" spans="2:8" ht="13" x14ac:dyDescent="0.3">
      <c r="B35" s="579">
        <f t="shared" si="1"/>
        <v>28</v>
      </c>
      <c r="C35" s="1079" t="s">
        <v>513</v>
      </c>
      <c r="D35" s="1079" t="s">
        <v>23</v>
      </c>
      <c r="E35" s="537">
        <v>175024.48059386876</v>
      </c>
      <c r="F35" s="537">
        <v>2709</v>
      </c>
      <c r="G35" s="537">
        <v>2133</v>
      </c>
      <c r="H35" s="1096">
        <f t="shared" si="0"/>
        <v>1.0254807692307693</v>
      </c>
    </row>
    <row r="36" spans="2:8" ht="13" x14ac:dyDescent="0.3">
      <c r="B36" s="579">
        <f t="shared" si="1"/>
        <v>29</v>
      </c>
      <c r="C36" s="1079" t="s">
        <v>513</v>
      </c>
      <c r="D36" s="1079" t="s">
        <v>23</v>
      </c>
      <c r="E36" s="537">
        <v>27593</v>
      </c>
      <c r="F36" s="537">
        <v>215</v>
      </c>
      <c r="G36" s="537">
        <v>234</v>
      </c>
      <c r="H36" s="1096">
        <f t="shared" si="0"/>
        <v>0.1125</v>
      </c>
    </row>
    <row r="37" spans="2:8" ht="13" x14ac:dyDescent="0.3">
      <c r="B37" s="579">
        <f t="shared" si="1"/>
        <v>30</v>
      </c>
      <c r="C37" s="1079" t="s">
        <v>513</v>
      </c>
      <c r="D37" s="1079" t="s">
        <v>23</v>
      </c>
      <c r="E37" s="537">
        <v>308990.75978894468</v>
      </c>
      <c r="F37" s="537">
        <v>4428</v>
      </c>
      <c r="G37" s="537">
        <v>2201</v>
      </c>
      <c r="H37" s="1096">
        <f t="shared" si="0"/>
        <v>1.0581730769230768</v>
      </c>
    </row>
    <row r="38" spans="2:8" ht="13" x14ac:dyDescent="0.3">
      <c r="B38" s="579">
        <f t="shared" si="1"/>
        <v>31</v>
      </c>
      <c r="C38" s="1079" t="s">
        <v>513</v>
      </c>
      <c r="D38" s="1079" t="s">
        <v>23</v>
      </c>
      <c r="E38" s="537">
        <v>265898.44964565843</v>
      </c>
      <c r="F38" s="537">
        <v>3160</v>
      </c>
      <c r="G38" s="537">
        <v>2066</v>
      </c>
      <c r="H38" s="1096">
        <f t="shared" si="0"/>
        <v>0.99326923076923079</v>
      </c>
    </row>
    <row r="39" spans="2:8" ht="13" x14ac:dyDescent="0.3">
      <c r="B39" s="579">
        <f t="shared" si="1"/>
        <v>32</v>
      </c>
      <c r="C39" s="1079" t="s">
        <v>513</v>
      </c>
      <c r="D39" s="1079" t="s">
        <v>23</v>
      </c>
      <c r="E39" s="537">
        <v>326431.81223700871</v>
      </c>
      <c r="F39" s="537">
        <v>450</v>
      </c>
      <c r="G39" s="537">
        <v>2080</v>
      </c>
      <c r="H39" s="1096">
        <f t="shared" si="0"/>
        <v>1</v>
      </c>
    </row>
    <row r="40" spans="2:8" ht="13" x14ac:dyDescent="0.3">
      <c r="B40" s="579">
        <f t="shared" si="1"/>
        <v>33</v>
      </c>
      <c r="C40" s="1079" t="s">
        <v>513</v>
      </c>
      <c r="D40" s="1079" t="s">
        <v>23</v>
      </c>
      <c r="E40" s="537">
        <v>307331.18855715037</v>
      </c>
      <c r="F40" s="537">
        <v>3456</v>
      </c>
      <c r="G40" s="537">
        <v>2080</v>
      </c>
      <c r="H40" s="1096">
        <f t="shared" si="0"/>
        <v>1</v>
      </c>
    </row>
    <row r="41" spans="2:8" ht="13" x14ac:dyDescent="0.3">
      <c r="B41" s="579">
        <f t="shared" si="1"/>
        <v>34</v>
      </c>
      <c r="C41" s="1079" t="s">
        <v>513</v>
      </c>
      <c r="D41" s="1079" t="s">
        <v>23</v>
      </c>
      <c r="E41" s="537">
        <v>258475.42373660457</v>
      </c>
      <c r="F41" s="537">
        <v>3138</v>
      </c>
      <c r="G41" s="537">
        <v>2080</v>
      </c>
      <c r="H41" s="1096">
        <f t="shared" si="0"/>
        <v>1</v>
      </c>
    </row>
    <row r="42" spans="2:8" ht="13" x14ac:dyDescent="0.3">
      <c r="B42" s="579">
        <f t="shared" si="1"/>
        <v>35</v>
      </c>
      <c r="C42" s="1079" t="s">
        <v>513</v>
      </c>
      <c r="D42" s="1079" t="s">
        <v>23</v>
      </c>
      <c r="E42" s="537">
        <v>140061.31034639696</v>
      </c>
      <c r="F42" s="537">
        <v>2003</v>
      </c>
      <c r="G42" s="537">
        <v>1880</v>
      </c>
      <c r="H42" s="1096">
        <f t="shared" si="0"/>
        <v>0.90384615384615385</v>
      </c>
    </row>
    <row r="43" spans="2:8" ht="13" x14ac:dyDescent="0.3">
      <c r="B43" s="579">
        <f t="shared" si="1"/>
        <v>36</v>
      </c>
      <c r="C43" s="1079" t="s">
        <v>513</v>
      </c>
      <c r="D43" s="1079" t="s">
        <v>23</v>
      </c>
      <c r="E43" s="537">
        <v>100062.67466164287</v>
      </c>
      <c r="F43" s="537">
        <v>427</v>
      </c>
      <c r="G43" s="537">
        <v>1091</v>
      </c>
      <c r="H43" s="1096">
        <f t="shared" si="0"/>
        <v>0.52451923076923079</v>
      </c>
    </row>
    <row r="44" spans="2:8" ht="13" x14ac:dyDescent="0.3">
      <c r="B44" s="579">
        <f t="shared" si="1"/>
        <v>37</v>
      </c>
      <c r="C44" s="1079" t="s">
        <v>513</v>
      </c>
      <c r="D44" s="1079" t="s">
        <v>23</v>
      </c>
      <c r="E44" s="537">
        <v>306890</v>
      </c>
      <c r="F44" s="537">
        <v>3578</v>
      </c>
      <c r="G44" s="537">
        <v>2018</v>
      </c>
      <c r="H44" s="1096">
        <f t="shared" si="0"/>
        <v>0.97019230769230769</v>
      </c>
    </row>
    <row r="45" spans="2:8" ht="13" x14ac:dyDescent="0.3">
      <c r="B45" s="579">
        <f t="shared" si="1"/>
        <v>38</v>
      </c>
      <c r="C45" s="1079" t="s">
        <v>513</v>
      </c>
      <c r="D45" s="1079" t="s">
        <v>23</v>
      </c>
      <c r="E45" s="537">
        <v>312806</v>
      </c>
      <c r="F45" s="537">
        <v>3280</v>
      </c>
      <c r="G45" s="537">
        <v>2096</v>
      </c>
      <c r="H45" s="1096">
        <f t="shared" si="0"/>
        <v>1.0076923076923077</v>
      </c>
    </row>
    <row r="46" spans="2:8" ht="13" x14ac:dyDescent="0.3">
      <c r="B46" s="579">
        <f t="shared" si="1"/>
        <v>39</v>
      </c>
      <c r="C46" s="1079" t="s">
        <v>513</v>
      </c>
      <c r="D46" s="1079" t="s">
        <v>23</v>
      </c>
      <c r="E46" s="537">
        <v>223934</v>
      </c>
      <c r="F46" s="537">
        <v>3152</v>
      </c>
      <c r="G46" s="537">
        <v>2127</v>
      </c>
      <c r="H46" s="1096">
        <f t="shared" si="0"/>
        <v>1.0225961538461539</v>
      </c>
    </row>
    <row r="47" spans="2:8" ht="13" x14ac:dyDescent="0.3">
      <c r="B47" s="579">
        <f t="shared" si="1"/>
        <v>40</v>
      </c>
      <c r="C47" s="1079" t="s">
        <v>513</v>
      </c>
      <c r="D47" s="1079" t="s">
        <v>23</v>
      </c>
      <c r="E47" s="537">
        <v>103283.06369796624</v>
      </c>
      <c r="F47" s="537">
        <v>1114</v>
      </c>
      <c r="G47" s="537">
        <v>967.98</v>
      </c>
      <c r="H47" s="1096">
        <f t="shared" si="0"/>
        <v>0.46537499999999998</v>
      </c>
    </row>
    <row r="48" spans="2:8" ht="13" x14ac:dyDescent="0.3">
      <c r="B48" s="579">
        <f t="shared" si="1"/>
        <v>41</v>
      </c>
      <c r="C48" s="1079" t="s">
        <v>513</v>
      </c>
      <c r="D48" s="1079" t="s">
        <v>23</v>
      </c>
      <c r="E48" s="537">
        <v>52314.11344096643</v>
      </c>
      <c r="F48" s="537">
        <v>592</v>
      </c>
      <c r="G48" s="537">
        <v>505.6</v>
      </c>
      <c r="H48" s="1096">
        <f t="shared" si="0"/>
        <v>0.24307692307692308</v>
      </c>
    </row>
    <row r="49" spans="2:8" ht="13" x14ac:dyDescent="0.3">
      <c r="B49" s="579">
        <f t="shared" si="1"/>
        <v>42</v>
      </c>
      <c r="C49" s="1079" t="s">
        <v>513</v>
      </c>
      <c r="D49" s="1079" t="s">
        <v>23</v>
      </c>
      <c r="E49" s="537">
        <v>81483.489464004466</v>
      </c>
      <c r="F49" s="537">
        <v>1096</v>
      </c>
      <c r="G49" s="537">
        <v>808</v>
      </c>
      <c r="H49" s="1096">
        <f t="shared" si="0"/>
        <v>0.38846153846153847</v>
      </c>
    </row>
    <row r="50" spans="2:8" ht="13" x14ac:dyDescent="0.3">
      <c r="B50" s="579">
        <f t="shared" si="1"/>
        <v>43</v>
      </c>
      <c r="C50" s="1080" t="s">
        <v>513</v>
      </c>
      <c r="D50" s="1079" t="s">
        <v>23</v>
      </c>
      <c r="E50" s="537">
        <v>154989</v>
      </c>
      <c r="F50" s="537">
        <v>2487</v>
      </c>
      <c r="G50" s="537">
        <v>1105</v>
      </c>
      <c r="H50" s="1096">
        <f t="shared" si="0"/>
        <v>0.53125</v>
      </c>
    </row>
    <row r="51" spans="2:8" ht="13" x14ac:dyDescent="0.3">
      <c r="B51" s="579">
        <f t="shared" si="1"/>
        <v>44</v>
      </c>
      <c r="C51" s="1080" t="s">
        <v>513</v>
      </c>
      <c r="D51" s="1079" t="s">
        <v>23</v>
      </c>
      <c r="E51" s="537">
        <v>126222.38959014608</v>
      </c>
      <c r="F51" s="537">
        <v>1357</v>
      </c>
      <c r="G51" s="537">
        <v>968</v>
      </c>
      <c r="H51" s="1096">
        <f t="shared" si="0"/>
        <v>0.4653846153846154</v>
      </c>
    </row>
    <row r="52" spans="2:8" ht="13" x14ac:dyDescent="0.3">
      <c r="B52" s="579">
        <f t="shared" si="1"/>
        <v>45</v>
      </c>
      <c r="C52" s="1080" t="s">
        <v>513</v>
      </c>
      <c r="D52" s="1079" t="s">
        <v>23</v>
      </c>
      <c r="E52" s="537">
        <v>226942</v>
      </c>
      <c r="F52" s="537">
        <v>3361</v>
      </c>
      <c r="G52" s="537">
        <v>2132</v>
      </c>
      <c r="H52" s="1096">
        <f t="shared" si="0"/>
        <v>1.0249999999999999</v>
      </c>
    </row>
    <row r="53" spans="2:8" ht="13" x14ac:dyDescent="0.3">
      <c r="B53" s="579">
        <f t="shared" si="1"/>
        <v>46</v>
      </c>
      <c r="C53" s="1080" t="s">
        <v>513</v>
      </c>
      <c r="D53" s="1079" t="s">
        <v>23</v>
      </c>
      <c r="E53" s="537">
        <v>266409.99479727785</v>
      </c>
      <c r="F53" s="537">
        <v>3949</v>
      </c>
      <c r="G53" s="537">
        <v>2360</v>
      </c>
      <c r="H53" s="1096">
        <f t="shared" si="0"/>
        <v>1.1346153846153846</v>
      </c>
    </row>
    <row r="54" spans="2:8" ht="13" x14ac:dyDescent="0.3">
      <c r="B54" s="579">
        <f t="shared" si="1"/>
        <v>47</v>
      </c>
      <c r="C54" s="1080" t="s">
        <v>513</v>
      </c>
      <c r="D54" s="1079" t="s">
        <v>23</v>
      </c>
      <c r="E54" s="537">
        <v>277676.43973889906</v>
      </c>
      <c r="F54" s="537">
        <v>4085</v>
      </c>
      <c r="G54" s="537">
        <v>2128</v>
      </c>
      <c r="H54" s="1096">
        <f t="shared" si="0"/>
        <v>1.023076923076923</v>
      </c>
    </row>
    <row r="55" spans="2:8" ht="13" x14ac:dyDescent="0.3">
      <c r="C55" s="535"/>
      <c r="D55" s="1079"/>
      <c r="E55" s="537"/>
      <c r="F55" s="537"/>
      <c r="G55" s="537"/>
      <c r="H55" s="1096"/>
    </row>
    <row r="56" spans="2:8" ht="13" x14ac:dyDescent="0.3">
      <c r="C56" s="535"/>
      <c r="D56" s="1079"/>
      <c r="E56" s="537"/>
      <c r="F56" s="537"/>
      <c r="G56" s="537"/>
      <c r="H56" s="1096"/>
    </row>
    <row r="57" spans="2:8" ht="13" x14ac:dyDescent="0.3">
      <c r="C57" s="1102" t="s">
        <v>1053</v>
      </c>
      <c r="D57" s="1079"/>
      <c r="F57" s="537">
        <f>+F729</f>
        <v>30490</v>
      </c>
      <c r="G57" s="537">
        <f>+G729</f>
        <v>20733.200000000004</v>
      </c>
      <c r="H57" s="1096">
        <f>+G57/2080</f>
        <v>9.9678846153846177</v>
      </c>
    </row>
    <row r="58" spans="2:8" ht="13" x14ac:dyDescent="0.3">
      <c r="C58" s="535"/>
      <c r="D58" s="1079"/>
      <c r="E58" s="537"/>
      <c r="G58" s="537"/>
      <c r="H58" s="1096"/>
    </row>
    <row r="59" spans="2:8" ht="13" x14ac:dyDescent="0.3">
      <c r="C59" s="535"/>
      <c r="D59" s="1079"/>
      <c r="E59" s="537"/>
      <c r="F59" s="537"/>
      <c r="G59" s="537"/>
      <c r="H59" s="1096"/>
    </row>
    <row r="60" spans="2:8" ht="13" x14ac:dyDescent="0.3">
      <c r="C60" s="1102">
        <v>47</v>
      </c>
      <c r="D60" s="1097" t="s">
        <v>1067</v>
      </c>
      <c r="E60" s="1099">
        <f>SUM(E8:E59)</f>
        <v>8589634.9923269469</v>
      </c>
      <c r="F60" s="1099">
        <f>SUM(F8:F59)</f>
        <v>134142</v>
      </c>
      <c r="G60" s="1099">
        <f>SUM(G8:G59)</f>
        <v>90630.53</v>
      </c>
      <c r="H60" s="1100">
        <f>+G60/2080</f>
        <v>43.572370192307694</v>
      </c>
    </row>
    <row r="61" spans="2:8" ht="13" x14ac:dyDescent="0.3">
      <c r="C61" s="535"/>
      <c r="D61" s="1079"/>
      <c r="E61" s="537"/>
      <c r="F61" s="537"/>
      <c r="G61" s="537"/>
      <c r="H61" s="1096"/>
    </row>
    <row r="62" spans="2:8" ht="13" x14ac:dyDescent="0.3">
      <c r="C62" s="535"/>
      <c r="D62" s="1079"/>
      <c r="E62" s="537"/>
      <c r="F62" s="537"/>
      <c r="G62" s="537"/>
      <c r="H62" s="1096"/>
    </row>
    <row r="63" spans="2:8" ht="13" x14ac:dyDescent="0.3">
      <c r="C63" s="535"/>
      <c r="D63" s="1079"/>
      <c r="E63" s="537"/>
      <c r="F63" s="537"/>
      <c r="G63" s="537"/>
      <c r="H63" s="1096"/>
    </row>
    <row r="64" spans="2:8" ht="13" x14ac:dyDescent="0.3">
      <c r="C64" s="535"/>
      <c r="D64" s="1079"/>
      <c r="E64" s="537"/>
      <c r="F64" s="537"/>
      <c r="G64" s="537"/>
      <c r="H64" s="1096"/>
    </row>
    <row r="65" spans="2:16" ht="15.5" x14ac:dyDescent="0.35">
      <c r="C65" s="535"/>
      <c r="D65" s="606" t="s">
        <v>1068</v>
      </c>
      <c r="E65" s="606"/>
      <c r="F65" s="537"/>
      <c r="G65" s="537"/>
      <c r="H65" s="1096"/>
    </row>
    <row r="66" spans="2:16" ht="13" x14ac:dyDescent="0.3">
      <c r="C66" s="535"/>
      <c r="D66" s="1079"/>
      <c r="E66" s="537"/>
      <c r="F66" s="537"/>
      <c r="G66" s="537"/>
      <c r="H66" s="1096"/>
    </row>
    <row r="67" spans="2:16" ht="13" x14ac:dyDescent="0.3">
      <c r="C67" s="535"/>
      <c r="D67" s="1079"/>
      <c r="E67" s="537"/>
      <c r="F67" s="537"/>
      <c r="G67" s="537"/>
      <c r="H67" s="1096"/>
      <c r="J67" s="547"/>
      <c r="K67" s="547"/>
      <c r="L67" s="547"/>
      <c r="M67" s="547"/>
      <c r="N67" s="547"/>
      <c r="O67" s="547"/>
      <c r="P67" s="547"/>
    </row>
    <row r="68" spans="2:16" ht="13" x14ac:dyDescent="0.3">
      <c r="B68" s="1105" t="s">
        <v>1096</v>
      </c>
      <c r="C68" s="1092" t="s">
        <v>1026</v>
      </c>
      <c r="D68" s="1093" t="s">
        <v>1065</v>
      </c>
      <c r="E68" s="1094" t="s">
        <v>920</v>
      </c>
      <c r="F68" s="1094" t="s">
        <v>1066</v>
      </c>
      <c r="G68" s="1094" t="s">
        <v>848</v>
      </c>
      <c r="H68" s="1095" t="s">
        <v>203</v>
      </c>
      <c r="J68" s="1270"/>
      <c r="K68" s="1267"/>
      <c r="L68" s="1271"/>
      <c r="M68" s="1271"/>
      <c r="N68" s="1271"/>
      <c r="O68" s="1271"/>
      <c r="P68" s="547"/>
    </row>
    <row r="69" spans="2:16" ht="13" x14ac:dyDescent="0.3">
      <c r="B69" s="579">
        <v>1</v>
      </c>
      <c r="C69" s="1079" t="s">
        <v>514</v>
      </c>
      <c r="D69" s="1079" t="s">
        <v>68</v>
      </c>
      <c r="E69" s="537">
        <v>58710.421492227375</v>
      </c>
      <c r="F69" s="537">
        <v>1098</v>
      </c>
      <c r="G69" s="537">
        <v>940</v>
      </c>
      <c r="H69" s="1096">
        <f t="shared" ref="H69:H83" si="2">+G69/2080</f>
        <v>0.45192307692307693</v>
      </c>
      <c r="J69" s="552"/>
      <c r="K69" s="552"/>
      <c r="L69" s="662"/>
      <c r="M69" s="662"/>
      <c r="N69" s="662"/>
      <c r="O69" s="1272"/>
      <c r="P69" s="547"/>
    </row>
    <row r="70" spans="2:16" ht="13" x14ac:dyDescent="0.3">
      <c r="B70" s="579">
        <f>+B69+1</f>
        <v>2</v>
      </c>
      <c r="C70" s="1079" t="s">
        <v>514</v>
      </c>
      <c r="D70" s="1079" t="s">
        <v>1070</v>
      </c>
      <c r="E70" s="537">
        <v>140616.26623349948</v>
      </c>
      <c r="F70" s="537">
        <v>3133</v>
      </c>
      <c r="G70" s="537">
        <v>2080</v>
      </c>
      <c r="H70" s="1096">
        <f t="shared" si="2"/>
        <v>1</v>
      </c>
      <c r="J70" s="552"/>
      <c r="K70" s="552"/>
      <c r="L70" s="662"/>
      <c r="M70" s="662"/>
      <c r="N70" s="662"/>
      <c r="O70" s="1272"/>
      <c r="P70" s="547"/>
    </row>
    <row r="71" spans="2:16" ht="13" x14ac:dyDescent="0.3">
      <c r="B71" s="579">
        <f t="shared" ref="B71:B83" si="3">+B70+1</f>
        <v>3</v>
      </c>
      <c r="C71" s="1079" t="s">
        <v>514</v>
      </c>
      <c r="D71" s="1079" t="s">
        <v>1070</v>
      </c>
      <c r="E71" s="537">
        <v>148623.7281561924</v>
      </c>
      <c r="F71" s="537">
        <v>3889</v>
      </c>
      <c r="G71" s="537">
        <v>2080</v>
      </c>
      <c r="H71" s="1096">
        <f t="shared" si="2"/>
        <v>1</v>
      </c>
      <c r="J71" s="552"/>
      <c r="K71" s="552"/>
      <c r="L71" s="662"/>
      <c r="M71" s="662"/>
      <c r="N71" s="662"/>
      <c r="O71" s="1272"/>
      <c r="P71" s="547"/>
    </row>
    <row r="72" spans="2:16" ht="13" x14ac:dyDescent="0.3">
      <c r="B72" s="579">
        <f t="shared" si="3"/>
        <v>4</v>
      </c>
      <c r="C72" s="1079" t="s">
        <v>514</v>
      </c>
      <c r="D72" s="1079" t="s">
        <v>1070</v>
      </c>
      <c r="E72" s="537">
        <v>140426.88390197619</v>
      </c>
      <c r="F72" s="537">
        <v>3700</v>
      </c>
      <c r="G72" s="537">
        <v>1904</v>
      </c>
      <c r="H72" s="1096">
        <f t="shared" si="2"/>
        <v>0.91538461538461535</v>
      </c>
      <c r="J72" s="1265"/>
      <c r="K72" s="1265"/>
      <c r="L72" s="626"/>
      <c r="M72" s="626"/>
      <c r="N72" s="626"/>
      <c r="O72" s="1266"/>
    </row>
    <row r="73" spans="2:16" ht="13" x14ac:dyDescent="0.3">
      <c r="B73" s="579">
        <f t="shared" si="3"/>
        <v>5</v>
      </c>
      <c r="C73" s="1079" t="s">
        <v>514</v>
      </c>
      <c r="D73" s="1079" t="s">
        <v>1070</v>
      </c>
      <c r="E73" s="537">
        <v>56612.865519469247</v>
      </c>
      <c r="F73" s="537">
        <v>1487</v>
      </c>
      <c r="G73" s="537">
        <v>800</v>
      </c>
      <c r="H73" s="1096">
        <f t="shared" si="2"/>
        <v>0.38461538461538464</v>
      </c>
      <c r="J73" s="1265"/>
      <c r="K73" s="1265"/>
      <c r="L73" s="626"/>
      <c r="M73" s="626"/>
      <c r="N73" s="626"/>
      <c r="O73" s="1266"/>
    </row>
    <row r="74" spans="2:16" ht="13" x14ac:dyDescent="0.3">
      <c r="B74" s="579">
        <f t="shared" si="3"/>
        <v>6</v>
      </c>
      <c r="C74" s="1079" t="s">
        <v>514</v>
      </c>
      <c r="D74" s="1079" t="s">
        <v>1069</v>
      </c>
      <c r="E74" s="537">
        <v>15755.178947440994</v>
      </c>
      <c r="F74" s="537">
        <v>30</v>
      </c>
      <c r="G74" s="537">
        <v>340</v>
      </c>
      <c r="H74" s="1096">
        <f t="shared" si="2"/>
        <v>0.16346153846153846</v>
      </c>
      <c r="J74" s="1265"/>
      <c r="K74" s="1265"/>
      <c r="L74" s="626"/>
      <c r="M74" s="626"/>
      <c r="N74" s="626"/>
      <c r="O74" s="1266"/>
    </row>
    <row r="75" spans="2:16" ht="13" x14ac:dyDescent="0.3">
      <c r="B75" s="579">
        <f t="shared" si="3"/>
        <v>7</v>
      </c>
      <c r="C75" s="1079" t="s">
        <v>514</v>
      </c>
      <c r="D75" s="1079" t="s">
        <v>68</v>
      </c>
      <c r="E75" s="537">
        <v>98991.906499520235</v>
      </c>
      <c r="F75" s="537">
        <v>1734</v>
      </c>
      <c r="G75" s="537">
        <v>1331</v>
      </c>
      <c r="H75" s="1096">
        <f t="shared" si="2"/>
        <v>0.6399038461538461</v>
      </c>
      <c r="J75" s="1265"/>
      <c r="K75" s="1265"/>
      <c r="L75" s="626"/>
      <c r="M75" s="626"/>
      <c r="N75" s="626"/>
      <c r="O75" s="1266"/>
    </row>
    <row r="76" spans="2:16" ht="13" x14ac:dyDescent="0.3">
      <c r="B76" s="579">
        <f t="shared" si="3"/>
        <v>8</v>
      </c>
      <c r="C76" s="1079" t="s">
        <v>514</v>
      </c>
      <c r="D76" s="1079" t="s">
        <v>1070</v>
      </c>
      <c r="E76" s="537">
        <v>21139.619130072922</v>
      </c>
      <c r="F76" s="537">
        <v>48</v>
      </c>
      <c r="G76" s="537">
        <v>120</v>
      </c>
      <c r="H76" s="1096">
        <f t="shared" si="2"/>
        <v>5.7692307692307696E-2</v>
      </c>
      <c r="J76" s="552"/>
      <c r="K76" s="1265"/>
      <c r="L76" s="626"/>
      <c r="M76" s="626"/>
      <c r="N76" s="626"/>
      <c r="O76" s="1266"/>
    </row>
    <row r="77" spans="2:16" ht="13" x14ac:dyDescent="0.3">
      <c r="B77" s="579">
        <f t="shared" si="3"/>
        <v>9</v>
      </c>
      <c r="C77" s="1079" t="s">
        <v>514</v>
      </c>
      <c r="D77" s="1079" t="s">
        <v>68</v>
      </c>
      <c r="E77" s="537">
        <v>163147.97691167993</v>
      </c>
      <c r="F77" s="537">
        <v>4435</v>
      </c>
      <c r="G77" s="537">
        <v>2260</v>
      </c>
      <c r="H77" s="1096">
        <f t="shared" si="2"/>
        <v>1.0865384615384615</v>
      </c>
      <c r="J77" s="1265"/>
      <c r="K77" s="1265"/>
      <c r="L77" s="626"/>
      <c r="M77" s="626"/>
      <c r="N77" s="626"/>
      <c r="O77" s="1266"/>
    </row>
    <row r="78" spans="2:16" ht="13" x14ac:dyDescent="0.3">
      <c r="B78" s="579">
        <f t="shared" si="3"/>
        <v>10</v>
      </c>
      <c r="C78" s="1079" t="s">
        <v>514</v>
      </c>
      <c r="D78" s="1079" t="s">
        <v>1069</v>
      </c>
      <c r="E78" s="537">
        <v>95579.966593552163</v>
      </c>
      <c r="F78" s="537">
        <v>1121</v>
      </c>
      <c r="G78" s="537">
        <v>2019</v>
      </c>
      <c r="H78" s="1096">
        <f t="shared" si="2"/>
        <v>0.97067307692307692</v>
      </c>
      <c r="J78" s="1265"/>
      <c r="K78" s="1265"/>
      <c r="L78" s="626"/>
      <c r="M78" s="626"/>
      <c r="N78" s="626"/>
      <c r="O78" s="1266"/>
    </row>
    <row r="79" spans="2:16" ht="13" x14ac:dyDescent="0.3">
      <c r="B79" s="579">
        <f t="shared" si="3"/>
        <v>11</v>
      </c>
      <c r="C79" s="1079" t="s">
        <v>514</v>
      </c>
      <c r="D79" s="1079" t="s">
        <v>68</v>
      </c>
      <c r="E79" s="537">
        <v>145440</v>
      </c>
      <c r="F79" s="537">
        <v>4114</v>
      </c>
      <c r="G79" s="537">
        <v>2092</v>
      </c>
      <c r="H79" s="1096">
        <f t="shared" si="2"/>
        <v>1.0057692307692307</v>
      </c>
      <c r="J79" s="1265"/>
      <c r="K79" s="1265"/>
      <c r="L79" s="626"/>
      <c r="M79" s="626"/>
      <c r="N79" s="626"/>
      <c r="O79" s="1266"/>
    </row>
    <row r="80" spans="2:16" ht="13" x14ac:dyDescent="0.3">
      <c r="B80" s="579">
        <f t="shared" si="3"/>
        <v>12</v>
      </c>
      <c r="C80" s="1079" t="s">
        <v>514</v>
      </c>
      <c r="D80" s="1079" t="s">
        <v>68</v>
      </c>
      <c r="E80" s="537">
        <v>10992.589555991508</v>
      </c>
      <c r="F80" s="537">
        <v>25</v>
      </c>
      <c r="G80" s="537">
        <v>176</v>
      </c>
      <c r="H80" s="1096">
        <f t="shared" si="2"/>
        <v>8.461538461538462E-2</v>
      </c>
      <c r="J80" s="1265"/>
      <c r="K80" s="1265"/>
      <c r="L80" s="626"/>
      <c r="M80" s="626"/>
      <c r="N80" s="626"/>
      <c r="O80" s="1266"/>
    </row>
    <row r="81" spans="2:15" ht="13" x14ac:dyDescent="0.3">
      <c r="B81" s="579">
        <f t="shared" si="3"/>
        <v>13</v>
      </c>
      <c r="C81" s="1079" t="s">
        <v>514</v>
      </c>
      <c r="D81" s="1079" t="s">
        <v>68</v>
      </c>
      <c r="E81" s="537">
        <v>57136.48253307405</v>
      </c>
      <c r="F81" s="537">
        <v>1143</v>
      </c>
      <c r="G81" s="537">
        <v>882</v>
      </c>
      <c r="H81" s="1096">
        <f t="shared" si="2"/>
        <v>0.42403846153846153</v>
      </c>
      <c r="J81" s="1265"/>
      <c r="K81" s="1265"/>
      <c r="L81" s="626"/>
      <c r="M81" s="626"/>
      <c r="N81" s="626"/>
      <c r="O81" s="1266"/>
    </row>
    <row r="82" spans="2:15" ht="13" x14ac:dyDescent="0.3">
      <c r="B82" s="579">
        <f t="shared" si="3"/>
        <v>14</v>
      </c>
      <c r="C82" s="1079" t="s">
        <v>514</v>
      </c>
      <c r="D82" s="1079" t="s">
        <v>1070</v>
      </c>
      <c r="E82" s="537">
        <v>70397.832647526651</v>
      </c>
      <c r="F82" s="537">
        <v>1963</v>
      </c>
      <c r="G82" s="537">
        <v>960</v>
      </c>
      <c r="H82" s="1096">
        <f t="shared" si="2"/>
        <v>0.46153846153846156</v>
      </c>
      <c r="J82" s="1265"/>
      <c r="K82" s="1265"/>
      <c r="L82" s="626"/>
      <c r="M82" s="626"/>
      <c r="N82" s="626"/>
      <c r="O82" s="1266"/>
    </row>
    <row r="83" spans="2:15" ht="13" x14ac:dyDescent="0.3">
      <c r="B83" s="579">
        <f t="shared" si="3"/>
        <v>15</v>
      </c>
      <c r="C83" s="1080" t="s">
        <v>514</v>
      </c>
      <c r="D83" s="1079" t="s">
        <v>1070</v>
      </c>
      <c r="E83" s="537">
        <v>131603.50201612146</v>
      </c>
      <c r="F83" s="537">
        <v>3042</v>
      </c>
      <c r="G83" s="537">
        <v>1934</v>
      </c>
      <c r="H83" s="1096">
        <f t="shared" si="2"/>
        <v>0.92980769230769234</v>
      </c>
      <c r="J83" s="552"/>
      <c r="K83" s="1265"/>
      <c r="L83" s="626"/>
      <c r="M83" s="626"/>
      <c r="N83" s="626"/>
      <c r="O83" s="1266"/>
    </row>
    <row r="84" spans="2:15" ht="12" customHeight="1" x14ac:dyDescent="0.3">
      <c r="C84" s="535"/>
      <c r="D84" s="1079"/>
      <c r="E84" s="537"/>
      <c r="F84" s="537"/>
      <c r="G84" s="537"/>
      <c r="H84" s="1096"/>
      <c r="J84" s="552"/>
      <c r="K84" s="1265"/>
      <c r="L84" s="626"/>
      <c r="M84" s="626"/>
      <c r="N84" s="626"/>
      <c r="O84" s="1266"/>
    </row>
    <row r="85" spans="2:15" ht="12" customHeight="1" x14ac:dyDescent="0.3">
      <c r="C85" s="535"/>
      <c r="D85" s="1079"/>
      <c r="E85" s="537"/>
      <c r="F85" s="537"/>
      <c r="G85" s="537"/>
      <c r="H85" s="1096"/>
      <c r="J85" s="1267"/>
      <c r="K85" s="1265"/>
      <c r="L85" s="1115"/>
      <c r="M85" s="1115"/>
      <c r="N85" s="1115"/>
      <c r="O85" s="1269"/>
    </row>
    <row r="86" spans="2:15" ht="12" customHeight="1" x14ac:dyDescent="0.3">
      <c r="C86" s="1102">
        <v>15</v>
      </c>
      <c r="D86" s="1097" t="s">
        <v>1071</v>
      </c>
      <c r="E86" s="1099">
        <f>SUM(E69:E85)</f>
        <v>1355175.2201383447</v>
      </c>
      <c r="F86" s="1099">
        <f>SUM(F69:F85)</f>
        <v>30962</v>
      </c>
      <c r="G86" s="1099">
        <f>SUM(G69:G85)</f>
        <v>19918</v>
      </c>
      <c r="H86" s="1100">
        <f>+G86/2080</f>
        <v>9.575961538461538</v>
      </c>
    </row>
    <row r="87" spans="2:15" ht="12" customHeight="1" x14ac:dyDescent="0.3">
      <c r="C87" s="535"/>
      <c r="D87" s="1079"/>
      <c r="E87" s="537"/>
      <c r="F87" s="537"/>
      <c r="G87" s="537"/>
      <c r="H87" s="1096"/>
    </row>
    <row r="88" spans="2:15" ht="12" customHeight="1" x14ac:dyDescent="0.3">
      <c r="C88" s="535"/>
      <c r="D88" s="1079"/>
      <c r="E88" s="537"/>
      <c r="F88" s="537"/>
      <c r="G88" s="537"/>
      <c r="H88" s="1096"/>
    </row>
    <row r="89" spans="2:15" ht="12" customHeight="1" x14ac:dyDescent="0.3">
      <c r="C89" s="535"/>
      <c r="D89" s="1079"/>
      <c r="E89" s="537"/>
      <c r="F89" s="537"/>
      <c r="G89" s="537"/>
      <c r="H89" s="1096"/>
    </row>
    <row r="90" spans="2:15" ht="15.5" x14ac:dyDescent="0.35">
      <c r="C90" s="535"/>
      <c r="D90" s="606" t="s">
        <v>1072</v>
      </c>
      <c r="E90" s="606"/>
      <c r="F90" s="537"/>
      <c r="G90" s="537"/>
      <c r="H90" s="1096"/>
    </row>
    <row r="91" spans="2:15" ht="12" customHeight="1" x14ac:dyDescent="0.3">
      <c r="C91" s="535"/>
      <c r="D91" s="1079"/>
      <c r="E91" s="537"/>
      <c r="F91" s="537"/>
      <c r="G91" s="537"/>
      <c r="H91" s="1096"/>
    </row>
    <row r="92" spans="2:15" ht="12" customHeight="1" x14ac:dyDescent="0.3">
      <c r="B92" s="1105" t="s">
        <v>1096</v>
      </c>
      <c r="C92" s="1092" t="s">
        <v>1026</v>
      </c>
      <c r="D92" s="1093" t="s">
        <v>1065</v>
      </c>
      <c r="E92" s="1094" t="s">
        <v>920</v>
      </c>
      <c r="F92" s="1094" t="s">
        <v>1066</v>
      </c>
      <c r="G92" s="1094" t="s">
        <v>848</v>
      </c>
      <c r="H92" s="1095" t="s">
        <v>203</v>
      </c>
      <c r="J92" s="1270"/>
      <c r="K92" s="1267"/>
      <c r="L92" s="1271"/>
      <c r="M92" s="1271"/>
      <c r="N92" s="1271"/>
      <c r="O92" s="1271"/>
    </row>
    <row r="93" spans="2:15" ht="13" x14ac:dyDescent="0.3">
      <c r="B93" s="579">
        <v>1</v>
      </c>
      <c r="C93" s="1079" t="s">
        <v>515</v>
      </c>
      <c r="D93" s="534" t="s">
        <v>1073</v>
      </c>
      <c r="E93" s="1218">
        <v>45738.526247310496</v>
      </c>
      <c r="F93" s="537">
        <v>402</v>
      </c>
      <c r="G93" s="1220">
        <v>640</v>
      </c>
      <c r="H93" s="1096">
        <f t="shared" ref="H93:H124" si="4">+G93/2080</f>
        <v>0.30769230769230771</v>
      </c>
      <c r="J93" s="794"/>
      <c r="K93" s="551"/>
      <c r="L93" s="1273"/>
      <c r="M93" s="662"/>
      <c r="N93" s="1274"/>
      <c r="O93" s="1272"/>
    </row>
    <row r="94" spans="2:15" ht="13" x14ac:dyDescent="0.3">
      <c r="B94" s="579">
        <f>+B93+1</f>
        <v>2</v>
      </c>
      <c r="C94" s="1079" t="s">
        <v>515</v>
      </c>
      <c r="D94" s="534" t="s">
        <v>1073</v>
      </c>
      <c r="E94" s="1218">
        <v>135701.69929480669</v>
      </c>
      <c r="F94" s="537">
        <v>2102</v>
      </c>
      <c r="G94" s="1220">
        <v>1876.0000000000002</v>
      </c>
      <c r="H94" s="1096">
        <f t="shared" si="4"/>
        <v>0.90192307692307705</v>
      </c>
      <c r="J94" s="794"/>
      <c r="K94" s="551"/>
      <c r="L94" s="1273"/>
      <c r="M94" s="662"/>
      <c r="N94" s="1274"/>
      <c r="O94" s="1272"/>
    </row>
    <row r="95" spans="2:15" ht="13" x14ac:dyDescent="0.3">
      <c r="B95" s="579">
        <f t="shared" ref="B95:B158" si="5">+B94+1</f>
        <v>3</v>
      </c>
      <c r="C95" s="1079" t="s">
        <v>515</v>
      </c>
      <c r="D95" s="534" t="s">
        <v>1074</v>
      </c>
      <c r="E95" s="1218">
        <v>20899.820785540578</v>
      </c>
      <c r="F95" s="537">
        <v>0</v>
      </c>
      <c r="G95" s="1220">
        <v>999.75</v>
      </c>
      <c r="H95" s="1096">
        <f t="shared" si="4"/>
        <v>0.48064903846153845</v>
      </c>
      <c r="J95" s="794"/>
      <c r="K95" s="551"/>
      <c r="L95" s="1273"/>
      <c r="M95" s="662"/>
      <c r="N95" s="1274"/>
      <c r="O95" s="1272"/>
    </row>
    <row r="96" spans="2:15" ht="13" x14ac:dyDescent="0.3">
      <c r="B96" s="579">
        <f t="shared" si="5"/>
        <v>4</v>
      </c>
      <c r="C96" s="1079" t="s">
        <v>515</v>
      </c>
      <c r="D96" s="534" t="s">
        <v>1074</v>
      </c>
      <c r="E96" s="1218">
        <v>41612.567683364636</v>
      </c>
      <c r="F96" s="537">
        <v>0</v>
      </c>
      <c r="G96" s="1220">
        <v>1949.25</v>
      </c>
      <c r="H96" s="1096">
        <f t="shared" si="4"/>
        <v>0.93713942307692311</v>
      </c>
      <c r="J96" s="794"/>
      <c r="K96" s="551"/>
      <c r="L96" s="1273"/>
      <c r="M96" s="662"/>
      <c r="N96" s="1274"/>
      <c r="O96" s="1272"/>
    </row>
    <row r="97" spans="2:15" ht="13" x14ac:dyDescent="0.3">
      <c r="B97" s="579">
        <f t="shared" si="5"/>
        <v>5</v>
      </c>
      <c r="C97" s="1079" t="s">
        <v>515</v>
      </c>
      <c r="D97" s="534" t="s">
        <v>1074</v>
      </c>
      <c r="E97" s="1218">
        <v>8045.7161343477701</v>
      </c>
      <c r="F97" s="537">
        <v>0</v>
      </c>
      <c r="G97" s="1220">
        <v>393.29</v>
      </c>
      <c r="H97" s="1096">
        <f t="shared" si="4"/>
        <v>0.18908173076923077</v>
      </c>
      <c r="J97" s="794"/>
      <c r="K97" s="551"/>
      <c r="L97" s="1273"/>
      <c r="M97" s="662"/>
      <c r="N97" s="1274"/>
      <c r="O97" s="1272"/>
    </row>
    <row r="98" spans="2:15" ht="13" x14ac:dyDescent="0.3">
      <c r="B98" s="579">
        <f t="shared" si="5"/>
        <v>6</v>
      </c>
      <c r="C98" s="1079" t="s">
        <v>515</v>
      </c>
      <c r="D98" s="534" t="s">
        <v>1074</v>
      </c>
      <c r="E98" s="1218">
        <v>24799.81168126818</v>
      </c>
      <c r="F98" s="537">
        <v>0</v>
      </c>
      <c r="G98" s="1220">
        <v>1177.25</v>
      </c>
      <c r="H98" s="1096">
        <f t="shared" si="4"/>
        <v>0.56598557692307694</v>
      </c>
      <c r="J98" s="794"/>
      <c r="K98" s="551"/>
      <c r="L98" s="1273"/>
      <c r="M98" s="662"/>
      <c r="N98" s="1274"/>
      <c r="O98" s="1272"/>
    </row>
    <row r="99" spans="2:15" ht="13" x14ac:dyDescent="0.3">
      <c r="B99" s="579">
        <f t="shared" si="5"/>
        <v>7</v>
      </c>
      <c r="C99" s="1079" t="s">
        <v>515</v>
      </c>
      <c r="D99" s="534" t="s">
        <v>1186</v>
      </c>
      <c r="E99" s="1218">
        <v>559.62274103229504</v>
      </c>
      <c r="F99" s="537">
        <v>0</v>
      </c>
      <c r="G99" s="1220">
        <v>14</v>
      </c>
      <c r="H99" s="1096">
        <f t="shared" si="4"/>
        <v>6.7307692307692311E-3</v>
      </c>
      <c r="J99" s="794"/>
      <c r="K99" s="551"/>
      <c r="L99" s="1273"/>
      <c r="M99" s="662"/>
      <c r="N99" s="1274"/>
      <c r="O99" s="1272"/>
    </row>
    <row r="100" spans="2:15" ht="13" x14ac:dyDescent="0.3">
      <c r="B100" s="579">
        <f t="shared" si="5"/>
        <v>8</v>
      </c>
      <c r="C100" s="1079" t="s">
        <v>515</v>
      </c>
      <c r="D100" s="534" t="s">
        <v>1075</v>
      </c>
      <c r="E100" s="1218">
        <v>61441.920104679528</v>
      </c>
      <c r="F100" s="537">
        <v>244</v>
      </c>
      <c r="G100" s="1219">
        <v>2077</v>
      </c>
      <c r="H100" s="1096">
        <f t="shared" si="4"/>
        <v>0.99855769230769231</v>
      </c>
      <c r="J100" s="794"/>
      <c r="K100" s="551"/>
      <c r="L100" s="1273"/>
      <c r="M100" s="662"/>
      <c r="N100" s="1275"/>
      <c r="O100" s="1272"/>
    </row>
    <row r="101" spans="2:15" ht="13" x14ac:dyDescent="0.3">
      <c r="B101" s="579">
        <f t="shared" si="5"/>
        <v>9</v>
      </c>
      <c r="C101" s="1079" t="s">
        <v>515</v>
      </c>
      <c r="D101" s="534" t="s">
        <v>1075</v>
      </c>
      <c r="E101" s="1218">
        <v>12705.83460460895</v>
      </c>
      <c r="F101" s="537">
        <v>51</v>
      </c>
      <c r="G101" s="1220">
        <v>423.75</v>
      </c>
      <c r="H101" s="1096">
        <f t="shared" si="4"/>
        <v>0.20372596153846154</v>
      </c>
      <c r="J101" s="794"/>
      <c r="K101" s="551"/>
      <c r="L101" s="1273"/>
      <c r="M101" s="662"/>
      <c r="N101" s="1274"/>
      <c r="O101" s="1272"/>
    </row>
    <row r="102" spans="2:15" ht="13" x14ac:dyDescent="0.3">
      <c r="B102" s="579">
        <f t="shared" si="5"/>
        <v>10</v>
      </c>
      <c r="C102" s="1079" t="s">
        <v>515</v>
      </c>
      <c r="D102" s="534" t="s">
        <v>1075</v>
      </c>
      <c r="E102" s="1218">
        <v>1062.7135919570953</v>
      </c>
      <c r="F102" s="537">
        <v>4</v>
      </c>
      <c r="G102" s="1220">
        <v>24.5</v>
      </c>
      <c r="H102" s="1096">
        <f t="shared" si="4"/>
        <v>1.1778846153846154E-2</v>
      </c>
      <c r="J102" s="794"/>
      <c r="K102" s="551"/>
      <c r="L102" s="1273"/>
      <c r="M102" s="662"/>
      <c r="N102" s="1274"/>
      <c r="O102" s="1272"/>
    </row>
    <row r="103" spans="2:15" ht="13" x14ac:dyDescent="0.3">
      <c r="B103" s="579">
        <f t="shared" si="5"/>
        <v>11</v>
      </c>
      <c r="C103" s="1079" t="s">
        <v>515</v>
      </c>
      <c r="D103" s="534" t="s">
        <v>1075</v>
      </c>
      <c r="E103" s="1218">
        <v>59841.069287640501</v>
      </c>
      <c r="F103" s="537">
        <v>0</v>
      </c>
      <c r="G103" s="1220">
        <v>1897.25</v>
      </c>
      <c r="H103" s="1096">
        <f t="shared" si="4"/>
        <v>0.91213942307692308</v>
      </c>
      <c r="J103" s="794"/>
      <c r="K103" s="551"/>
      <c r="L103" s="1273"/>
      <c r="M103" s="662"/>
      <c r="N103" s="1274"/>
      <c r="O103" s="1272"/>
    </row>
    <row r="104" spans="2:15" ht="13" x14ac:dyDescent="0.3">
      <c r="B104" s="579">
        <f t="shared" si="5"/>
        <v>12</v>
      </c>
      <c r="C104" s="1079" t="s">
        <v>515</v>
      </c>
      <c r="D104" s="534" t="s">
        <v>1075</v>
      </c>
      <c r="E104" s="1218">
        <v>540.13587772849189</v>
      </c>
      <c r="F104" s="537">
        <v>0</v>
      </c>
      <c r="G104" s="1220">
        <v>16</v>
      </c>
      <c r="H104" s="1096">
        <f t="shared" si="4"/>
        <v>7.6923076923076927E-3</v>
      </c>
      <c r="J104" s="794"/>
      <c r="K104" s="551"/>
      <c r="L104" s="1273"/>
      <c r="M104" s="662"/>
      <c r="N104" s="1274"/>
      <c r="O104" s="1272"/>
    </row>
    <row r="105" spans="2:15" ht="13" x14ac:dyDescent="0.3">
      <c r="B105" s="579">
        <f t="shared" si="5"/>
        <v>13</v>
      </c>
      <c r="C105" s="1079" t="s">
        <v>515</v>
      </c>
      <c r="D105" s="534" t="s">
        <v>1075</v>
      </c>
      <c r="E105" s="1218">
        <v>7221.2419378587092</v>
      </c>
      <c r="F105" s="537">
        <v>15</v>
      </c>
      <c r="G105" s="1220">
        <v>218.67</v>
      </c>
      <c r="H105" s="1096">
        <f t="shared" si="4"/>
        <v>0.10512980769230769</v>
      </c>
      <c r="J105" s="794"/>
      <c r="K105" s="551"/>
      <c r="L105" s="1273"/>
      <c r="M105" s="662"/>
      <c r="N105" s="1274"/>
      <c r="O105" s="1272"/>
    </row>
    <row r="106" spans="2:15" ht="13" x14ac:dyDescent="0.3">
      <c r="B106" s="579">
        <f t="shared" si="5"/>
        <v>14</v>
      </c>
      <c r="C106" s="1079" t="s">
        <v>515</v>
      </c>
      <c r="D106" s="534" t="s">
        <v>1075</v>
      </c>
      <c r="E106" s="1218">
        <v>53539.337479614012</v>
      </c>
      <c r="F106" s="537">
        <v>175</v>
      </c>
      <c r="G106" s="1220">
        <v>1597.75</v>
      </c>
      <c r="H106" s="1096">
        <f t="shared" si="4"/>
        <v>0.76814903846153848</v>
      </c>
      <c r="J106" s="794"/>
      <c r="K106" s="551"/>
      <c r="L106" s="1273"/>
      <c r="M106" s="662"/>
      <c r="N106" s="1274"/>
      <c r="O106" s="1272"/>
    </row>
    <row r="107" spans="2:15" ht="13" x14ac:dyDescent="0.3">
      <c r="B107" s="579">
        <f t="shared" si="5"/>
        <v>15</v>
      </c>
      <c r="C107" s="1079" t="s">
        <v>515</v>
      </c>
      <c r="D107" s="534" t="s">
        <v>1075</v>
      </c>
      <c r="E107" s="1218">
        <v>57907.153000318191</v>
      </c>
      <c r="F107" s="537">
        <v>181</v>
      </c>
      <c r="G107" s="1220">
        <v>1978.5</v>
      </c>
      <c r="H107" s="1096">
        <f t="shared" si="4"/>
        <v>0.95120192307692308</v>
      </c>
      <c r="J107" s="794"/>
      <c r="K107" s="551"/>
      <c r="L107" s="1273"/>
      <c r="M107" s="662"/>
      <c r="N107" s="1274"/>
      <c r="O107" s="1272"/>
    </row>
    <row r="108" spans="2:15" ht="13" x14ac:dyDescent="0.3">
      <c r="B108" s="579">
        <f t="shared" si="5"/>
        <v>16</v>
      </c>
      <c r="C108" s="1079" t="s">
        <v>515</v>
      </c>
      <c r="D108" s="534" t="s">
        <v>1075</v>
      </c>
      <c r="E108" s="1218">
        <v>56475.977799707478</v>
      </c>
      <c r="F108" s="537">
        <v>0</v>
      </c>
      <c r="G108" s="1220">
        <v>1824.75</v>
      </c>
      <c r="H108" s="1096">
        <f t="shared" si="4"/>
        <v>0.87728365384615381</v>
      </c>
      <c r="J108" s="794"/>
      <c r="K108" s="551"/>
      <c r="L108" s="1273"/>
      <c r="M108" s="662"/>
      <c r="N108" s="1274"/>
      <c r="O108" s="1272"/>
    </row>
    <row r="109" spans="2:15" ht="13" x14ac:dyDescent="0.3">
      <c r="B109" s="579">
        <f t="shared" si="5"/>
        <v>17</v>
      </c>
      <c r="C109" s="1079" t="s">
        <v>515</v>
      </c>
      <c r="D109" s="534" t="s">
        <v>1075</v>
      </c>
      <c r="E109" s="1218">
        <v>65326.711247030144</v>
      </c>
      <c r="F109" s="537">
        <v>194</v>
      </c>
      <c r="G109" s="1220">
        <v>2058.75</v>
      </c>
      <c r="H109" s="1096">
        <f t="shared" si="4"/>
        <v>0.98978365384615385</v>
      </c>
      <c r="J109" s="794"/>
      <c r="K109" s="551"/>
      <c r="L109" s="1273"/>
      <c r="M109" s="662"/>
      <c r="N109" s="1274"/>
      <c r="O109" s="1272"/>
    </row>
    <row r="110" spans="2:15" ht="13" x14ac:dyDescent="0.3">
      <c r="B110" s="579">
        <f t="shared" si="5"/>
        <v>18</v>
      </c>
      <c r="C110" s="1079" t="s">
        <v>515</v>
      </c>
      <c r="D110" s="534" t="s">
        <v>1075</v>
      </c>
      <c r="E110" s="1218">
        <v>64269.713801642232</v>
      </c>
      <c r="F110" s="537">
        <v>251</v>
      </c>
      <c r="G110" s="1220">
        <v>2132.5</v>
      </c>
      <c r="H110" s="1096">
        <f t="shared" si="4"/>
        <v>1.0252403846153846</v>
      </c>
      <c r="J110" s="794"/>
      <c r="K110" s="551"/>
      <c r="L110" s="1273"/>
      <c r="M110" s="662"/>
      <c r="N110" s="1274"/>
      <c r="O110" s="1272"/>
    </row>
    <row r="111" spans="2:15" ht="13" x14ac:dyDescent="0.3">
      <c r="B111" s="579">
        <f t="shared" si="5"/>
        <v>19</v>
      </c>
      <c r="C111" s="1079" t="s">
        <v>515</v>
      </c>
      <c r="D111" s="534" t="s">
        <v>1075</v>
      </c>
      <c r="E111" s="1218">
        <v>2631.4360677029454</v>
      </c>
      <c r="F111" s="537">
        <v>0</v>
      </c>
      <c r="G111" s="1220">
        <v>81.75</v>
      </c>
      <c r="H111" s="1096">
        <f t="shared" si="4"/>
        <v>3.9302884615384615E-2</v>
      </c>
      <c r="J111" s="794"/>
      <c r="K111" s="551"/>
      <c r="L111" s="1273"/>
      <c r="M111" s="662"/>
      <c r="N111" s="1274"/>
      <c r="O111" s="1272"/>
    </row>
    <row r="112" spans="2:15" ht="13" x14ac:dyDescent="0.3">
      <c r="B112" s="579">
        <f t="shared" si="5"/>
        <v>20</v>
      </c>
      <c r="C112" s="1079" t="s">
        <v>515</v>
      </c>
      <c r="D112" s="534" t="s">
        <v>1075</v>
      </c>
      <c r="E112" s="1218">
        <v>57753.206780218119</v>
      </c>
      <c r="F112" s="537">
        <v>0</v>
      </c>
      <c r="G112" s="1220">
        <v>2074.75</v>
      </c>
      <c r="H112" s="1096">
        <f t="shared" si="4"/>
        <v>0.99747596153846152</v>
      </c>
      <c r="J112" s="794"/>
      <c r="K112" s="551"/>
      <c r="L112" s="1273"/>
      <c r="M112" s="662"/>
      <c r="N112" s="1274"/>
      <c r="O112" s="1272"/>
    </row>
    <row r="113" spans="2:15" ht="13" x14ac:dyDescent="0.3">
      <c r="B113" s="579">
        <f t="shared" si="5"/>
        <v>21</v>
      </c>
      <c r="C113" s="1079" t="s">
        <v>515</v>
      </c>
      <c r="D113" s="534" t="s">
        <v>1076</v>
      </c>
      <c r="E113" s="1218">
        <v>65529.224726441214</v>
      </c>
      <c r="F113" s="537">
        <v>0</v>
      </c>
      <c r="G113" s="1220">
        <v>2272.11</v>
      </c>
      <c r="H113" s="1096">
        <f t="shared" si="4"/>
        <v>1.0923605769230771</v>
      </c>
      <c r="J113" s="794"/>
      <c r="K113" s="551"/>
      <c r="L113" s="1273"/>
      <c r="M113" s="662"/>
      <c r="N113" s="1274"/>
      <c r="O113" s="1272"/>
    </row>
    <row r="114" spans="2:15" ht="13" x14ac:dyDescent="0.3">
      <c r="B114" s="579">
        <f t="shared" si="5"/>
        <v>22</v>
      </c>
      <c r="C114" s="1079" t="s">
        <v>515</v>
      </c>
      <c r="D114" s="534" t="s">
        <v>1076</v>
      </c>
      <c r="E114" s="1218">
        <v>56115.15104416362</v>
      </c>
      <c r="F114" s="537">
        <v>0</v>
      </c>
      <c r="G114" s="1220">
        <v>2071.5</v>
      </c>
      <c r="H114" s="1096">
        <f t="shared" si="4"/>
        <v>0.9959134615384615</v>
      </c>
      <c r="J114" s="794"/>
      <c r="K114" s="551"/>
      <c r="L114" s="1273"/>
      <c r="M114" s="662"/>
      <c r="N114" s="1274"/>
      <c r="O114" s="1272"/>
    </row>
    <row r="115" spans="2:15" ht="13" x14ac:dyDescent="0.3">
      <c r="B115" s="579">
        <f t="shared" si="5"/>
        <v>23</v>
      </c>
      <c r="C115" s="1079" t="s">
        <v>515</v>
      </c>
      <c r="D115" s="534" t="s">
        <v>834</v>
      </c>
      <c r="E115" s="1218">
        <v>21008.837294146317</v>
      </c>
      <c r="F115" s="537">
        <v>368</v>
      </c>
      <c r="G115" s="1220">
        <v>744.25</v>
      </c>
      <c r="H115" s="1096">
        <f t="shared" si="4"/>
        <v>0.35781249999999998</v>
      </c>
      <c r="J115" s="794"/>
      <c r="K115" s="551"/>
      <c r="L115" s="1273"/>
      <c r="M115" s="662"/>
      <c r="N115" s="1274"/>
      <c r="O115" s="1272"/>
    </row>
    <row r="116" spans="2:15" ht="13" x14ac:dyDescent="0.3">
      <c r="B116" s="579">
        <f t="shared" si="5"/>
        <v>24</v>
      </c>
      <c r="C116" s="1079" t="s">
        <v>515</v>
      </c>
      <c r="D116" s="534" t="s">
        <v>1077</v>
      </c>
      <c r="E116" s="1218">
        <v>128872.98274346608</v>
      </c>
      <c r="F116" s="537">
        <v>28</v>
      </c>
      <c r="G116" s="1220">
        <v>2187</v>
      </c>
      <c r="H116" s="1096">
        <f t="shared" si="4"/>
        <v>1.0514423076923076</v>
      </c>
      <c r="J116" s="794"/>
      <c r="K116" s="551"/>
      <c r="L116" s="1273"/>
      <c r="M116" s="662"/>
      <c r="N116" s="1274"/>
      <c r="O116" s="1272"/>
    </row>
    <row r="117" spans="2:15" ht="13" x14ac:dyDescent="0.3">
      <c r="B117" s="579">
        <f t="shared" si="5"/>
        <v>25</v>
      </c>
      <c r="C117" s="1079" t="s">
        <v>515</v>
      </c>
      <c r="D117" s="534" t="s">
        <v>1077</v>
      </c>
      <c r="E117" s="1218">
        <v>115434.53201800329</v>
      </c>
      <c r="F117" s="537">
        <v>232</v>
      </c>
      <c r="G117" s="1220">
        <v>2100</v>
      </c>
      <c r="H117" s="1096">
        <f t="shared" si="4"/>
        <v>1.0096153846153846</v>
      </c>
      <c r="J117" s="794"/>
      <c r="K117" s="551"/>
      <c r="L117" s="1273"/>
      <c r="M117" s="662"/>
      <c r="N117" s="1274"/>
      <c r="O117" s="1272"/>
    </row>
    <row r="118" spans="2:15" ht="13" x14ac:dyDescent="0.3">
      <c r="B118" s="579">
        <f t="shared" si="5"/>
        <v>26</v>
      </c>
      <c r="C118" s="1079" t="s">
        <v>515</v>
      </c>
      <c r="D118" s="534" t="s">
        <v>1077</v>
      </c>
      <c r="E118" s="1218">
        <v>123335.19593652814</v>
      </c>
      <c r="F118" s="537">
        <v>17</v>
      </c>
      <c r="G118" s="1220">
        <v>2080</v>
      </c>
      <c r="H118" s="1096">
        <f t="shared" si="4"/>
        <v>1</v>
      </c>
      <c r="J118" s="794"/>
      <c r="K118" s="551"/>
      <c r="L118" s="1273"/>
      <c r="M118" s="662"/>
      <c r="N118" s="1274"/>
      <c r="O118" s="1272"/>
    </row>
    <row r="119" spans="2:15" ht="13" x14ac:dyDescent="0.3">
      <c r="B119" s="579">
        <f t="shared" si="5"/>
        <v>27</v>
      </c>
      <c r="C119" s="1079" t="s">
        <v>515</v>
      </c>
      <c r="D119" s="534" t="s">
        <v>1077</v>
      </c>
      <c r="E119" s="1218">
        <v>108201.34813058141</v>
      </c>
      <c r="F119" s="537">
        <v>37</v>
      </c>
      <c r="G119" s="1220">
        <v>1921</v>
      </c>
      <c r="H119" s="1096">
        <f t="shared" si="4"/>
        <v>0.92355769230769236</v>
      </c>
      <c r="J119" s="794"/>
      <c r="K119" s="551"/>
      <c r="L119" s="1273"/>
      <c r="M119" s="662"/>
      <c r="N119" s="1274"/>
      <c r="O119" s="1272"/>
    </row>
    <row r="120" spans="2:15" ht="13" x14ac:dyDescent="0.3">
      <c r="B120" s="579">
        <f t="shared" si="5"/>
        <v>28</v>
      </c>
      <c r="C120" s="1079" t="s">
        <v>515</v>
      </c>
      <c r="D120" s="534" t="s">
        <v>1077</v>
      </c>
      <c r="E120" s="1218">
        <v>117446.57563727901</v>
      </c>
      <c r="F120" s="537">
        <v>12</v>
      </c>
      <c r="G120" s="1220">
        <v>2010</v>
      </c>
      <c r="H120" s="1096">
        <f t="shared" si="4"/>
        <v>0.96634615384615385</v>
      </c>
      <c r="J120" s="794"/>
      <c r="K120" s="551"/>
      <c r="L120" s="1273"/>
      <c r="M120" s="662"/>
      <c r="N120" s="1274"/>
      <c r="O120" s="1272"/>
    </row>
    <row r="121" spans="2:15" ht="13" x14ac:dyDescent="0.3">
      <c r="B121" s="579">
        <f t="shared" si="5"/>
        <v>29</v>
      </c>
      <c r="C121" s="1079" t="s">
        <v>515</v>
      </c>
      <c r="D121" s="534" t="s">
        <v>1077</v>
      </c>
      <c r="E121" s="1218">
        <v>128484.7944331911</v>
      </c>
      <c r="F121" s="537">
        <v>58</v>
      </c>
      <c r="G121" s="1220">
        <v>2089.5000000000005</v>
      </c>
      <c r="H121" s="1096">
        <f t="shared" si="4"/>
        <v>1.0045673076923078</v>
      </c>
      <c r="J121" s="794"/>
      <c r="K121" s="551"/>
      <c r="L121" s="1273"/>
      <c r="M121" s="662"/>
      <c r="N121" s="1274"/>
      <c r="O121" s="1272"/>
    </row>
    <row r="122" spans="2:15" ht="13" x14ac:dyDescent="0.3">
      <c r="B122" s="579">
        <f t="shared" si="5"/>
        <v>30</v>
      </c>
      <c r="C122" s="1079" t="s">
        <v>515</v>
      </c>
      <c r="D122" s="534" t="s">
        <v>1077</v>
      </c>
      <c r="E122" s="1218">
        <v>113020.70925045606</v>
      </c>
      <c r="F122" s="537">
        <v>35</v>
      </c>
      <c r="G122" s="1220">
        <v>2080.0000000000014</v>
      </c>
      <c r="H122" s="1096">
        <f t="shared" si="4"/>
        <v>1.0000000000000007</v>
      </c>
      <c r="J122" s="794"/>
      <c r="K122" s="551"/>
      <c r="L122" s="1273"/>
      <c r="M122" s="662"/>
      <c r="N122" s="1274"/>
      <c r="O122" s="1272"/>
    </row>
    <row r="123" spans="2:15" ht="13" x14ac:dyDescent="0.3">
      <c r="B123" s="579">
        <f t="shared" si="5"/>
        <v>31</v>
      </c>
      <c r="C123" s="1079" t="s">
        <v>515</v>
      </c>
      <c r="D123" s="534" t="s">
        <v>1077</v>
      </c>
      <c r="E123" s="1218">
        <v>112126.29220460115</v>
      </c>
      <c r="F123" s="537">
        <v>54</v>
      </c>
      <c r="G123" s="1220">
        <v>1978</v>
      </c>
      <c r="H123" s="1096">
        <f t="shared" si="4"/>
        <v>0.95096153846153841</v>
      </c>
      <c r="J123" s="794"/>
      <c r="K123" s="551"/>
      <c r="L123" s="1273"/>
      <c r="M123" s="662"/>
      <c r="N123" s="1274"/>
      <c r="O123" s="1272"/>
    </row>
    <row r="124" spans="2:15" ht="13" x14ac:dyDescent="0.3">
      <c r="B124" s="579">
        <f t="shared" si="5"/>
        <v>32</v>
      </c>
      <c r="C124" s="1079" t="s">
        <v>515</v>
      </c>
      <c r="D124" s="534" t="s">
        <v>1077</v>
      </c>
      <c r="E124" s="1218">
        <v>116598.31747429603</v>
      </c>
      <c r="F124" s="537">
        <v>56</v>
      </c>
      <c r="G124" s="1220">
        <v>2024</v>
      </c>
      <c r="H124" s="1096">
        <f t="shared" si="4"/>
        <v>0.97307692307692306</v>
      </c>
      <c r="J124" s="794"/>
      <c r="K124" s="551"/>
      <c r="L124" s="1273"/>
      <c r="M124" s="662"/>
      <c r="N124" s="1274"/>
      <c r="O124" s="1272"/>
    </row>
    <row r="125" spans="2:15" ht="13" x14ac:dyDescent="0.3">
      <c r="B125" s="579">
        <f t="shared" si="5"/>
        <v>33</v>
      </c>
      <c r="C125" s="1079" t="s">
        <v>515</v>
      </c>
      <c r="D125" s="534" t="s">
        <v>1078</v>
      </c>
      <c r="E125" s="1218">
        <v>125853.58821054248</v>
      </c>
      <c r="F125" s="537">
        <v>3242</v>
      </c>
      <c r="G125" s="1220">
        <v>2080.0000000000005</v>
      </c>
      <c r="H125" s="1096">
        <f t="shared" ref="H125:H155" si="6">+G125/2080</f>
        <v>1.0000000000000002</v>
      </c>
      <c r="J125" s="794"/>
      <c r="K125" s="551"/>
      <c r="L125" s="1273"/>
      <c r="M125" s="662"/>
      <c r="N125" s="1274"/>
      <c r="O125" s="1272"/>
    </row>
    <row r="126" spans="2:15" ht="13" x14ac:dyDescent="0.3">
      <c r="B126" s="579">
        <f t="shared" si="5"/>
        <v>34</v>
      </c>
      <c r="C126" s="1079" t="s">
        <v>515</v>
      </c>
      <c r="D126" s="534" t="s">
        <v>1078</v>
      </c>
      <c r="E126" s="1218">
        <v>131976.78037765334</v>
      </c>
      <c r="F126" s="537">
        <v>3038</v>
      </c>
      <c r="G126" s="1219">
        <v>2080</v>
      </c>
      <c r="H126" s="1096">
        <f t="shared" si="6"/>
        <v>1</v>
      </c>
      <c r="J126" s="794"/>
      <c r="K126" s="551"/>
      <c r="L126" s="1273"/>
      <c r="M126" s="662"/>
      <c r="N126" s="1274"/>
      <c r="O126" s="1272"/>
    </row>
    <row r="127" spans="2:15" ht="13" x14ac:dyDescent="0.3">
      <c r="B127" s="579">
        <f t="shared" si="5"/>
        <v>35</v>
      </c>
      <c r="C127" s="1079" t="s">
        <v>515</v>
      </c>
      <c r="D127" s="534" t="s">
        <v>1078</v>
      </c>
      <c r="E127" s="1218">
        <v>132725.14588136191</v>
      </c>
      <c r="F127" s="537">
        <v>1639</v>
      </c>
      <c r="G127" s="1220">
        <v>1618</v>
      </c>
      <c r="H127" s="1096">
        <f t="shared" si="6"/>
        <v>0.7778846153846154</v>
      </c>
      <c r="J127" s="794"/>
      <c r="K127" s="551"/>
      <c r="L127" s="1273"/>
      <c r="M127" s="662"/>
      <c r="N127" s="1275"/>
      <c r="O127" s="1272"/>
    </row>
    <row r="128" spans="2:15" ht="13" x14ac:dyDescent="0.3">
      <c r="B128" s="579">
        <f t="shared" si="5"/>
        <v>36</v>
      </c>
      <c r="C128" s="1079" t="s">
        <v>515</v>
      </c>
      <c r="D128" s="534" t="s">
        <v>1078</v>
      </c>
      <c r="E128" s="1218">
        <v>25309.987755824979</v>
      </c>
      <c r="F128" s="537">
        <v>608</v>
      </c>
      <c r="G128" s="1220">
        <v>440</v>
      </c>
      <c r="H128" s="1096">
        <f t="shared" si="6"/>
        <v>0.21153846153846154</v>
      </c>
      <c r="J128" s="794"/>
      <c r="K128" s="551"/>
      <c r="L128" s="1273"/>
      <c r="M128" s="662"/>
      <c r="N128" s="1274"/>
      <c r="O128" s="1272"/>
    </row>
    <row r="129" spans="2:15" ht="13" x14ac:dyDescent="0.3">
      <c r="B129" s="579">
        <f t="shared" si="5"/>
        <v>37</v>
      </c>
      <c r="C129" s="1079" t="s">
        <v>515</v>
      </c>
      <c r="D129" s="534" t="s">
        <v>1078</v>
      </c>
      <c r="E129" s="1218">
        <v>142390.2403427822</v>
      </c>
      <c r="F129" s="537">
        <v>3340</v>
      </c>
      <c r="G129" s="1220">
        <v>2133</v>
      </c>
      <c r="H129" s="1096">
        <f t="shared" si="6"/>
        <v>1.0254807692307693</v>
      </c>
      <c r="J129" s="794"/>
      <c r="K129" s="551"/>
      <c r="L129" s="1273"/>
      <c r="M129" s="662"/>
      <c r="N129" s="1274"/>
      <c r="O129" s="1272"/>
    </row>
    <row r="130" spans="2:15" ht="13" x14ac:dyDescent="0.3">
      <c r="B130" s="579">
        <f t="shared" si="5"/>
        <v>38</v>
      </c>
      <c r="C130" s="1079" t="s">
        <v>515</v>
      </c>
      <c r="D130" s="534" t="s">
        <v>1078</v>
      </c>
      <c r="E130" s="1218">
        <v>176222.30310473224</v>
      </c>
      <c r="F130" s="537">
        <v>4087</v>
      </c>
      <c r="G130" s="1220">
        <v>2145</v>
      </c>
      <c r="H130" s="1096">
        <f t="shared" si="6"/>
        <v>1.03125</v>
      </c>
      <c r="J130" s="794"/>
      <c r="K130" s="551"/>
      <c r="L130" s="1273"/>
      <c r="M130" s="662"/>
      <c r="N130" s="1274"/>
      <c r="O130" s="1272"/>
    </row>
    <row r="131" spans="2:15" ht="13" x14ac:dyDescent="0.3">
      <c r="B131" s="579">
        <f t="shared" si="5"/>
        <v>39</v>
      </c>
      <c r="C131" s="1079" t="s">
        <v>515</v>
      </c>
      <c r="D131" s="534" t="s">
        <v>1078</v>
      </c>
      <c r="E131" s="1218">
        <v>18800.595937822578</v>
      </c>
      <c r="F131" s="537">
        <v>0</v>
      </c>
      <c r="G131" s="1220">
        <v>259.82</v>
      </c>
      <c r="H131" s="1096">
        <f t="shared" si="6"/>
        <v>0.12491346153846153</v>
      </c>
      <c r="J131" s="794"/>
      <c r="K131" s="551"/>
      <c r="L131" s="1273"/>
      <c r="M131" s="662"/>
      <c r="N131" s="1274"/>
      <c r="O131" s="1272"/>
    </row>
    <row r="132" spans="2:15" ht="13" x14ac:dyDescent="0.3">
      <c r="B132" s="579">
        <f t="shared" si="5"/>
        <v>40</v>
      </c>
      <c r="C132" s="1079" t="s">
        <v>515</v>
      </c>
      <c r="D132" s="534" t="s">
        <v>1078</v>
      </c>
      <c r="E132" s="1218">
        <v>36552.988501901978</v>
      </c>
      <c r="F132" s="537">
        <v>520</v>
      </c>
      <c r="G132" s="1220">
        <v>647.66000000000008</v>
      </c>
      <c r="H132" s="1096">
        <f t="shared" si="6"/>
        <v>0.31137500000000001</v>
      </c>
      <c r="J132" s="794"/>
      <c r="K132" s="551"/>
      <c r="L132" s="1273"/>
      <c r="M132" s="662"/>
      <c r="N132" s="1274"/>
      <c r="O132" s="1272"/>
    </row>
    <row r="133" spans="2:15" ht="13" x14ac:dyDescent="0.3">
      <c r="B133" s="579">
        <f t="shared" si="5"/>
        <v>41</v>
      </c>
      <c r="C133" s="1079" t="s">
        <v>515</v>
      </c>
      <c r="D133" s="534" t="s">
        <v>1078</v>
      </c>
      <c r="E133" s="1218">
        <v>52964.295133413631</v>
      </c>
      <c r="F133" s="537">
        <v>686</v>
      </c>
      <c r="G133" s="1220">
        <v>648</v>
      </c>
      <c r="H133" s="1096">
        <f t="shared" si="6"/>
        <v>0.31153846153846154</v>
      </c>
      <c r="J133" s="794"/>
      <c r="K133" s="551"/>
      <c r="L133" s="1273"/>
      <c r="M133" s="662"/>
      <c r="N133" s="1274"/>
      <c r="O133" s="1272"/>
    </row>
    <row r="134" spans="2:15" ht="13" x14ac:dyDescent="0.3">
      <c r="B134" s="579">
        <f t="shared" si="5"/>
        <v>42</v>
      </c>
      <c r="C134" s="1079" t="s">
        <v>515</v>
      </c>
      <c r="D134" s="534" t="s">
        <v>1078</v>
      </c>
      <c r="E134" s="1218">
        <v>141653.50699747639</v>
      </c>
      <c r="F134" s="537">
        <v>3323</v>
      </c>
      <c r="G134" s="1220">
        <v>2115</v>
      </c>
      <c r="H134" s="1096">
        <f t="shared" si="6"/>
        <v>1.0168269230769231</v>
      </c>
      <c r="J134" s="794"/>
      <c r="K134" s="551"/>
      <c r="L134" s="1273"/>
      <c r="M134" s="662"/>
      <c r="N134" s="1274"/>
      <c r="O134" s="1272"/>
    </row>
    <row r="135" spans="2:15" ht="13" x14ac:dyDescent="0.3">
      <c r="B135" s="579">
        <f t="shared" si="5"/>
        <v>43</v>
      </c>
      <c r="C135" s="1079" t="s">
        <v>515</v>
      </c>
      <c r="D135" s="534" t="s">
        <v>1078</v>
      </c>
      <c r="E135" s="1218">
        <v>99055.083909677516</v>
      </c>
      <c r="F135" s="537">
        <v>1394</v>
      </c>
      <c r="G135" s="1220">
        <v>2094.5</v>
      </c>
      <c r="H135" s="1096">
        <f t="shared" si="6"/>
        <v>1.0069711538461539</v>
      </c>
      <c r="J135" s="794"/>
      <c r="K135" s="551"/>
      <c r="L135" s="1273"/>
      <c r="M135" s="662"/>
      <c r="N135" s="1274"/>
      <c r="O135" s="1272"/>
    </row>
    <row r="136" spans="2:15" ht="13" x14ac:dyDescent="0.3">
      <c r="B136" s="579">
        <f t="shared" si="5"/>
        <v>44</v>
      </c>
      <c r="C136" s="1079" t="s">
        <v>515</v>
      </c>
      <c r="D136" s="534" t="s">
        <v>1078</v>
      </c>
      <c r="E136" s="1218">
        <v>130576.12460295526</v>
      </c>
      <c r="F136" s="537">
        <v>3038</v>
      </c>
      <c r="G136" s="1220">
        <v>1999.9999999999998</v>
      </c>
      <c r="H136" s="1096">
        <f t="shared" si="6"/>
        <v>0.96153846153846145</v>
      </c>
      <c r="J136" s="794"/>
      <c r="K136" s="551"/>
      <c r="L136" s="1273"/>
      <c r="M136" s="662"/>
      <c r="N136" s="1274"/>
      <c r="O136" s="1272"/>
    </row>
    <row r="137" spans="2:15" ht="13" x14ac:dyDescent="0.3">
      <c r="B137" s="579">
        <f t="shared" si="5"/>
        <v>45</v>
      </c>
      <c r="C137" s="1079" t="s">
        <v>515</v>
      </c>
      <c r="D137" s="534" t="s">
        <v>1078</v>
      </c>
      <c r="E137" s="1218">
        <v>93118.475960384894</v>
      </c>
      <c r="F137" s="537">
        <v>1674</v>
      </c>
      <c r="G137" s="1220">
        <v>1411.5</v>
      </c>
      <c r="H137" s="1096">
        <f t="shared" si="6"/>
        <v>0.67860576923076921</v>
      </c>
      <c r="J137" s="794"/>
      <c r="K137" s="551"/>
      <c r="L137" s="1273"/>
      <c r="M137" s="662"/>
      <c r="N137" s="1274"/>
      <c r="O137" s="1272"/>
    </row>
    <row r="138" spans="2:15" ht="13" x14ac:dyDescent="0.3">
      <c r="B138" s="579">
        <f t="shared" si="5"/>
        <v>46</v>
      </c>
      <c r="C138" s="1079" t="s">
        <v>515</v>
      </c>
      <c r="D138" s="534" t="s">
        <v>1078</v>
      </c>
      <c r="E138" s="1218">
        <v>110881.3114845425</v>
      </c>
      <c r="F138" s="537">
        <v>2574</v>
      </c>
      <c r="G138" s="1220">
        <v>2096</v>
      </c>
      <c r="H138" s="1096">
        <f t="shared" si="6"/>
        <v>1.0076923076923077</v>
      </c>
      <c r="J138" s="794"/>
      <c r="K138" s="551"/>
      <c r="L138" s="1273"/>
      <c r="M138" s="662"/>
      <c r="N138" s="1274"/>
      <c r="O138" s="1272"/>
    </row>
    <row r="139" spans="2:15" ht="13" x14ac:dyDescent="0.3">
      <c r="B139" s="579">
        <f t="shared" si="5"/>
        <v>47</v>
      </c>
      <c r="C139" s="1079" t="s">
        <v>515</v>
      </c>
      <c r="D139" s="534" t="s">
        <v>1078</v>
      </c>
      <c r="E139" s="1218">
        <v>111070.76376890845</v>
      </c>
      <c r="F139" s="537">
        <v>2858</v>
      </c>
      <c r="G139" s="1220">
        <v>2094</v>
      </c>
      <c r="H139" s="1096">
        <f t="shared" si="6"/>
        <v>1.0067307692307692</v>
      </c>
      <c r="J139" s="794"/>
      <c r="K139" s="551"/>
      <c r="L139" s="1273"/>
      <c r="M139" s="662"/>
      <c r="N139" s="1274"/>
      <c r="O139" s="1272"/>
    </row>
    <row r="140" spans="2:15" ht="13" x14ac:dyDescent="0.3">
      <c r="B140" s="579">
        <f t="shared" si="5"/>
        <v>48</v>
      </c>
      <c r="C140" s="1079" t="s">
        <v>515</v>
      </c>
      <c r="D140" s="534" t="s">
        <v>1078</v>
      </c>
      <c r="E140" s="1218">
        <v>129226.7242753779</v>
      </c>
      <c r="F140" s="537">
        <v>3544</v>
      </c>
      <c r="G140" s="1220">
        <v>2104</v>
      </c>
      <c r="H140" s="1096">
        <f t="shared" si="6"/>
        <v>1.0115384615384615</v>
      </c>
      <c r="J140" s="794"/>
      <c r="K140" s="551"/>
      <c r="L140" s="1273"/>
      <c r="M140" s="662"/>
      <c r="N140" s="1274"/>
      <c r="O140" s="1272"/>
    </row>
    <row r="141" spans="2:15" ht="13" x14ac:dyDescent="0.3">
      <c r="B141" s="579">
        <f t="shared" si="5"/>
        <v>49</v>
      </c>
      <c r="C141" s="1079" t="s">
        <v>515</v>
      </c>
      <c r="D141" s="534" t="s">
        <v>1078</v>
      </c>
      <c r="E141" s="1218">
        <v>125857.64547541499</v>
      </c>
      <c r="F141" s="537">
        <v>3487</v>
      </c>
      <c r="G141" s="1220">
        <v>2080</v>
      </c>
      <c r="H141" s="1096">
        <f t="shared" si="6"/>
        <v>1</v>
      </c>
      <c r="J141" s="794"/>
      <c r="K141" s="551"/>
      <c r="L141" s="1273"/>
      <c r="M141" s="662"/>
      <c r="N141" s="1274"/>
      <c r="O141" s="1272"/>
    </row>
    <row r="142" spans="2:15" ht="13" x14ac:dyDescent="0.3">
      <c r="B142" s="579">
        <f t="shared" si="5"/>
        <v>50</v>
      </c>
      <c r="C142" s="1079" t="s">
        <v>515</v>
      </c>
      <c r="D142" s="534" t="s">
        <v>1078</v>
      </c>
      <c r="E142" s="1218">
        <v>110043.66616711271</v>
      </c>
      <c r="F142" s="537">
        <v>2943</v>
      </c>
      <c r="G142" s="1220">
        <v>2080</v>
      </c>
      <c r="H142" s="1096">
        <f t="shared" si="6"/>
        <v>1</v>
      </c>
      <c r="J142" s="794"/>
      <c r="K142" s="551"/>
      <c r="L142" s="1273"/>
      <c r="M142" s="662"/>
      <c r="N142" s="1274"/>
      <c r="O142" s="1272"/>
    </row>
    <row r="143" spans="2:15" ht="13" x14ac:dyDescent="0.3">
      <c r="B143" s="579">
        <f t="shared" si="5"/>
        <v>51</v>
      </c>
      <c r="C143" s="1079" t="s">
        <v>515</v>
      </c>
      <c r="D143" s="534" t="s">
        <v>1078</v>
      </c>
      <c r="E143" s="1218">
        <v>35110.550893628002</v>
      </c>
      <c r="F143" s="537">
        <v>847</v>
      </c>
      <c r="G143" s="1220">
        <v>590.25</v>
      </c>
      <c r="H143" s="1096">
        <f t="shared" si="6"/>
        <v>0.28377403846153848</v>
      </c>
      <c r="J143" s="794"/>
      <c r="K143" s="551"/>
      <c r="L143" s="1273"/>
      <c r="M143" s="662"/>
      <c r="N143" s="1274"/>
      <c r="O143" s="1272"/>
    </row>
    <row r="144" spans="2:15" ht="13" x14ac:dyDescent="0.3">
      <c r="B144" s="579">
        <f t="shared" si="5"/>
        <v>52</v>
      </c>
      <c r="C144" s="1079" t="s">
        <v>515</v>
      </c>
      <c r="D144" s="534" t="s">
        <v>1078</v>
      </c>
      <c r="E144" s="1218">
        <v>31273.507563003299</v>
      </c>
      <c r="F144" s="537">
        <v>323</v>
      </c>
      <c r="G144" s="1220">
        <v>482.20000000000005</v>
      </c>
      <c r="H144" s="1096">
        <f t="shared" si="6"/>
        <v>0.2318269230769231</v>
      </c>
      <c r="J144" s="794"/>
      <c r="K144" s="551"/>
      <c r="L144" s="1273"/>
      <c r="M144" s="662"/>
      <c r="N144" s="1274"/>
      <c r="O144" s="1272"/>
    </row>
    <row r="145" spans="2:15" ht="13" x14ac:dyDescent="0.3">
      <c r="B145" s="579">
        <f t="shared" si="5"/>
        <v>53</v>
      </c>
      <c r="C145" s="1079" t="s">
        <v>515</v>
      </c>
      <c r="D145" s="534" t="s">
        <v>1078</v>
      </c>
      <c r="E145" s="1218">
        <v>81823.780063605023</v>
      </c>
      <c r="F145" s="537">
        <v>1451</v>
      </c>
      <c r="G145" s="1220">
        <v>1122</v>
      </c>
      <c r="H145" s="1096">
        <f t="shared" si="6"/>
        <v>0.53942307692307689</v>
      </c>
      <c r="J145" s="794"/>
      <c r="K145" s="551"/>
      <c r="L145" s="1273"/>
      <c r="M145" s="662"/>
      <c r="N145" s="1274"/>
      <c r="O145" s="1272"/>
    </row>
    <row r="146" spans="2:15" ht="13" x14ac:dyDescent="0.3">
      <c r="B146" s="579">
        <f t="shared" si="5"/>
        <v>54</v>
      </c>
      <c r="C146" s="1079" t="s">
        <v>515</v>
      </c>
      <c r="D146" s="534" t="s">
        <v>1078</v>
      </c>
      <c r="E146" s="1218">
        <v>89733.21806724825</v>
      </c>
      <c r="F146" s="537">
        <v>1876</v>
      </c>
      <c r="G146" s="1220">
        <v>1558</v>
      </c>
      <c r="H146" s="1096">
        <f t="shared" si="6"/>
        <v>0.74903846153846154</v>
      </c>
      <c r="J146" s="794"/>
      <c r="K146" s="551"/>
      <c r="L146" s="1273"/>
      <c r="M146" s="662"/>
      <c r="N146" s="1274"/>
      <c r="O146" s="1272"/>
    </row>
    <row r="147" spans="2:15" ht="13" x14ac:dyDescent="0.3">
      <c r="B147" s="579">
        <f t="shared" si="5"/>
        <v>55</v>
      </c>
      <c r="C147" s="1079" t="s">
        <v>515</v>
      </c>
      <c r="D147" s="534" t="s">
        <v>1078</v>
      </c>
      <c r="E147" s="1218">
        <v>111310.47217407166</v>
      </c>
      <c r="F147" s="537">
        <v>3079</v>
      </c>
      <c r="G147" s="1220">
        <v>2099.25</v>
      </c>
      <c r="H147" s="1096">
        <f t="shared" si="6"/>
        <v>1.0092548076923078</v>
      </c>
      <c r="J147" s="794"/>
      <c r="K147" s="551"/>
      <c r="L147" s="1273"/>
      <c r="M147" s="662"/>
      <c r="N147" s="1274"/>
      <c r="O147" s="1272"/>
    </row>
    <row r="148" spans="2:15" ht="13" x14ac:dyDescent="0.3">
      <c r="B148" s="579">
        <f t="shared" si="5"/>
        <v>56</v>
      </c>
      <c r="C148" s="1079" t="s">
        <v>515</v>
      </c>
      <c r="D148" s="534" t="s">
        <v>1078</v>
      </c>
      <c r="E148" s="1218">
        <v>109439.1137145861</v>
      </c>
      <c r="F148" s="537">
        <v>1250</v>
      </c>
      <c r="G148" s="1220">
        <v>1826.7499999999993</v>
      </c>
      <c r="H148" s="1096">
        <f t="shared" si="6"/>
        <v>0.87824519230769194</v>
      </c>
      <c r="J148" s="794"/>
      <c r="K148" s="551"/>
      <c r="L148" s="1273"/>
      <c r="M148" s="662"/>
      <c r="N148" s="1274"/>
      <c r="O148" s="1272"/>
    </row>
    <row r="149" spans="2:15" ht="13" x14ac:dyDescent="0.3">
      <c r="B149" s="579">
        <f t="shared" si="5"/>
        <v>57</v>
      </c>
      <c r="C149" s="1079" t="s">
        <v>515</v>
      </c>
      <c r="D149" s="534" t="s">
        <v>1078</v>
      </c>
      <c r="E149" s="1218">
        <v>157529.53447719067</v>
      </c>
      <c r="F149" s="537">
        <v>2156</v>
      </c>
      <c r="G149" s="1220">
        <v>2080</v>
      </c>
      <c r="H149" s="1096">
        <f t="shared" si="6"/>
        <v>1</v>
      </c>
      <c r="J149" s="794"/>
      <c r="K149" s="551"/>
      <c r="L149" s="1273"/>
      <c r="M149" s="662"/>
      <c r="N149" s="1274"/>
      <c r="O149" s="1272"/>
    </row>
    <row r="150" spans="2:15" ht="13" x14ac:dyDescent="0.3">
      <c r="B150" s="579">
        <f t="shared" si="5"/>
        <v>58</v>
      </c>
      <c r="C150" s="1079" t="s">
        <v>515</v>
      </c>
      <c r="D150" s="534" t="s">
        <v>1078</v>
      </c>
      <c r="E150" s="1218">
        <v>73936.257286231208</v>
      </c>
      <c r="F150" s="537">
        <v>483</v>
      </c>
      <c r="G150" s="1220">
        <v>1580</v>
      </c>
      <c r="H150" s="1096">
        <f t="shared" si="6"/>
        <v>0.75961538461538458</v>
      </c>
      <c r="J150" s="794"/>
      <c r="K150" s="551"/>
      <c r="L150" s="1273"/>
      <c r="M150" s="662"/>
      <c r="N150" s="1274"/>
      <c r="O150" s="1272"/>
    </row>
    <row r="151" spans="2:15" ht="13" x14ac:dyDescent="0.3">
      <c r="B151" s="579">
        <f t="shared" si="5"/>
        <v>59</v>
      </c>
      <c r="C151" s="1079" t="s">
        <v>515</v>
      </c>
      <c r="D151" s="534" t="s">
        <v>1078</v>
      </c>
      <c r="E151" s="1218">
        <v>122780.81965869297</v>
      </c>
      <c r="F151" s="537">
        <v>1822</v>
      </c>
      <c r="G151" s="1220">
        <v>2092</v>
      </c>
      <c r="H151" s="1096">
        <f t="shared" si="6"/>
        <v>1.0057692307692307</v>
      </c>
      <c r="J151" s="794"/>
      <c r="K151" s="551"/>
      <c r="L151" s="1273"/>
      <c r="M151" s="662"/>
      <c r="N151" s="1274"/>
      <c r="O151" s="1272"/>
    </row>
    <row r="152" spans="2:15" ht="13" x14ac:dyDescent="0.3">
      <c r="B152" s="579">
        <f t="shared" si="5"/>
        <v>60</v>
      </c>
      <c r="C152" s="1079" t="s">
        <v>515</v>
      </c>
      <c r="D152" s="534" t="s">
        <v>1078</v>
      </c>
      <c r="E152" s="1218">
        <v>90064.664628887811</v>
      </c>
      <c r="F152" s="537">
        <v>1428</v>
      </c>
      <c r="G152" s="1220">
        <v>1499</v>
      </c>
      <c r="H152" s="1096">
        <f t="shared" si="6"/>
        <v>0.72067307692307692</v>
      </c>
      <c r="J152" s="794"/>
      <c r="K152" s="551"/>
      <c r="L152" s="1273"/>
      <c r="M152" s="662"/>
      <c r="N152" s="1274"/>
      <c r="O152" s="1272"/>
    </row>
    <row r="153" spans="2:15" ht="13" x14ac:dyDescent="0.3">
      <c r="B153" s="579">
        <f t="shared" si="5"/>
        <v>61</v>
      </c>
      <c r="C153" s="1079" t="s">
        <v>515</v>
      </c>
      <c r="D153" s="534" t="s">
        <v>1078</v>
      </c>
      <c r="E153" s="1218">
        <v>111187.96476010175</v>
      </c>
      <c r="F153" s="537">
        <v>2605</v>
      </c>
      <c r="G153" s="1220">
        <v>2095.75</v>
      </c>
      <c r="H153" s="1096">
        <f t="shared" si="6"/>
        <v>1.0075721153846153</v>
      </c>
      <c r="J153" s="794"/>
      <c r="K153" s="551"/>
      <c r="L153" s="1273"/>
      <c r="M153" s="662"/>
      <c r="N153" s="1274"/>
      <c r="O153" s="1272"/>
    </row>
    <row r="154" spans="2:15" ht="13" x14ac:dyDescent="0.3">
      <c r="B154" s="579">
        <f t="shared" si="5"/>
        <v>62</v>
      </c>
      <c r="C154" s="1079" t="s">
        <v>515</v>
      </c>
      <c r="D154" s="534" t="s">
        <v>1078</v>
      </c>
      <c r="E154" s="1218">
        <v>110279.98685604005</v>
      </c>
      <c r="F154" s="537">
        <v>2732</v>
      </c>
      <c r="G154" s="1220">
        <v>2080</v>
      </c>
      <c r="H154" s="1096">
        <f t="shared" si="6"/>
        <v>1</v>
      </c>
      <c r="J154" s="794"/>
      <c r="K154" s="551"/>
      <c r="L154" s="1273"/>
      <c r="M154" s="662"/>
      <c r="N154" s="1274"/>
      <c r="O154" s="1272"/>
    </row>
    <row r="155" spans="2:15" ht="13" x14ac:dyDescent="0.3">
      <c r="B155" s="579">
        <f t="shared" si="5"/>
        <v>63</v>
      </c>
      <c r="C155" s="1079" t="s">
        <v>515</v>
      </c>
      <c r="D155" s="534" t="s">
        <v>1078</v>
      </c>
      <c r="E155" s="1218">
        <v>4304.2183934911036</v>
      </c>
      <c r="F155" s="537">
        <v>0</v>
      </c>
      <c r="G155" s="1220">
        <v>15.300000000000002</v>
      </c>
      <c r="H155" s="1096">
        <f t="shared" si="6"/>
        <v>7.3557692307692317E-3</v>
      </c>
      <c r="J155" s="794"/>
      <c r="K155" s="551"/>
      <c r="L155" s="1273"/>
      <c r="M155" s="662"/>
      <c r="N155" s="1274"/>
      <c r="O155" s="1272"/>
    </row>
    <row r="156" spans="2:15" ht="13" x14ac:dyDescent="0.3">
      <c r="B156" s="579">
        <f t="shared" si="5"/>
        <v>64</v>
      </c>
      <c r="C156" s="1079" t="s">
        <v>515</v>
      </c>
      <c r="D156" s="534" t="s">
        <v>1078</v>
      </c>
      <c r="E156" s="1218">
        <v>30813.747501455578</v>
      </c>
      <c r="F156" s="537">
        <v>516</v>
      </c>
      <c r="G156" s="1220">
        <v>533</v>
      </c>
      <c r="H156" s="1096">
        <f t="shared" ref="H156:H219" si="7">+G156/2080</f>
        <v>0.25624999999999998</v>
      </c>
      <c r="J156" s="794"/>
      <c r="K156" s="551"/>
      <c r="L156" s="1273"/>
      <c r="M156" s="662"/>
      <c r="N156" s="1274"/>
      <c r="O156" s="1272"/>
    </row>
    <row r="157" spans="2:15" ht="13" x14ac:dyDescent="0.3">
      <c r="B157" s="579">
        <f t="shared" si="5"/>
        <v>65</v>
      </c>
      <c r="C157" s="1079" t="s">
        <v>515</v>
      </c>
      <c r="D157" s="534" t="s">
        <v>1078</v>
      </c>
      <c r="E157" s="1218">
        <v>111876.04090672736</v>
      </c>
      <c r="F157" s="537">
        <v>2076</v>
      </c>
      <c r="G157" s="1220">
        <v>1659.4</v>
      </c>
      <c r="H157" s="1096">
        <f t="shared" si="7"/>
        <v>0.79778846153846161</v>
      </c>
      <c r="J157" s="794"/>
      <c r="K157" s="551"/>
      <c r="L157" s="1273"/>
      <c r="M157" s="662"/>
      <c r="N157" s="1274"/>
      <c r="O157" s="1272"/>
    </row>
    <row r="158" spans="2:15" ht="13" x14ac:dyDescent="0.3">
      <c r="B158" s="579">
        <f t="shared" si="5"/>
        <v>66</v>
      </c>
      <c r="C158" s="1079" t="s">
        <v>515</v>
      </c>
      <c r="D158" s="534" t="s">
        <v>1078</v>
      </c>
      <c r="E158" s="1218">
        <v>124508.12522867885</v>
      </c>
      <c r="F158" s="537">
        <v>2978</v>
      </c>
      <c r="G158" s="1220">
        <v>2084</v>
      </c>
      <c r="H158" s="1096">
        <f t="shared" si="7"/>
        <v>1.0019230769230769</v>
      </c>
      <c r="J158" s="794"/>
      <c r="K158" s="551"/>
      <c r="L158" s="1273"/>
      <c r="M158" s="662"/>
      <c r="N158" s="1274"/>
      <c r="O158" s="1272"/>
    </row>
    <row r="159" spans="2:15" ht="13" x14ac:dyDescent="0.3">
      <c r="B159" s="579">
        <f t="shared" ref="B159:B222" si="8">+B158+1</f>
        <v>67</v>
      </c>
      <c r="C159" s="1079" t="s">
        <v>515</v>
      </c>
      <c r="D159" s="534" t="s">
        <v>1078</v>
      </c>
      <c r="E159" s="1218">
        <v>55848.470821535288</v>
      </c>
      <c r="F159" s="537">
        <v>1092</v>
      </c>
      <c r="G159" s="1220">
        <v>858.5</v>
      </c>
      <c r="H159" s="1096">
        <f t="shared" si="7"/>
        <v>0.41274038461538459</v>
      </c>
      <c r="J159" s="794"/>
      <c r="K159" s="551"/>
      <c r="L159" s="1273"/>
      <c r="M159" s="662"/>
      <c r="N159" s="1274"/>
      <c r="O159" s="1272"/>
    </row>
    <row r="160" spans="2:15" ht="13" x14ac:dyDescent="0.3">
      <c r="B160" s="579">
        <f t="shared" si="8"/>
        <v>68</v>
      </c>
      <c r="C160" s="1079" t="s">
        <v>515</v>
      </c>
      <c r="D160" s="534" t="s">
        <v>1078</v>
      </c>
      <c r="E160" s="1218">
        <v>159101.74460180473</v>
      </c>
      <c r="F160" s="537">
        <v>3967</v>
      </c>
      <c r="G160" s="1220">
        <v>2092</v>
      </c>
      <c r="H160" s="1096">
        <f t="shared" si="7"/>
        <v>1.0057692307692307</v>
      </c>
      <c r="J160" s="794"/>
      <c r="K160" s="551"/>
      <c r="L160" s="1273"/>
      <c r="M160" s="662"/>
      <c r="N160" s="1274"/>
      <c r="O160" s="1272"/>
    </row>
    <row r="161" spans="2:15" ht="13" x14ac:dyDescent="0.3">
      <c r="B161" s="579">
        <f t="shared" si="8"/>
        <v>69</v>
      </c>
      <c r="C161" s="1079" t="s">
        <v>515</v>
      </c>
      <c r="D161" s="534" t="s">
        <v>1078</v>
      </c>
      <c r="E161" s="1218">
        <v>58724.242175278239</v>
      </c>
      <c r="F161" s="537">
        <v>958</v>
      </c>
      <c r="G161" s="1220">
        <v>983.58</v>
      </c>
      <c r="H161" s="1096">
        <f t="shared" si="7"/>
        <v>0.47287500000000005</v>
      </c>
      <c r="J161" s="794"/>
      <c r="K161" s="551"/>
      <c r="L161" s="1273"/>
      <c r="M161" s="662"/>
      <c r="N161" s="1274"/>
      <c r="O161" s="1272"/>
    </row>
    <row r="162" spans="2:15" ht="13" x14ac:dyDescent="0.3">
      <c r="B162" s="579">
        <f t="shared" si="8"/>
        <v>70</v>
      </c>
      <c r="C162" s="1079" t="s">
        <v>515</v>
      </c>
      <c r="D162" s="534" t="s">
        <v>1078</v>
      </c>
      <c r="E162" s="1218">
        <v>143426.68164570045</v>
      </c>
      <c r="F162" s="537">
        <v>3119</v>
      </c>
      <c r="G162" s="1220">
        <v>2082.8999999999996</v>
      </c>
      <c r="H162" s="1096">
        <f t="shared" si="7"/>
        <v>1.0013942307692305</v>
      </c>
      <c r="J162" s="794"/>
      <c r="K162" s="551"/>
      <c r="L162" s="1273"/>
      <c r="M162" s="662"/>
      <c r="N162" s="1274"/>
      <c r="O162" s="1272"/>
    </row>
    <row r="163" spans="2:15" ht="13" x14ac:dyDescent="0.3">
      <c r="B163" s="579">
        <f t="shared" si="8"/>
        <v>71</v>
      </c>
      <c r="C163" s="1079" t="s">
        <v>515</v>
      </c>
      <c r="D163" s="534" t="s">
        <v>1078</v>
      </c>
      <c r="E163" s="1218">
        <v>126357.66839452731</v>
      </c>
      <c r="F163" s="537">
        <v>3759</v>
      </c>
      <c r="G163" s="1220">
        <v>2092</v>
      </c>
      <c r="H163" s="1096">
        <f t="shared" si="7"/>
        <v>1.0057692307692307</v>
      </c>
      <c r="J163" s="794"/>
      <c r="K163" s="551"/>
      <c r="L163" s="1273"/>
      <c r="M163" s="662"/>
      <c r="N163" s="1274"/>
      <c r="O163" s="1272"/>
    </row>
    <row r="164" spans="2:15" ht="13" x14ac:dyDescent="0.3">
      <c r="B164" s="579">
        <f t="shared" si="8"/>
        <v>72</v>
      </c>
      <c r="C164" s="1079" t="s">
        <v>515</v>
      </c>
      <c r="D164" s="534" t="s">
        <v>1078</v>
      </c>
      <c r="E164" s="1218">
        <v>103696.8547486434</v>
      </c>
      <c r="F164" s="537">
        <v>1499</v>
      </c>
      <c r="G164" s="1220">
        <v>1529.3000000000006</v>
      </c>
      <c r="H164" s="1096">
        <f t="shared" si="7"/>
        <v>0.73524038461538488</v>
      </c>
      <c r="J164" s="794"/>
      <c r="K164" s="551"/>
      <c r="L164" s="1273"/>
      <c r="M164" s="662"/>
      <c r="N164" s="1274"/>
      <c r="O164" s="1272"/>
    </row>
    <row r="165" spans="2:15" ht="13" x14ac:dyDescent="0.3">
      <c r="B165" s="579">
        <f t="shared" si="8"/>
        <v>73</v>
      </c>
      <c r="C165" s="1079" t="s">
        <v>515</v>
      </c>
      <c r="D165" s="534" t="s">
        <v>1078</v>
      </c>
      <c r="E165" s="1218">
        <v>70774.228907187047</v>
      </c>
      <c r="F165" s="537">
        <v>494</v>
      </c>
      <c r="G165" s="1220">
        <v>1560.9599999999998</v>
      </c>
      <c r="H165" s="1096">
        <f t="shared" si="7"/>
        <v>0.7504615384615384</v>
      </c>
      <c r="J165" s="794"/>
      <c r="K165" s="551"/>
      <c r="L165" s="1273"/>
      <c r="M165" s="662"/>
      <c r="N165" s="1274"/>
      <c r="O165" s="1272"/>
    </row>
    <row r="166" spans="2:15" ht="13" x14ac:dyDescent="0.3">
      <c r="B166" s="579">
        <f t="shared" si="8"/>
        <v>74</v>
      </c>
      <c r="C166" s="1079" t="s">
        <v>515</v>
      </c>
      <c r="D166" s="534" t="s">
        <v>1078</v>
      </c>
      <c r="E166" s="1218">
        <v>120863.05248475469</v>
      </c>
      <c r="F166" s="537">
        <v>2134</v>
      </c>
      <c r="G166" s="1220">
        <v>2091</v>
      </c>
      <c r="H166" s="1096">
        <f t="shared" si="7"/>
        <v>1.0052884615384616</v>
      </c>
      <c r="J166" s="794"/>
      <c r="K166" s="551"/>
      <c r="L166" s="1273"/>
      <c r="M166" s="662"/>
      <c r="N166" s="1274"/>
      <c r="O166" s="1272"/>
    </row>
    <row r="167" spans="2:15" ht="13" x14ac:dyDescent="0.3">
      <c r="B167" s="579">
        <f t="shared" si="8"/>
        <v>75</v>
      </c>
      <c r="C167" s="1079" t="s">
        <v>515</v>
      </c>
      <c r="D167" s="534" t="s">
        <v>1078</v>
      </c>
      <c r="E167" s="1218">
        <v>141136.12578012879</v>
      </c>
      <c r="F167" s="537">
        <v>3316</v>
      </c>
      <c r="G167" s="1220">
        <v>2100</v>
      </c>
      <c r="H167" s="1096">
        <f t="shared" si="7"/>
        <v>1.0096153846153846</v>
      </c>
      <c r="J167" s="794"/>
      <c r="K167" s="551"/>
      <c r="L167" s="1273"/>
      <c r="M167" s="662"/>
      <c r="N167" s="1274"/>
      <c r="O167" s="1272"/>
    </row>
    <row r="168" spans="2:15" ht="13" x14ac:dyDescent="0.3">
      <c r="B168" s="579">
        <f t="shared" si="8"/>
        <v>76</v>
      </c>
      <c r="C168" s="1079" t="s">
        <v>515</v>
      </c>
      <c r="D168" s="534" t="s">
        <v>1078</v>
      </c>
      <c r="E168" s="1218">
        <v>108726.70397198875</v>
      </c>
      <c r="F168" s="537">
        <v>1880</v>
      </c>
      <c r="G168" s="1220">
        <v>1688</v>
      </c>
      <c r="H168" s="1096">
        <f t="shared" si="7"/>
        <v>0.81153846153846154</v>
      </c>
      <c r="J168" s="794"/>
      <c r="K168" s="551"/>
      <c r="L168" s="1273"/>
      <c r="M168" s="662"/>
      <c r="N168" s="1274"/>
      <c r="O168" s="1272"/>
    </row>
    <row r="169" spans="2:15" ht="13" x14ac:dyDescent="0.3">
      <c r="B169" s="579">
        <f t="shared" si="8"/>
        <v>77</v>
      </c>
      <c r="C169" s="1079" t="s">
        <v>515</v>
      </c>
      <c r="D169" s="534" t="s">
        <v>1078</v>
      </c>
      <c r="E169" s="1218">
        <v>143713.68816574413</v>
      </c>
      <c r="F169" s="537">
        <v>3703</v>
      </c>
      <c r="G169" s="1220">
        <v>2123</v>
      </c>
      <c r="H169" s="1096">
        <f t="shared" si="7"/>
        <v>1.020673076923077</v>
      </c>
      <c r="J169" s="794"/>
      <c r="K169" s="551"/>
      <c r="L169" s="1273"/>
      <c r="M169" s="662"/>
      <c r="N169" s="1274"/>
      <c r="O169" s="1272"/>
    </row>
    <row r="170" spans="2:15" ht="13" x14ac:dyDescent="0.3">
      <c r="B170" s="579">
        <f t="shared" si="8"/>
        <v>78</v>
      </c>
      <c r="C170" s="1079" t="s">
        <v>515</v>
      </c>
      <c r="D170" s="534" t="s">
        <v>1078</v>
      </c>
      <c r="E170" s="1218">
        <v>48978.422133464046</v>
      </c>
      <c r="F170" s="537">
        <v>643</v>
      </c>
      <c r="G170" s="1220">
        <v>819.5</v>
      </c>
      <c r="H170" s="1096">
        <f t="shared" si="7"/>
        <v>0.3939903846153846</v>
      </c>
      <c r="J170" s="794"/>
      <c r="K170" s="551"/>
      <c r="L170" s="1273"/>
      <c r="M170" s="662"/>
      <c r="N170" s="1274"/>
      <c r="O170" s="1272"/>
    </row>
    <row r="171" spans="2:15" ht="13" x14ac:dyDescent="0.3">
      <c r="B171" s="579">
        <f t="shared" si="8"/>
        <v>79</v>
      </c>
      <c r="C171" s="1079" t="s">
        <v>515</v>
      </c>
      <c r="D171" s="534" t="s">
        <v>1078</v>
      </c>
      <c r="E171" s="1218">
        <v>110328.73399408924</v>
      </c>
      <c r="F171" s="537">
        <v>2917</v>
      </c>
      <c r="G171" s="1220">
        <v>2086</v>
      </c>
      <c r="H171" s="1096">
        <f t="shared" si="7"/>
        <v>1.0028846153846154</v>
      </c>
      <c r="J171" s="794"/>
      <c r="K171" s="551"/>
      <c r="L171" s="1273"/>
      <c r="M171" s="662"/>
      <c r="N171" s="1274"/>
      <c r="O171" s="1272"/>
    </row>
    <row r="172" spans="2:15" ht="13" x14ac:dyDescent="0.3">
      <c r="B172" s="579">
        <f t="shared" si="8"/>
        <v>80</v>
      </c>
      <c r="C172" s="1079" t="s">
        <v>515</v>
      </c>
      <c r="D172" s="534" t="s">
        <v>1078</v>
      </c>
      <c r="E172" s="1218">
        <v>123868.45644915248</v>
      </c>
      <c r="F172" s="537">
        <v>3479</v>
      </c>
      <c r="G172" s="1220">
        <v>2088</v>
      </c>
      <c r="H172" s="1096">
        <f t="shared" si="7"/>
        <v>1.0038461538461538</v>
      </c>
      <c r="J172" s="794"/>
      <c r="K172" s="551"/>
      <c r="L172" s="1273"/>
      <c r="M172" s="662"/>
      <c r="N172" s="1274"/>
      <c r="O172" s="1272"/>
    </row>
    <row r="173" spans="2:15" ht="13" x14ac:dyDescent="0.3">
      <c r="B173" s="579">
        <f t="shared" si="8"/>
        <v>81</v>
      </c>
      <c r="C173" s="1079" t="s">
        <v>515</v>
      </c>
      <c r="D173" s="534" t="s">
        <v>1078</v>
      </c>
      <c r="E173" s="1218">
        <v>110218.07859031338</v>
      </c>
      <c r="F173" s="537">
        <v>3336</v>
      </c>
      <c r="G173" s="1220">
        <v>2084.0000000000005</v>
      </c>
      <c r="H173" s="1096">
        <f t="shared" si="7"/>
        <v>1.0019230769230771</v>
      </c>
      <c r="J173" s="794"/>
      <c r="K173" s="551"/>
      <c r="L173" s="1273"/>
      <c r="M173" s="662"/>
      <c r="N173" s="1274"/>
      <c r="O173" s="1272"/>
    </row>
    <row r="174" spans="2:15" ht="13" x14ac:dyDescent="0.3">
      <c r="B174" s="579">
        <f t="shared" si="8"/>
        <v>82</v>
      </c>
      <c r="C174" s="1079" t="s">
        <v>515</v>
      </c>
      <c r="D174" s="534" t="s">
        <v>1078</v>
      </c>
      <c r="E174" s="1218">
        <v>116540.86620397118</v>
      </c>
      <c r="F174" s="537">
        <v>2906</v>
      </c>
      <c r="G174" s="1220">
        <v>2108</v>
      </c>
      <c r="H174" s="1096">
        <f t="shared" si="7"/>
        <v>1.0134615384615384</v>
      </c>
      <c r="J174" s="794"/>
      <c r="K174" s="551"/>
      <c r="L174" s="1273"/>
      <c r="M174" s="662"/>
      <c r="N174" s="1274"/>
      <c r="O174" s="1272"/>
    </row>
    <row r="175" spans="2:15" ht="13" x14ac:dyDescent="0.3">
      <c r="B175" s="579">
        <f t="shared" si="8"/>
        <v>83</v>
      </c>
      <c r="C175" s="1079" t="s">
        <v>515</v>
      </c>
      <c r="D175" s="534" t="s">
        <v>1078</v>
      </c>
      <c r="E175" s="1218">
        <v>29288.225902664766</v>
      </c>
      <c r="F175" s="537">
        <v>538</v>
      </c>
      <c r="G175" s="1220">
        <v>512</v>
      </c>
      <c r="H175" s="1096">
        <f t="shared" si="7"/>
        <v>0.24615384615384617</v>
      </c>
      <c r="J175" s="794"/>
      <c r="K175" s="551"/>
      <c r="L175" s="1273"/>
      <c r="M175" s="662"/>
      <c r="N175" s="1274"/>
      <c r="O175" s="1272"/>
    </row>
    <row r="176" spans="2:15" ht="13" x14ac:dyDescent="0.3">
      <c r="B176" s="579">
        <f t="shared" si="8"/>
        <v>84</v>
      </c>
      <c r="C176" s="1079" t="s">
        <v>515</v>
      </c>
      <c r="D176" s="534" t="s">
        <v>1078</v>
      </c>
      <c r="E176" s="1218">
        <v>70040.413594745201</v>
      </c>
      <c r="F176" s="537">
        <v>1854</v>
      </c>
      <c r="G176" s="1220">
        <v>1113.5</v>
      </c>
      <c r="H176" s="1096">
        <f t="shared" si="7"/>
        <v>0.5353365384615385</v>
      </c>
      <c r="J176" s="794"/>
      <c r="K176" s="551"/>
      <c r="L176" s="1273"/>
      <c r="M176" s="662"/>
      <c r="N176" s="1274"/>
      <c r="O176" s="1272"/>
    </row>
    <row r="177" spans="2:15" ht="13" x14ac:dyDescent="0.3">
      <c r="B177" s="579">
        <f t="shared" si="8"/>
        <v>85</v>
      </c>
      <c r="C177" s="1079" t="s">
        <v>515</v>
      </c>
      <c r="D177" s="534" t="s">
        <v>1078</v>
      </c>
      <c r="E177" s="1218">
        <v>128583.51788066718</v>
      </c>
      <c r="F177" s="537">
        <v>2960</v>
      </c>
      <c r="G177" s="1220">
        <v>2080</v>
      </c>
      <c r="H177" s="1096">
        <f t="shared" si="7"/>
        <v>1</v>
      </c>
      <c r="J177" s="794"/>
      <c r="K177" s="551"/>
      <c r="L177" s="1273"/>
      <c r="M177" s="662"/>
      <c r="N177" s="1274"/>
      <c r="O177" s="1272"/>
    </row>
    <row r="178" spans="2:15" ht="13" x14ac:dyDescent="0.3">
      <c r="B178" s="579">
        <f t="shared" si="8"/>
        <v>86</v>
      </c>
      <c r="C178" s="1079" t="s">
        <v>515</v>
      </c>
      <c r="D178" s="534" t="s">
        <v>1078</v>
      </c>
      <c r="E178" s="1218">
        <v>133152.87753424878</v>
      </c>
      <c r="F178" s="537">
        <v>2619</v>
      </c>
      <c r="G178" s="1220">
        <v>1610.1</v>
      </c>
      <c r="H178" s="1096">
        <f t="shared" si="7"/>
        <v>0.77408653846153841</v>
      </c>
      <c r="J178" s="794"/>
      <c r="K178" s="551"/>
      <c r="L178" s="1273"/>
      <c r="M178" s="662"/>
      <c r="N178" s="1274"/>
      <c r="O178" s="1272"/>
    </row>
    <row r="179" spans="2:15" ht="13" x14ac:dyDescent="0.3">
      <c r="B179" s="579">
        <f t="shared" si="8"/>
        <v>87</v>
      </c>
      <c r="C179" s="1079" t="s">
        <v>515</v>
      </c>
      <c r="D179" s="534" t="s">
        <v>1079</v>
      </c>
      <c r="E179" s="1218">
        <v>67800.423641131099</v>
      </c>
      <c r="F179" s="537">
        <v>667</v>
      </c>
      <c r="G179" s="1220">
        <v>1672</v>
      </c>
      <c r="H179" s="1096">
        <f t="shared" si="7"/>
        <v>0.80384615384615388</v>
      </c>
      <c r="J179" s="794"/>
      <c r="K179" s="551"/>
      <c r="L179" s="1273"/>
      <c r="M179" s="662"/>
      <c r="N179" s="1274"/>
      <c r="O179" s="1272"/>
    </row>
    <row r="180" spans="2:15" ht="13" x14ac:dyDescent="0.3">
      <c r="B180" s="579">
        <f t="shared" si="8"/>
        <v>88</v>
      </c>
      <c r="C180" s="1079" t="s">
        <v>515</v>
      </c>
      <c r="D180" s="534" t="s">
        <v>1079</v>
      </c>
      <c r="E180" s="1218">
        <v>65851.707330961101</v>
      </c>
      <c r="F180" s="537">
        <v>620</v>
      </c>
      <c r="G180" s="1220">
        <v>1672</v>
      </c>
      <c r="H180" s="1096">
        <f t="shared" si="7"/>
        <v>0.80384615384615388</v>
      </c>
      <c r="J180" s="794"/>
      <c r="K180" s="551"/>
      <c r="L180" s="1273"/>
      <c r="M180" s="662"/>
      <c r="N180" s="1274"/>
      <c r="O180" s="1272"/>
    </row>
    <row r="181" spans="2:15" ht="13" x14ac:dyDescent="0.3">
      <c r="B181" s="579">
        <f t="shared" si="8"/>
        <v>89</v>
      </c>
      <c r="C181" s="1079" t="s">
        <v>515</v>
      </c>
      <c r="D181" s="534" t="s">
        <v>1079</v>
      </c>
      <c r="E181" s="1218">
        <v>16461.322913991426</v>
      </c>
      <c r="F181" s="537">
        <v>113</v>
      </c>
      <c r="G181" s="1220">
        <v>436</v>
      </c>
      <c r="H181" s="1096">
        <f t="shared" si="7"/>
        <v>0.20961538461538462</v>
      </c>
      <c r="J181" s="794"/>
      <c r="K181" s="551"/>
      <c r="L181" s="1273"/>
      <c r="M181" s="662"/>
      <c r="N181" s="1274"/>
      <c r="O181" s="1272"/>
    </row>
    <row r="182" spans="2:15" ht="13" x14ac:dyDescent="0.3">
      <c r="B182" s="579">
        <f t="shared" si="8"/>
        <v>90</v>
      </c>
      <c r="C182" s="1079" t="s">
        <v>515</v>
      </c>
      <c r="D182" s="534" t="s">
        <v>1079</v>
      </c>
      <c r="E182" s="1218">
        <v>65801.810967640107</v>
      </c>
      <c r="F182" s="537">
        <v>694</v>
      </c>
      <c r="G182" s="1220">
        <v>1672</v>
      </c>
      <c r="H182" s="1096">
        <f t="shared" si="7"/>
        <v>0.80384615384615388</v>
      </c>
      <c r="J182" s="794"/>
      <c r="K182" s="551"/>
      <c r="L182" s="1273"/>
      <c r="M182" s="662"/>
      <c r="N182" s="1274"/>
      <c r="O182" s="1272"/>
    </row>
    <row r="183" spans="2:15" ht="13" x14ac:dyDescent="0.3">
      <c r="B183" s="579">
        <f t="shared" si="8"/>
        <v>91</v>
      </c>
      <c r="C183" s="1079" t="s">
        <v>515</v>
      </c>
      <c r="D183" s="534" t="s">
        <v>1079</v>
      </c>
      <c r="E183" s="1218">
        <v>65801.7110350078</v>
      </c>
      <c r="F183" s="537">
        <v>627</v>
      </c>
      <c r="G183" s="1220">
        <v>1672</v>
      </c>
      <c r="H183" s="1096">
        <f t="shared" si="7"/>
        <v>0.80384615384615388</v>
      </c>
      <c r="J183" s="794"/>
      <c r="K183" s="551"/>
      <c r="L183" s="1273"/>
      <c r="M183" s="662"/>
      <c r="N183" s="1274"/>
      <c r="O183" s="1272"/>
    </row>
    <row r="184" spans="2:15" ht="13" x14ac:dyDescent="0.3">
      <c r="B184" s="579">
        <f t="shared" si="8"/>
        <v>92</v>
      </c>
      <c r="C184" s="1079" t="s">
        <v>515</v>
      </c>
      <c r="D184" s="534" t="s">
        <v>1079</v>
      </c>
      <c r="E184" s="1218">
        <v>65801.850940693068</v>
      </c>
      <c r="F184" s="537">
        <v>578</v>
      </c>
      <c r="G184" s="1220">
        <v>1672</v>
      </c>
      <c r="H184" s="1096">
        <f t="shared" si="7"/>
        <v>0.80384615384615388</v>
      </c>
      <c r="J184" s="794"/>
      <c r="K184" s="551"/>
      <c r="L184" s="1273"/>
      <c r="M184" s="662"/>
      <c r="N184" s="1274"/>
      <c r="O184" s="1272"/>
    </row>
    <row r="185" spans="2:15" ht="13" x14ac:dyDescent="0.3">
      <c r="B185" s="579">
        <f t="shared" si="8"/>
        <v>93</v>
      </c>
      <c r="C185" s="1079" t="s">
        <v>515</v>
      </c>
      <c r="D185" s="534" t="s">
        <v>1079</v>
      </c>
      <c r="E185" s="1218">
        <v>66621.28853251283</v>
      </c>
      <c r="F185" s="537">
        <v>604</v>
      </c>
      <c r="G185" s="1220">
        <v>1692</v>
      </c>
      <c r="H185" s="1096">
        <f t="shared" si="7"/>
        <v>0.81346153846153846</v>
      </c>
      <c r="J185" s="794"/>
      <c r="K185" s="551"/>
      <c r="L185" s="1273"/>
      <c r="M185" s="662"/>
      <c r="N185" s="1274"/>
      <c r="O185" s="1272"/>
    </row>
    <row r="186" spans="2:15" ht="13" x14ac:dyDescent="0.3">
      <c r="B186" s="579">
        <f t="shared" si="8"/>
        <v>94</v>
      </c>
      <c r="C186" s="1079" t="s">
        <v>515</v>
      </c>
      <c r="D186" s="534" t="s">
        <v>1079</v>
      </c>
      <c r="E186" s="1218">
        <v>66109.31367057412</v>
      </c>
      <c r="F186" s="537">
        <v>779</v>
      </c>
      <c r="G186" s="1220">
        <v>1680</v>
      </c>
      <c r="H186" s="1096">
        <f t="shared" si="7"/>
        <v>0.80769230769230771</v>
      </c>
      <c r="J186" s="794"/>
      <c r="K186" s="551"/>
      <c r="L186" s="1273"/>
      <c r="M186" s="662"/>
      <c r="N186" s="1274"/>
      <c r="O186" s="1272"/>
    </row>
    <row r="187" spans="2:15" ht="13" x14ac:dyDescent="0.3">
      <c r="B187" s="579">
        <f t="shared" si="8"/>
        <v>95</v>
      </c>
      <c r="C187" s="1079" t="s">
        <v>515</v>
      </c>
      <c r="D187" s="534" t="s">
        <v>1079</v>
      </c>
      <c r="E187" s="1218">
        <v>65896.547103086312</v>
      </c>
      <c r="F187" s="537">
        <v>597</v>
      </c>
      <c r="G187" s="1220">
        <v>1672</v>
      </c>
      <c r="H187" s="1096">
        <f t="shared" si="7"/>
        <v>0.80384615384615388</v>
      </c>
      <c r="J187" s="794"/>
      <c r="K187" s="551"/>
      <c r="L187" s="1273"/>
      <c r="M187" s="662"/>
      <c r="N187" s="1274"/>
      <c r="O187" s="1272"/>
    </row>
    <row r="188" spans="2:15" ht="13" x14ac:dyDescent="0.3">
      <c r="B188" s="579">
        <f t="shared" si="8"/>
        <v>96</v>
      </c>
      <c r="C188" s="1079" t="s">
        <v>515</v>
      </c>
      <c r="D188" s="534" t="s">
        <v>1079</v>
      </c>
      <c r="E188" s="1218">
        <v>65801.84094742981</v>
      </c>
      <c r="F188" s="537">
        <v>630</v>
      </c>
      <c r="G188" s="1220">
        <v>1672</v>
      </c>
      <c r="H188" s="1096">
        <f t="shared" si="7"/>
        <v>0.80384615384615388</v>
      </c>
      <c r="J188" s="794"/>
      <c r="K188" s="551"/>
      <c r="L188" s="1273"/>
      <c r="M188" s="662"/>
      <c r="N188" s="1274"/>
      <c r="O188" s="1272"/>
    </row>
    <row r="189" spans="2:15" ht="13" x14ac:dyDescent="0.3">
      <c r="B189" s="579">
        <f t="shared" si="8"/>
        <v>97</v>
      </c>
      <c r="C189" s="1079" t="s">
        <v>515</v>
      </c>
      <c r="D189" s="534" t="s">
        <v>1079</v>
      </c>
      <c r="E189" s="1218">
        <v>66039.180949206901</v>
      </c>
      <c r="F189" s="537">
        <v>719</v>
      </c>
      <c r="G189" s="1220">
        <v>1672</v>
      </c>
      <c r="H189" s="1096">
        <f t="shared" si="7"/>
        <v>0.80384615384615388</v>
      </c>
      <c r="J189" s="794"/>
      <c r="K189" s="551"/>
      <c r="L189" s="1273"/>
      <c r="M189" s="662"/>
      <c r="N189" s="1274"/>
      <c r="O189" s="1272"/>
    </row>
    <row r="190" spans="2:15" ht="13" x14ac:dyDescent="0.3">
      <c r="B190" s="579">
        <f t="shared" si="8"/>
        <v>98</v>
      </c>
      <c r="C190" s="1079" t="s">
        <v>515</v>
      </c>
      <c r="D190" s="534" t="s">
        <v>1080</v>
      </c>
      <c r="E190" s="1218">
        <v>99040.933448939948</v>
      </c>
      <c r="F190" s="537">
        <v>855</v>
      </c>
      <c r="G190" s="1219">
        <v>2088</v>
      </c>
      <c r="H190" s="1096">
        <f t="shared" si="7"/>
        <v>1.0038461538461538</v>
      </c>
      <c r="J190" s="794"/>
      <c r="K190" s="551"/>
      <c r="L190" s="1273"/>
      <c r="M190" s="662"/>
      <c r="N190" s="1274"/>
      <c r="O190" s="1272"/>
    </row>
    <row r="191" spans="2:15" ht="13" x14ac:dyDescent="0.3">
      <c r="B191" s="579">
        <f t="shared" si="8"/>
        <v>99</v>
      </c>
      <c r="C191" s="1079" t="s">
        <v>515</v>
      </c>
      <c r="D191" s="534" t="s">
        <v>1080</v>
      </c>
      <c r="E191" s="1218">
        <v>99919.041489199022</v>
      </c>
      <c r="F191" s="537">
        <v>741</v>
      </c>
      <c r="G191" s="1220">
        <v>1978.0000000000002</v>
      </c>
      <c r="H191" s="1096">
        <f t="shared" si="7"/>
        <v>0.95096153846153852</v>
      </c>
      <c r="J191" s="794"/>
      <c r="K191" s="551"/>
      <c r="L191" s="1273"/>
      <c r="M191" s="662"/>
      <c r="N191" s="1275"/>
      <c r="O191" s="1272"/>
    </row>
    <row r="192" spans="2:15" ht="13" x14ac:dyDescent="0.3">
      <c r="B192" s="579">
        <f t="shared" si="8"/>
        <v>100</v>
      </c>
      <c r="C192" s="1079" t="s">
        <v>515</v>
      </c>
      <c r="D192" s="534" t="s">
        <v>1080</v>
      </c>
      <c r="E192" s="1218">
        <v>94566.060099223701</v>
      </c>
      <c r="F192" s="537">
        <v>21</v>
      </c>
      <c r="G192" s="1220">
        <v>2128.0000000000005</v>
      </c>
      <c r="H192" s="1096">
        <f t="shared" si="7"/>
        <v>1.0230769230769232</v>
      </c>
      <c r="J192" s="794"/>
      <c r="K192" s="551"/>
      <c r="L192" s="1273"/>
      <c r="M192" s="662"/>
      <c r="N192" s="1274"/>
      <c r="O192" s="1272"/>
    </row>
    <row r="193" spans="2:15" ht="13" x14ac:dyDescent="0.3">
      <c r="B193" s="579">
        <f t="shared" si="8"/>
        <v>101</v>
      </c>
      <c r="C193" s="1079" t="s">
        <v>515</v>
      </c>
      <c r="D193" s="534" t="s">
        <v>1080</v>
      </c>
      <c r="E193" s="1218">
        <v>29403.348295105701</v>
      </c>
      <c r="F193" s="537">
        <v>150</v>
      </c>
      <c r="G193" s="1220">
        <v>640</v>
      </c>
      <c r="H193" s="1096">
        <f t="shared" si="7"/>
        <v>0.30769230769230771</v>
      </c>
      <c r="J193" s="794"/>
      <c r="K193" s="551"/>
      <c r="L193" s="1273"/>
      <c r="M193" s="662"/>
      <c r="N193" s="1274"/>
      <c r="O193" s="1272"/>
    </row>
    <row r="194" spans="2:15" ht="13" x14ac:dyDescent="0.3">
      <c r="B194" s="579">
        <f t="shared" si="8"/>
        <v>102</v>
      </c>
      <c r="C194" s="1079" t="s">
        <v>515</v>
      </c>
      <c r="D194" s="534" t="s">
        <v>1080</v>
      </c>
      <c r="E194" s="1218">
        <v>59259.071630230137</v>
      </c>
      <c r="F194" s="537">
        <v>796</v>
      </c>
      <c r="G194" s="1220">
        <v>1270.0000000000002</v>
      </c>
      <c r="H194" s="1096">
        <f t="shared" si="7"/>
        <v>0.61057692307692324</v>
      </c>
      <c r="J194" s="794"/>
      <c r="K194" s="551"/>
      <c r="L194" s="1273"/>
      <c r="M194" s="662"/>
      <c r="N194" s="1274"/>
      <c r="O194" s="1272"/>
    </row>
    <row r="195" spans="2:15" ht="13" x14ac:dyDescent="0.3">
      <c r="B195" s="579">
        <f t="shared" si="8"/>
        <v>103</v>
      </c>
      <c r="C195" s="1079" t="s">
        <v>515</v>
      </c>
      <c r="D195" s="534" t="s">
        <v>1080</v>
      </c>
      <c r="E195" s="1218">
        <v>99387.459844797733</v>
      </c>
      <c r="F195" s="537">
        <v>423</v>
      </c>
      <c r="G195" s="1220">
        <v>2080</v>
      </c>
      <c r="H195" s="1096">
        <f t="shared" si="7"/>
        <v>1</v>
      </c>
      <c r="J195" s="794"/>
      <c r="K195" s="551"/>
      <c r="L195" s="1273"/>
      <c r="M195" s="662"/>
      <c r="N195" s="1274"/>
      <c r="O195" s="1272"/>
    </row>
    <row r="196" spans="2:15" ht="13" x14ac:dyDescent="0.3">
      <c r="B196" s="579">
        <f t="shared" si="8"/>
        <v>104</v>
      </c>
      <c r="C196" s="1079" t="s">
        <v>515</v>
      </c>
      <c r="D196" s="534" t="s">
        <v>1080</v>
      </c>
      <c r="E196" s="1218">
        <v>87340.471091858766</v>
      </c>
      <c r="F196" s="537">
        <v>1048</v>
      </c>
      <c r="G196" s="1220">
        <v>1888.0000000000007</v>
      </c>
      <c r="H196" s="1096">
        <f t="shared" si="7"/>
        <v>0.90769230769230802</v>
      </c>
      <c r="J196" s="794"/>
      <c r="K196" s="551"/>
      <c r="L196" s="1273"/>
      <c r="M196" s="662"/>
      <c r="N196" s="1274"/>
      <c r="O196" s="1272"/>
    </row>
    <row r="197" spans="2:15" ht="13" x14ac:dyDescent="0.3">
      <c r="B197" s="579">
        <f t="shared" si="8"/>
        <v>105</v>
      </c>
      <c r="C197" s="1079" t="s">
        <v>515</v>
      </c>
      <c r="D197" s="534" t="s">
        <v>1080</v>
      </c>
      <c r="E197" s="1218">
        <v>18087.136902585797</v>
      </c>
      <c r="F197" s="537">
        <v>32</v>
      </c>
      <c r="G197" s="1220">
        <v>406.09000000000003</v>
      </c>
      <c r="H197" s="1096">
        <f t="shared" si="7"/>
        <v>0.19523557692307694</v>
      </c>
      <c r="J197" s="794"/>
      <c r="K197" s="551"/>
      <c r="L197" s="1273"/>
      <c r="M197" s="662"/>
      <c r="N197" s="1274"/>
      <c r="O197" s="1272"/>
    </row>
    <row r="198" spans="2:15" ht="13" x14ac:dyDescent="0.3">
      <c r="B198" s="579">
        <f t="shared" si="8"/>
        <v>106</v>
      </c>
      <c r="C198" s="1079" t="s">
        <v>515</v>
      </c>
      <c r="D198" s="534" t="s">
        <v>1080</v>
      </c>
      <c r="E198" s="1218">
        <v>101655.02121167094</v>
      </c>
      <c r="F198" s="537">
        <v>894</v>
      </c>
      <c r="G198" s="1220">
        <v>2080</v>
      </c>
      <c r="H198" s="1096">
        <f t="shared" si="7"/>
        <v>1</v>
      </c>
      <c r="J198" s="794"/>
      <c r="K198" s="551"/>
      <c r="L198" s="1273"/>
      <c r="M198" s="662"/>
      <c r="N198" s="1274"/>
      <c r="O198" s="1272"/>
    </row>
    <row r="199" spans="2:15" ht="13" x14ac:dyDescent="0.3">
      <c r="B199" s="579">
        <f t="shared" si="8"/>
        <v>107</v>
      </c>
      <c r="C199" s="1079" t="s">
        <v>515</v>
      </c>
      <c r="D199" s="534" t="s">
        <v>1080</v>
      </c>
      <c r="E199" s="1218">
        <v>106601.7464714465</v>
      </c>
      <c r="F199" s="537">
        <v>1662</v>
      </c>
      <c r="G199" s="1220">
        <v>2080</v>
      </c>
      <c r="H199" s="1096">
        <f t="shared" si="7"/>
        <v>1</v>
      </c>
      <c r="J199" s="794"/>
      <c r="K199" s="551"/>
      <c r="L199" s="1273"/>
      <c r="M199" s="662"/>
      <c r="N199" s="1274"/>
      <c r="O199" s="1272"/>
    </row>
    <row r="200" spans="2:15" ht="13" x14ac:dyDescent="0.3">
      <c r="B200" s="579">
        <f t="shared" si="8"/>
        <v>108</v>
      </c>
      <c r="C200" s="1079" t="s">
        <v>515</v>
      </c>
      <c r="D200" s="534" t="s">
        <v>1080</v>
      </c>
      <c r="E200" s="1218">
        <v>78285.665216060675</v>
      </c>
      <c r="F200" s="537">
        <v>402</v>
      </c>
      <c r="G200" s="1220">
        <v>1764</v>
      </c>
      <c r="H200" s="1096">
        <f t="shared" si="7"/>
        <v>0.84807692307692306</v>
      </c>
      <c r="J200" s="794"/>
      <c r="K200" s="551"/>
      <c r="L200" s="1273"/>
      <c r="M200" s="662"/>
      <c r="N200" s="1274"/>
      <c r="O200" s="1272"/>
    </row>
    <row r="201" spans="2:15" ht="13" x14ac:dyDescent="0.3">
      <c r="B201" s="579">
        <f t="shared" si="8"/>
        <v>109</v>
      </c>
      <c r="C201" s="1079" t="s">
        <v>515</v>
      </c>
      <c r="D201" s="534" t="s">
        <v>1080</v>
      </c>
      <c r="E201" s="1218">
        <v>79577.914071210078</v>
      </c>
      <c r="F201" s="537">
        <v>799</v>
      </c>
      <c r="G201" s="1220">
        <v>1743.0000000000005</v>
      </c>
      <c r="H201" s="1096">
        <f t="shared" si="7"/>
        <v>0.83798076923076947</v>
      </c>
      <c r="J201" s="794"/>
      <c r="K201" s="551"/>
      <c r="L201" s="1273"/>
      <c r="M201" s="662"/>
      <c r="N201" s="1274"/>
      <c r="O201" s="1272"/>
    </row>
    <row r="202" spans="2:15" ht="13" x14ac:dyDescent="0.3">
      <c r="B202" s="579">
        <f t="shared" si="8"/>
        <v>110</v>
      </c>
      <c r="C202" s="1079" t="s">
        <v>515</v>
      </c>
      <c r="D202" s="534" t="s">
        <v>1080</v>
      </c>
      <c r="E202" s="1218">
        <v>106258.2280478217</v>
      </c>
      <c r="F202" s="537">
        <v>1548</v>
      </c>
      <c r="G202" s="1220">
        <v>2080</v>
      </c>
      <c r="H202" s="1096">
        <f t="shared" si="7"/>
        <v>1</v>
      </c>
      <c r="J202" s="794"/>
      <c r="K202" s="551"/>
      <c r="L202" s="1273"/>
      <c r="M202" s="662"/>
      <c r="N202" s="1274"/>
      <c r="O202" s="1272"/>
    </row>
    <row r="203" spans="2:15" ht="13" x14ac:dyDescent="0.3">
      <c r="B203" s="579">
        <f t="shared" si="8"/>
        <v>111</v>
      </c>
      <c r="C203" s="1079" t="s">
        <v>515</v>
      </c>
      <c r="D203" s="534" t="s">
        <v>1080</v>
      </c>
      <c r="E203" s="1218">
        <v>76120.254985952386</v>
      </c>
      <c r="F203" s="537">
        <v>74</v>
      </c>
      <c r="G203" s="1220">
        <v>1719.5</v>
      </c>
      <c r="H203" s="1096">
        <f t="shared" si="7"/>
        <v>0.82668269230769231</v>
      </c>
      <c r="J203" s="794"/>
      <c r="K203" s="551"/>
      <c r="L203" s="1273"/>
      <c r="M203" s="662"/>
      <c r="N203" s="1274"/>
      <c r="O203" s="1272"/>
    </row>
    <row r="204" spans="2:15" ht="13" x14ac:dyDescent="0.3">
      <c r="B204" s="579">
        <f t="shared" si="8"/>
        <v>112</v>
      </c>
      <c r="C204" s="1079" t="s">
        <v>515</v>
      </c>
      <c r="D204" s="534" t="s">
        <v>1080</v>
      </c>
      <c r="E204" s="1218">
        <v>93298.034914150383</v>
      </c>
      <c r="F204" s="537">
        <v>1118</v>
      </c>
      <c r="G204" s="1220">
        <v>2080</v>
      </c>
      <c r="H204" s="1096">
        <f t="shared" si="7"/>
        <v>1</v>
      </c>
      <c r="J204" s="794"/>
      <c r="K204" s="551"/>
      <c r="L204" s="1273"/>
      <c r="M204" s="662"/>
      <c r="N204" s="1274"/>
      <c r="O204" s="1272"/>
    </row>
    <row r="205" spans="2:15" ht="13" x14ac:dyDescent="0.3">
      <c r="B205" s="579">
        <f t="shared" si="8"/>
        <v>113</v>
      </c>
      <c r="C205" s="1079" t="s">
        <v>515</v>
      </c>
      <c r="D205" s="534" t="s">
        <v>1080</v>
      </c>
      <c r="E205" s="1218">
        <v>83759.675017047455</v>
      </c>
      <c r="F205" s="537">
        <v>763</v>
      </c>
      <c r="G205" s="1220">
        <v>1842.3</v>
      </c>
      <c r="H205" s="1096">
        <f t="shared" si="7"/>
        <v>0.8857211538461538</v>
      </c>
      <c r="J205" s="794"/>
      <c r="K205" s="551"/>
      <c r="L205" s="1273"/>
      <c r="M205" s="662"/>
      <c r="N205" s="1274"/>
      <c r="O205" s="1272"/>
    </row>
    <row r="206" spans="2:15" ht="13" x14ac:dyDescent="0.3">
      <c r="B206" s="579">
        <f t="shared" si="8"/>
        <v>114</v>
      </c>
      <c r="C206" s="1079" t="s">
        <v>515</v>
      </c>
      <c r="D206" s="534" t="s">
        <v>1080</v>
      </c>
      <c r="E206" s="1218">
        <v>32312.876892048764</v>
      </c>
      <c r="F206" s="537">
        <v>226</v>
      </c>
      <c r="G206" s="1220">
        <v>655</v>
      </c>
      <c r="H206" s="1096">
        <f t="shared" si="7"/>
        <v>0.31490384615384615</v>
      </c>
      <c r="J206" s="794"/>
      <c r="K206" s="551"/>
      <c r="L206" s="1273"/>
      <c r="M206" s="662"/>
      <c r="N206" s="1274"/>
      <c r="O206" s="1272"/>
    </row>
    <row r="207" spans="2:15" ht="13" x14ac:dyDescent="0.3">
      <c r="B207" s="579">
        <f t="shared" si="8"/>
        <v>115</v>
      </c>
      <c r="C207" s="1079" t="s">
        <v>515</v>
      </c>
      <c r="D207" s="534" t="s">
        <v>1080</v>
      </c>
      <c r="E207" s="1218">
        <v>93765.219970280043</v>
      </c>
      <c r="F207" s="537">
        <v>516</v>
      </c>
      <c r="G207" s="1220">
        <v>2080.0000000000005</v>
      </c>
      <c r="H207" s="1096">
        <f t="shared" si="7"/>
        <v>1.0000000000000002</v>
      </c>
      <c r="J207" s="794"/>
      <c r="K207" s="551"/>
      <c r="L207" s="1273"/>
      <c r="M207" s="662"/>
      <c r="N207" s="1274"/>
      <c r="O207" s="1272"/>
    </row>
    <row r="208" spans="2:15" ht="13" x14ac:dyDescent="0.3">
      <c r="B208" s="579">
        <f t="shared" si="8"/>
        <v>116</v>
      </c>
      <c r="C208" s="1079" t="s">
        <v>515</v>
      </c>
      <c r="D208" s="534" t="s">
        <v>1080</v>
      </c>
      <c r="E208" s="1218">
        <v>117999.75272352618</v>
      </c>
      <c r="F208" s="537">
        <v>980</v>
      </c>
      <c r="G208" s="1220">
        <v>2079.9999999999995</v>
      </c>
      <c r="H208" s="1096">
        <f t="shared" si="7"/>
        <v>0.99999999999999978</v>
      </c>
      <c r="J208" s="794"/>
      <c r="K208" s="551"/>
      <c r="L208" s="1273"/>
      <c r="M208" s="662"/>
      <c r="N208" s="1274"/>
      <c r="O208" s="1272"/>
    </row>
    <row r="209" spans="2:15" ht="13" x14ac:dyDescent="0.3">
      <c r="B209" s="579">
        <f t="shared" si="8"/>
        <v>117</v>
      </c>
      <c r="C209" s="1079" t="s">
        <v>515</v>
      </c>
      <c r="D209" s="534" t="s">
        <v>1080</v>
      </c>
      <c r="E209" s="1218">
        <v>16279.945186317562</v>
      </c>
      <c r="F209" s="537">
        <v>0</v>
      </c>
      <c r="G209" s="1220">
        <v>376.5</v>
      </c>
      <c r="H209" s="1096">
        <f t="shared" si="7"/>
        <v>0.18100961538461538</v>
      </c>
      <c r="J209" s="794"/>
      <c r="K209" s="551"/>
      <c r="L209" s="1273"/>
      <c r="M209" s="662"/>
      <c r="N209" s="1274"/>
      <c r="O209" s="1272"/>
    </row>
    <row r="210" spans="2:15" ht="13" x14ac:dyDescent="0.3">
      <c r="B210" s="579">
        <f t="shared" si="8"/>
        <v>118</v>
      </c>
      <c r="C210" s="1079" t="s">
        <v>515</v>
      </c>
      <c r="D210" s="534" t="s">
        <v>1080</v>
      </c>
      <c r="E210" s="1218">
        <v>101750.35694291106</v>
      </c>
      <c r="F210" s="537">
        <v>1540</v>
      </c>
      <c r="G210" s="1220">
        <v>2080</v>
      </c>
      <c r="H210" s="1096">
        <f t="shared" si="7"/>
        <v>1</v>
      </c>
      <c r="J210" s="794"/>
      <c r="K210" s="551"/>
      <c r="L210" s="1273"/>
      <c r="M210" s="662"/>
      <c r="N210" s="1274"/>
      <c r="O210" s="1272"/>
    </row>
    <row r="211" spans="2:15" ht="13" x14ac:dyDescent="0.3">
      <c r="B211" s="579">
        <f t="shared" si="8"/>
        <v>119</v>
      </c>
      <c r="C211" s="1079" t="s">
        <v>515</v>
      </c>
      <c r="D211" s="534" t="s">
        <v>1080</v>
      </c>
      <c r="E211" s="1218">
        <v>37090.666036875205</v>
      </c>
      <c r="F211" s="537">
        <v>553</v>
      </c>
      <c r="G211" s="1220">
        <v>800</v>
      </c>
      <c r="H211" s="1096">
        <f t="shared" si="7"/>
        <v>0.38461538461538464</v>
      </c>
      <c r="J211" s="794"/>
      <c r="K211" s="551"/>
      <c r="L211" s="1273"/>
      <c r="M211" s="662"/>
      <c r="N211" s="1274"/>
      <c r="O211" s="1272"/>
    </row>
    <row r="212" spans="2:15" ht="13" x14ac:dyDescent="0.3">
      <c r="B212" s="579">
        <f t="shared" si="8"/>
        <v>120</v>
      </c>
      <c r="C212" s="1079" t="s">
        <v>515</v>
      </c>
      <c r="D212" s="534" t="s">
        <v>1080</v>
      </c>
      <c r="E212" s="1218">
        <v>78077.945246505391</v>
      </c>
      <c r="F212" s="537">
        <v>610</v>
      </c>
      <c r="G212" s="1220">
        <v>1565.5</v>
      </c>
      <c r="H212" s="1096">
        <f t="shared" si="7"/>
        <v>0.75264423076923082</v>
      </c>
      <c r="J212" s="794"/>
      <c r="K212" s="551"/>
      <c r="L212" s="1273"/>
      <c r="M212" s="662"/>
      <c r="N212" s="1274"/>
      <c r="O212" s="1272"/>
    </row>
    <row r="213" spans="2:15" ht="13" x14ac:dyDescent="0.3">
      <c r="B213" s="579">
        <f t="shared" si="8"/>
        <v>121</v>
      </c>
      <c r="C213" s="1079" t="s">
        <v>515</v>
      </c>
      <c r="D213" s="534" t="s">
        <v>1187</v>
      </c>
      <c r="E213" s="1218">
        <v>106274.01740372943</v>
      </c>
      <c r="F213" s="537">
        <v>811</v>
      </c>
      <c r="G213" s="1220">
        <v>1759.9999999999998</v>
      </c>
      <c r="H213" s="1096">
        <f t="shared" si="7"/>
        <v>0.84615384615384603</v>
      </c>
      <c r="J213" s="794"/>
      <c r="K213" s="551"/>
      <c r="L213" s="1273"/>
      <c r="M213" s="662"/>
      <c r="N213" s="1274"/>
      <c r="O213" s="1272"/>
    </row>
    <row r="214" spans="2:15" ht="13" x14ac:dyDescent="0.3">
      <c r="B214" s="579">
        <f t="shared" si="8"/>
        <v>122</v>
      </c>
      <c r="C214" s="1079" t="s">
        <v>515</v>
      </c>
      <c r="D214" s="534" t="s">
        <v>1081</v>
      </c>
      <c r="E214" s="1218">
        <v>135508.64943567716</v>
      </c>
      <c r="F214" s="537">
        <v>3408</v>
      </c>
      <c r="G214" s="1220">
        <v>2024</v>
      </c>
      <c r="H214" s="1096">
        <f t="shared" si="7"/>
        <v>0.97307692307692306</v>
      </c>
      <c r="J214" s="794"/>
      <c r="K214" s="551"/>
      <c r="L214" s="1273"/>
      <c r="M214" s="662"/>
      <c r="N214" s="1274"/>
      <c r="O214" s="1272"/>
    </row>
    <row r="215" spans="2:15" ht="13" x14ac:dyDescent="0.3">
      <c r="B215" s="579">
        <f t="shared" si="8"/>
        <v>123</v>
      </c>
      <c r="C215" s="1079" t="s">
        <v>515</v>
      </c>
      <c r="D215" s="534" t="s">
        <v>1081</v>
      </c>
      <c r="E215" s="1218">
        <v>24022.385768078762</v>
      </c>
      <c r="F215" s="537">
        <v>492</v>
      </c>
      <c r="G215" s="1220">
        <v>360</v>
      </c>
      <c r="H215" s="1096">
        <f t="shared" si="7"/>
        <v>0.17307692307692307</v>
      </c>
      <c r="J215" s="794"/>
      <c r="K215" s="551"/>
      <c r="L215" s="1273"/>
      <c r="M215" s="662"/>
      <c r="N215" s="1274"/>
      <c r="O215" s="1272"/>
    </row>
    <row r="216" spans="2:15" ht="13" x14ac:dyDescent="0.3">
      <c r="B216" s="579">
        <f t="shared" si="8"/>
        <v>124</v>
      </c>
      <c r="C216" s="1079" t="s">
        <v>515</v>
      </c>
      <c r="D216" s="534" t="s">
        <v>1081</v>
      </c>
      <c r="E216" s="1218">
        <v>150515.25302088156</v>
      </c>
      <c r="F216" s="537">
        <v>4352</v>
      </c>
      <c r="G216" s="1220">
        <v>2052</v>
      </c>
      <c r="H216" s="1096">
        <f t="shared" si="7"/>
        <v>0.98653846153846159</v>
      </c>
      <c r="J216" s="794"/>
      <c r="K216" s="551"/>
      <c r="L216" s="1273"/>
      <c r="M216" s="662"/>
      <c r="N216" s="1274"/>
      <c r="O216" s="1272"/>
    </row>
    <row r="217" spans="2:15" ht="13" x14ac:dyDescent="0.3">
      <c r="B217" s="579">
        <f t="shared" si="8"/>
        <v>125</v>
      </c>
      <c r="C217" s="1079" t="s">
        <v>515</v>
      </c>
      <c r="D217" s="534" t="s">
        <v>1081</v>
      </c>
      <c r="E217" s="1218">
        <v>123089.61149258402</v>
      </c>
      <c r="F217" s="537">
        <v>3654</v>
      </c>
      <c r="G217" s="1220">
        <v>2069</v>
      </c>
      <c r="H217" s="1096">
        <f t="shared" si="7"/>
        <v>0.99471153846153848</v>
      </c>
      <c r="J217" s="794"/>
      <c r="K217" s="551"/>
      <c r="L217" s="1273"/>
      <c r="M217" s="662"/>
      <c r="N217" s="1274"/>
      <c r="O217" s="1272"/>
    </row>
    <row r="218" spans="2:15" ht="13" x14ac:dyDescent="0.3">
      <c r="B218" s="579">
        <f t="shared" si="8"/>
        <v>126</v>
      </c>
      <c r="C218" s="1079" t="s">
        <v>515</v>
      </c>
      <c r="D218" s="534" t="s">
        <v>1081</v>
      </c>
      <c r="E218" s="1218">
        <v>41780.794276624249</v>
      </c>
      <c r="F218" s="537">
        <v>880</v>
      </c>
      <c r="G218" s="1220">
        <v>706</v>
      </c>
      <c r="H218" s="1096">
        <f t="shared" si="7"/>
        <v>0.33942307692307694</v>
      </c>
      <c r="J218" s="794"/>
      <c r="K218" s="551"/>
      <c r="L218" s="1273"/>
      <c r="M218" s="662"/>
      <c r="N218" s="1274"/>
      <c r="O218" s="1272"/>
    </row>
    <row r="219" spans="2:15" ht="13" x14ac:dyDescent="0.3">
      <c r="B219" s="579">
        <f t="shared" si="8"/>
        <v>127</v>
      </c>
      <c r="C219" s="1079" t="s">
        <v>515</v>
      </c>
      <c r="D219" s="534" t="s">
        <v>1081</v>
      </c>
      <c r="E219" s="1218">
        <v>45652.594176772334</v>
      </c>
      <c r="F219" s="537">
        <v>723</v>
      </c>
      <c r="G219" s="1220">
        <v>756</v>
      </c>
      <c r="H219" s="1096">
        <f t="shared" si="7"/>
        <v>0.36346153846153845</v>
      </c>
      <c r="J219" s="794"/>
      <c r="K219" s="551"/>
      <c r="L219" s="1273"/>
      <c r="M219" s="662"/>
      <c r="N219" s="1274"/>
      <c r="O219" s="1272"/>
    </row>
    <row r="220" spans="2:15" ht="13" x14ac:dyDescent="0.3">
      <c r="B220" s="579">
        <f t="shared" si="8"/>
        <v>128</v>
      </c>
      <c r="C220" s="1079" t="s">
        <v>515</v>
      </c>
      <c r="D220" s="534" t="s">
        <v>1081</v>
      </c>
      <c r="E220" s="1218">
        <v>22390.525855228589</v>
      </c>
      <c r="F220" s="537">
        <v>391</v>
      </c>
      <c r="G220" s="1220">
        <v>342.49</v>
      </c>
      <c r="H220" s="1096">
        <f t="shared" ref="H220:H283" si="9">+G220/2080</f>
        <v>0.16465865384615386</v>
      </c>
      <c r="J220" s="794"/>
      <c r="K220" s="551"/>
      <c r="L220" s="1273"/>
      <c r="M220" s="662"/>
      <c r="N220" s="1274"/>
      <c r="O220" s="1272"/>
    </row>
    <row r="221" spans="2:15" ht="13" x14ac:dyDescent="0.3">
      <c r="B221" s="579">
        <f t="shared" si="8"/>
        <v>129</v>
      </c>
      <c r="C221" s="1079" t="s">
        <v>515</v>
      </c>
      <c r="D221" s="534" t="s">
        <v>1081</v>
      </c>
      <c r="E221" s="1218">
        <v>119880.45488413431</v>
      </c>
      <c r="F221" s="537">
        <v>3029</v>
      </c>
      <c r="G221" s="1220">
        <v>1664</v>
      </c>
      <c r="H221" s="1096">
        <f t="shared" si="9"/>
        <v>0.8</v>
      </c>
      <c r="J221" s="794"/>
      <c r="K221" s="551"/>
      <c r="L221" s="1273"/>
      <c r="M221" s="662"/>
      <c r="N221" s="1274"/>
      <c r="O221" s="1272"/>
    </row>
    <row r="222" spans="2:15" ht="13" x14ac:dyDescent="0.3">
      <c r="B222" s="579">
        <f t="shared" si="8"/>
        <v>130</v>
      </c>
      <c r="C222" s="1079" t="s">
        <v>515</v>
      </c>
      <c r="D222" s="534" t="s">
        <v>1082</v>
      </c>
      <c r="E222" s="1218">
        <v>108987.54812888915</v>
      </c>
      <c r="F222" s="537">
        <v>0</v>
      </c>
      <c r="G222" s="1220">
        <v>2248</v>
      </c>
      <c r="H222" s="1096">
        <f t="shared" si="9"/>
        <v>1.0807692307692307</v>
      </c>
      <c r="J222" s="794"/>
      <c r="K222" s="551"/>
      <c r="L222" s="1273"/>
      <c r="M222" s="662"/>
      <c r="N222" s="1274"/>
      <c r="O222" s="1272"/>
    </row>
    <row r="223" spans="2:15" ht="13" x14ac:dyDescent="0.3">
      <c r="B223" s="579">
        <f t="shared" ref="B223:B286" si="10">+B222+1</f>
        <v>131</v>
      </c>
      <c r="C223" s="1079" t="s">
        <v>515</v>
      </c>
      <c r="D223" s="534" t="s">
        <v>1083</v>
      </c>
      <c r="E223" s="1218">
        <v>100608.03701604212</v>
      </c>
      <c r="F223" s="537">
        <v>549</v>
      </c>
      <c r="G223" s="1220">
        <v>2086.5</v>
      </c>
      <c r="H223" s="1096">
        <f t="shared" si="9"/>
        <v>1.003125</v>
      </c>
      <c r="J223" s="794"/>
      <c r="K223" s="551"/>
      <c r="L223" s="1273"/>
      <c r="M223" s="662"/>
      <c r="N223" s="1274"/>
      <c r="O223" s="1272"/>
    </row>
    <row r="224" spans="2:15" ht="13" x14ac:dyDescent="0.3">
      <c r="B224" s="579">
        <f t="shared" si="10"/>
        <v>132</v>
      </c>
      <c r="C224" s="1079" t="s">
        <v>515</v>
      </c>
      <c r="D224" s="534" t="s">
        <v>1084</v>
      </c>
      <c r="E224" s="1218">
        <v>66880.673672981313</v>
      </c>
      <c r="F224" s="537">
        <v>436</v>
      </c>
      <c r="G224" s="1220">
        <v>1415.2500000000002</v>
      </c>
      <c r="H224" s="1096">
        <f t="shared" si="9"/>
        <v>0.68040865384615401</v>
      </c>
      <c r="J224" s="794"/>
      <c r="K224" s="551"/>
      <c r="L224" s="1273"/>
      <c r="M224" s="662"/>
      <c r="N224" s="1274"/>
      <c r="O224" s="1272"/>
    </row>
    <row r="225" spans="2:15" ht="13" x14ac:dyDescent="0.3">
      <c r="B225" s="579">
        <f t="shared" si="10"/>
        <v>133</v>
      </c>
      <c r="C225" s="1079" t="s">
        <v>515</v>
      </c>
      <c r="D225" s="534" t="s">
        <v>1084</v>
      </c>
      <c r="E225" s="1218">
        <v>111174.80363242423</v>
      </c>
      <c r="F225" s="537">
        <f>789+205</f>
        <v>994</v>
      </c>
      <c r="G225" s="1220">
        <v>2125</v>
      </c>
      <c r="H225" s="1096">
        <f t="shared" si="9"/>
        <v>1.0216346153846154</v>
      </c>
      <c r="J225" s="794"/>
      <c r="K225" s="551"/>
      <c r="L225" s="1273"/>
      <c r="M225" s="662"/>
      <c r="N225" s="1274"/>
      <c r="O225" s="1272"/>
    </row>
    <row r="226" spans="2:15" ht="13" x14ac:dyDescent="0.3">
      <c r="B226" s="579">
        <f t="shared" si="10"/>
        <v>134</v>
      </c>
      <c r="C226" s="1079" t="s">
        <v>515</v>
      </c>
      <c r="D226" s="534" t="s">
        <v>1084</v>
      </c>
      <c r="E226" s="1218">
        <v>10021.953891460691</v>
      </c>
      <c r="F226" s="537">
        <v>13</v>
      </c>
      <c r="G226" s="1220">
        <v>219.29</v>
      </c>
      <c r="H226" s="1096">
        <f t="shared" si="9"/>
        <v>0.10542788461538462</v>
      </c>
      <c r="J226" s="794"/>
      <c r="K226" s="551"/>
      <c r="L226" s="1273"/>
      <c r="M226" s="662"/>
      <c r="N226" s="1274"/>
      <c r="O226" s="1272"/>
    </row>
    <row r="227" spans="2:15" ht="13" x14ac:dyDescent="0.3">
      <c r="B227" s="579">
        <f t="shared" si="10"/>
        <v>135</v>
      </c>
      <c r="C227" s="1079" t="s">
        <v>515</v>
      </c>
      <c r="D227" s="534" t="s">
        <v>1084</v>
      </c>
      <c r="E227" s="1218">
        <v>81255.922873669013</v>
      </c>
      <c r="F227" s="537">
        <v>739</v>
      </c>
      <c r="G227" s="1220">
        <v>1611.15</v>
      </c>
      <c r="H227" s="1096">
        <f t="shared" si="9"/>
        <v>0.77459134615384617</v>
      </c>
      <c r="J227" s="794"/>
      <c r="K227" s="551"/>
      <c r="L227" s="1273"/>
      <c r="M227" s="662"/>
      <c r="N227" s="1274"/>
      <c r="O227" s="1272"/>
    </row>
    <row r="228" spans="2:15" ht="13" x14ac:dyDescent="0.3">
      <c r="B228" s="579">
        <f t="shared" si="10"/>
        <v>136</v>
      </c>
      <c r="C228" s="1079" t="s">
        <v>515</v>
      </c>
      <c r="D228" s="534" t="s">
        <v>1084</v>
      </c>
      <c r="E228" s="1218">
        <v>96565.272368508624</v>
      </c>
      <c r="F228" s="537">
        <f>451+172</f>
        <v>623</v>
      </c>
      <c r="G228" s="1220">
        <v>2122</v>
      </c>
      <c r="H228" s="1096">
        <f t="shared" si="9"/>
        <v>1.0201923076923076</v>
      </c>
      <c r="J228" s="794"/>
      <c r="K228" s="551"/>
      <c r="L228" s="1273"/>
      <c r="M228" s="662"/>
      <c r="N228" s="1274"/>
      <c r="O228" s="1272"/>
    </row>
    <row r="229" spans="2:15" ht="13" x14ac:dyDescent="0.3">
      <c r="B229" s="579">
        <f t="shared" si="10"/>
        <v>137</v>
      </c>
      <c r="C229" s="1079" t="s">
        <v>515</v>
      </c>
      <c r="D229" s="534" t="s">
        <v>1084</v>
      </c>
      <c r="E229" s="1218">
        <v>75298.359051377396</v>
      </c>
      <c r="F229" s="537">
        <v>589</v>
      </c>
      <c r="G229" s="1220">
        <v>1764.84</v>
      </c>
      <c r="H229" s="1096">
        <f t="shared" si="9"/>
        <v>0.84848076923076921</v>
      </c>
      <c r="J229" s="794"/>
      <c r="K229" s="551"/>
      <c r="L229" s="1273"/>
      <c r="M229" s="662"/>
      <c r="N229" s="1274"/>
      <c r="O229" s="1272"/>
    </row>
    <row r="230" spans="2:15" ht="13" x14ac:dyDescent="0.3">
      <c r="B230" s="579">
        <f t="shared" si="10"/>
        <v>138</v>
      </c>
      <c r="C230" s="1079" t="s">
        <v>515</v>
      </c>
      <c r="D230" s="534" t="s">
        <v>1084</v>
      </c>
      <c r="E230" s="1218">
        <v>58601.335030779017</v>
      </c>
      <c r="F230" s="537">
        <f>354+29</f>
        <v>383</v>
      </c>
      <c r="G230" s="1220">
        <v>1207.5</v>
      </c>
      <c r="H230" s="1096">
        <f t="shared" si="9"/>
        <v>0.58052884615384615</v>
      </c>
      <c r="J230" s="794"/>
      <c r="K230" s="551"/>
      <c r="L230" s="1273"/>
      <c r="M230" s="662"/>
      <c r="N230" s="1274"/>
      <c r="O230" s="1272"/>
    </row>
    <row r="231" spans="2:15" ht="13" x14ac:dyDescent="0.3">
      <c r="B231" s="579">
        <f t="shared" si="10"/>
        <v>139</v>
      </c>
      <c r="C231" s="1079" t="s">
        <v>515</v>
      </c>
      <c r="D231" s="534" t="s">
        <v>1084</v>
      </c>
      <c r="E231" s="1218">
        <v>99105.539895739508</v>
      </c>
      <c r="F231" s="537">
        <v>502</v>
      </c>
      <c r="G231" s="1220">
        <v>1931.8999999999999</v>
      </c>
      <c r="H231" s="1096">
        <f t="shared" si="9"/>
        <v>0.92879807692307681</v>
      </c>
      <c r="J231" s="794"/>
      <c r="K231" s="551"/>
      <c r="L231" s="1273"/>
      <c r="M231" s="662"/>
      <c r="N231" s="1274"/>
      <c r="O231" s="1272"/>
    </row>
    <row r="232" spans="2:15" ht="13" x14ac:dyDescent="0.3">
      <c r="B232" s="579">
        <f t="shared" si="10"/>
        <v>140</v>
      </c>
      <c r="C232" s="1079" t="s">
        <v>515</v>
      </c>
      <c r="D232" s="534" t="s">
        <v>1084</v>
      </c>
      <c r="E232" s="1218">
        <v>102834.14632702601</v>
      </c>
      <c r="F232" s="537">
        <v>893</v>
      </c>
      <c r="G232" s="1220">
        <v>2121.75</v>
      </c>
      <c r="H232" s="1096">
        <f t="shared" si="9"/>
        <v>1.0200721153846153</v>
      </c>
      <c r="J232" s="794"/>
      <c r="K232" s="551"/>
      <c r="L232" s="1273"/>
      <c r="M232" s="662"/>
      <c r="N232" s="1274"/>
      <c r="O232" s="1272"/>
    </row>
    <row r="233" spans="2:15" ht="13" x14ac:dyDescent="0.3">
      <c r="B233" s="579">
        <f t="shared" si="10"/>
        <v>141</v>
      </c>
      <c r="C233" s="1079" t="s">
        <v>515</v>
      </c>
      <c r="D233" s="534" t="s">
        <v>1085</v>
      </c>
      <c r="E233" s="1218">
        <v>75365.833564724715</v>
      </c>
      <c r="F233" s="537">
        <v>27</v>
      </c>
      <c r="G233" s="1219">
        <v>2086.58</v>
      </c>
      <c r="H233" s="1096">
        <f t="shared" si="9"/>
        <v>1.0031634615384615</v>
      </c>
      <c r="J233" s="794"/>
      <c r="K233" s="551"/>
      <c r="L233" s="1273"/>
      <c r="M233" s="662"/>
      <c r="N233" s="1274"/>
      <c r="O233" s="1272"/>
    </row>
    <row r="234" spans="2:15" ht="13" x14ac:dyDescent="0.3">
      <c r="B234" s="579">
        <f t="shared" si="10"/>
        <v>142</v>
      </c>
      <c r="C234" s="1079" t="s">
        <v>515</v>
      </c>
      <c r="D234" s="534" t="s">
        <v>1085</v>
      </c>
      <c r="E234" s="1218">
        <v>4115.9852872395986</v>
      </c>
      <c r="F234" s="537">
        <v>31</v>
      </c>
      <c r="G234" s="1219">
        <v>114.41</v>
      </c>
      <c r="H234" s="1096">
        <f t="shared" si="9"/>
        <v>5.5004807692307693E-2</v>
      </c>
      <c r="J234" s="794"/>
      <c r="K234" s="551"/>
      <c r="L234" s="1273"/>
      <c r="M234" s="662"/>
      <c r="N234" s="1275"/>
      <c r="O234" s="1272"/>
    </row>
    <row r="235" spans="2:15" ht="13" x14ac:dyDescent="0.3">
      <c r="B235" s="579">
        <f t="shared" si="10"/>
        <v>143</v>
      </c>
      <c r="C235" s="1079" t="s">
        <v>515</v>
      </c>
      <c r="D235" s="534" t="s">
        <v>1085</v>
      </c>
      <c r="E235" s="1218">
        <v>5590.7311155449543</v>
      </c>
      <c r="F235" s="537">
        <v>61</v>
      </c>
      <c r="G235" s="1219">
        <v>148</v>
      </c>
      <c r="H235" s="1096">
        <f t="shared" si="9"/>
        <v>7.1153846153846151E-2</v>
      </c>
      <c r="J235" s="794"/>
      <c r="K235" s="551"/>
      <c r="L235" s="1273"/>
      <c r="M235" s="662"/>
      <c r="N235" s="1275"/>
      <c r="O235" s="1272"/>
    </row>
    <row r="236" spans="2:15" ht="13" x14ac:dyDescent="0.3">
      <c r="B236" s="579">
        <f t="shared" si="10"/>
        <v>144</v>
      </c>
      <c r="C236" s="1079" t="s">
        <v>515</v>
      </c>
      <c r="D236" s="534" t="s">
        <v>1085</v>
      </c>
      <c r="E236" s="1218">
        <v>65820.248538304513</v>
      </c>
      <c r="F236" s="537">
        <v>232</v>
      </c>
      <c r="G236" s="1219">
        <v>1687.2800000000002</v>
      </c>
      <c r="H236" s="1096">
        <f t="shared" si="9"/>
        <v>0.81119230769230777</v>
      </c>
      <c r="J236" s="794"/>
      <c r="K236" s="551"/>
      <c r="L236" s="1273"/>
      <c r="M236" s="662"/>
      <c r="N236" s="1275"/>
      <c r="O236" s="1272"/>
    </row>
    <row r="237" spans="2:15" ht="13" x14ac:dyDescent="0.3">
      <c r="B237" s="579">
        <f t="shared" si="10"/>
        <v>145</v>
      </c>
      <c r="C237" s="1079" t="s">
        <v>515</v>
      </c>
      <c r="D237" s="534" t="s">
        <v>1085</v>
      </c>
      <c r="E237" s="1218">
        <v>27898.932468262392</v>
      </c>
      <c r="F237" s="537">
        <v>175</v>
      </c>
      <c r="G237" s="1220">
        <v>806</v>
      </c>
      <c r="H237" s="1096">
        <f t="shared" si="9"/>
        <v>0.38750000000000001</v>
      </c>
      <c r="J237" s="794"/>
      <c r="K237" s="551"/>
      <c r="L237" s="1273"/>
      <c r="M237" s="662"/>
      <c r="N237" s="1275"/>
      <c r="O237" s="1272"/>
    </row>
    <row r="238" spans="2:15" ht="13" x14ac:dyDescent="0.3">
      <c r="B238" s="579">
        <f t="shared" si="10"/>
        <v>146</v>
      </c>
      <c r="C238" s="1079" t="s">
        <v>515</v>
      </c>
      <c r="D238" s="534" t="s">
        <v>1085</v>
      </c>
      <c r="E238" s="1218">
        <v>44051.813312575927</v>
      </c>
      <c r="F238" s="537">
        <v>221</v>
      </c>
      <c r="G238" s="1220">
        <v>1116</v>
      </c>
      <c r="H238" s="1096">
        <f t="shared" si="9"/>
        <v>0.53653846153846152</v>
      </c>
      <c r="J238" s="794"/>
      <c r="K238" s="551"/>
      <c r="L238" s="1273"/>
      <c r="M238" s="662"/>
      <c r="N238" s="1274"/>
      <c r="O238" s="1272"/>
    </row>
    <row r="239" spans="2:15" ht="13" x14ac:dyDescent="0.3">
      <c r="B239" s="579">
        <f t="shared" si="10"/>
        <v>147</v>
      </c>
      <c r="C239" s="1079" t="s">
        <v>515</v>
      </c>
      <c r="D239" s="534" t="s">
        <v>1085</v>
      </c>
      <c r="E239" s="1218">
        <v>19265.012860036753</v>
      </c>
      <c r="F239" s="537">
        <v>97</v>
      </c>
      <c r="G239" s="1220">
        <v>519.25</v>
      </c>
      <c r="H239" s="1096">
        <f t="shared" si="9"/>
        <v>0.24963942307692308</v>
      </c>
      <c r="J239" s="794"/>
      <c r="K239" s="551"/>
      <c r="L239" s="1273"/>
      <c r="M239" s="662"/>
      <c r="N239" s="1274"/>
      <c r="O239" s="1272"/>
    </row>
    <row r="240" spans="2:15" ht="13" x14ac:dyDescent="0.3">
      <c r="B240" s="579">
        <f t="shared" si="10"/>
        <v>148</v>
      </c>
      <c r="C240" s="1079" t="s">
        <v>515</v>
      </c>
      <c r="D240" s="534" t="s">
        <v>1085</v>
      </c>
      <c r="E240" s="1218">
        <v>3513.7912448359184</v>
      </c>
      <c r="F240" s="537">
        <v>40</v>
      </c>
      <c r="G240" s="1220">
        <v>92.75</v>
      </c>
      <c r="H240" s="1096">
        <f t="shared" si="9"/>
        <v>4.4591346153846155E-2</v>
      </c>
      <c r="J240" s="794"/>
      <c r="K240" s="551"/>
      <c r="L240" s="1273"/>
      <c r="M240" s="662"/>
      <c r="N240" s="1274"/>
      <c r="O240" s="1272"/>
    </row>
    <row r="241" spans="2:15" ht="13" x14ac:dyDescent="0.3">
      <c r="B241" s="579">
        <f t="shared" si="10"/>
        <v>149</v>
      </c>
      <c r="C241" s="1079" t="s">
        <v>515</v>
      </c>
      <c r="D241" s="534" t="s">
        <v>1085</v>
      </c>
      <c r="E241" s="1218">
        <v>18787.33487751276</v>
      </c>
      <c r="F241" s="537">
        <v>59</v>
      </c>
      <c r="G241" s="1220">
        <v>470</v>
      </c>
      <c r="H241" s="1096">
        <f t="shared" si="9"/>
        <v>0.22596153846153846</v>
      </c>
      <c r="J241" s="794"/>
      <c r="K241" s="551"/>
      <c r="L241" s="1273"/>
      <c r="M241" s="662"/>
      <c r="N241" s="1274"/>
      <c r="O241" s="1272"/>
    </row>
    <row r="242" spans="2:15" ht="13" x14ac:dyDescent="0.3">
      <c r="B242" s="579">
        <f t="shared" si="10"/>
        <v>150</v>
      </c>
      <c r="C242" s="1079" t="s">
        <v>515</v>
      </c>
      <c r="D242" s="534" t="s">
        <v>1085</v>
      </c>
      <c r="E242" s="1218">
        <v>7493.738239688505</v>
      </c>
      <c r="F242" s="537">
        <v>50</v>
      </c>
      <c r="G242" s="1220">
        <v>219.5</v>
      </c>
      <c r="H242" s="1096">
        <f t="shared" si="9"/>
        <v>0.10552884615384615</v>
      </c>
      <c r="J242" s="794"/>
      <c r="K242" s="551"/>
      <c r="L242" s="1273"/>
      <c r="M242" s="662"/>
      <c r="N242" s="1274"/>
      <c r="O242" s="1272"/>
    </row>
    <row r="243" spans="2:15" ht="13" x14ac:dyDescent="0.3">
      <c r="B243" s="579">
        <f t="shared" si="10"/>
        <v>151</v>
      </c>
      <c r="C243" s="1079" t="s">
        <v>515</v>
      </c>
      <c r="D243" s="534" t="s">
        <v>1085</v>
      </c>
      <c r="E243" s="1218">
        <v>20746.014471125793</v>
      </c>
      <c r="F243" s="537">
        <v>20</v>
      </c>
      <c r="G243" s="1220">
        <v>480</v>
      </c>
      <c r="H243" s="1096">
        <f t="shared" si="9"/>
        <v>0.23076923076923078</v>
      </c>
      <c r="J243" s="794"/>
      <c r="K243" s="551"/>
      <c r="L243" s="1273"/>
      <c r="M243" s="662"/>
      <c r="N243" s="1274"/>
      <c r="O243" s="1272"/>
    </row>
    <row r="244" spans="2:15" ht="13" x14ac:dyDescent="0.3">
      <c r="B244" s="579">
        <f t="shared" si="10"/>
        <v>152</v>
      </c>
      <c r="C244" s="1079" t="s">
        <v>515</v>
      </c>
      <c r="D244" s="534" t="s">
        <v>1085</v>
      </c>
      <c r="E244" s="1218">
        <v>60138.758606079973</v>
      </c>
      <c r="F244" s="537">
        <v>779</v>
      </c>
      <c r="G244" s="1220">
        <v>1628.5</v>
      </c>
      <c r="H244" s="1096">
        <f t="shared" si="9"/>
        <v>0.78293269230769236</v>
      </c>
      <c r="J244" s="794"/>
      <c r="K244" s="551"/>
      <c r="L244" s="1273"/>
      <c r="M244" s="662"/>
      <c r="N244" s="1274"/>
      <c r="O244" s="1272"/>
    </row>
    <row r="245" spans="2:15" ht="13" x14ac:dyDescent="0.3">
      <c r="B245" s="579">
        <f t="shared" si="10"/>
        <v>153</v>
      </c>
      <c r="C245" s="1079" t="s">
        <v>515</v>
      </c>
      <c r="D245" s="534" t="s">
        <v>1085</v>
      </c>
      <c r="E245" s="1218">
        <v>77942.856314125456</v>
      </c>
      <c r="F245" s="537">
        <v>509</v>
      </c>
      <c r="G245" s="1220">
        <v>2118</v>
      </c>
      <c r="H245" s="1096">
        <f t="shared" si="9"/>
        <v>1.0182692307692307</v>
      </c>
      <c r="J245" s="794"/>
      <c r="K245" s="551"/>
      <c r="L245" s="1273"/>
      <c r="M245" s="662"/>
      <c r="N245" s="1274"/>
      <c r="O245" s="1272"/>
    </row>
    <row r="246" spans="2:15" ht="13" x14ac:dyDescent="0.3">
      <c r="B246" s="579">
        <f t="shared" si="10"/>
        <v>154</v>
      </c>
      <c r="C246" s="1079" t="s">
        <v>515</v>
      </c>
      <c r="D246" s="534" t="s">
        <v>1085</v>
      </c>
      <c r="E246" s="1218">
        <v>37752.180089828325</v>
      </c>
      <c r="F246" s="537">
        <v>273</v>
      </c>
      <c r="G246" s="1220">
        <v>906.5</v>
      </c>
      <c r="H246" s="1096">
        <f t="shared" si="9"/>
        <v>0.4358173076923077</v>
      </c>
      <c r="J246" s="794"/>
      <c r="K246" s="551"/>
      <c r="L246" s="1273"/>
      <c r="M246" s="662"/>
      <c r="N246" s="1274"/>
      <c r="O246" s="1272"/>
    </row>
    <row r="247" spans="2:15" ht="13" x14ac:dyDescent="0.3">
      <c r="B247" s="579">
        <f t="shared" si="10"/>
        <v>155</v>
      </c>
      <c r="C247" s="1079" t="s">
        <v>515</v>
      </c>
      <c r="D247" s="534" t="s">
        <v>1085</v>
      </c>
      <c r="E247" s="1218">
        <v>78553.43470438139</v>
      </c>
      <c r="F247" s="537">
        <v>779</v>
      </c>
      <c r="G247" s="1220">
        <v>2238.5</v>
      </c>
      <c r="H247" s="1096">
        <f t="shared" si="9"/>
        <v>1.0762019230769231</v>
      </c>
      <c r="J247" s="794"/>
      <c r="K247" s="551"/>
      <c r="L247" s="1273"/>
      <c r="M247" s="662"/>
      <c r="N247" s="1274"/>
      <c r="O247" s="1272"/>
    </row>
    <row r="248" spans="2:15" ht="13" x14ac:dyDescent="0.3">
      <c r="B248" s="579">
        <f t="shared" si="10"/>
        <v>156</v>
      </c>
      <c r="C248" s="1079" t="s">
        <v>515</v>
      </c>
      <c r="D248" s="534" t="s">
        <v>1085</v>
      </c>
      <c r="E248" s="1218">
        <v>41297.360174478206</v>
      </c>
      <c r="F248" s="537">
        <v>312</v>
      </c>
      <c r="G248" s="1220">
        <v>1105</v>
      </c>
      <c r="H248" s="1096">
        <f t="shared" si="9"/>
        <v>0.53125</v>
      </c>
      <c r="J248" s="794"/>
      <c r="K248" s="551"/>
      <c r="L248" s="1273"/>
      <c r="M248" s="662"/>
      <c r="N248" s="1274"/>
      <c r="O248" s="1272"/>
    </row>
    <row r="249" spans="2:15" ht="13" x14ac:dyDescent="0.3">
      <c r="B249" s="579">
        <f t="shared" si="10"/>
        <v>157</v>
      </c>
      <c r="C249" s="1079" t="s">
        <v>515</v>
      </c>
      <c r="D249" s="534" t="s">
        <v>1085</v>
      </c>
      <c r="E249" s="1218">
        <v>1792.5415923690698</v>
      </c>
      <c r="F249" s="537">
        <v>0</v>
      </c>
      <c r="G249" s="1220">
        <v>43.75</v>
      </c>
      <c r="H249" s="1096">
        <f t="shared" si="9"/>
        <v>2.1033653846153848E-2</v>
      </c>
      <c r="J249" s="794"/>
      <c r="K249" s="551"/>
      <c r="L249" s="1273"/>
      <c r="M249" s="662"/>
      <c r="N249" s="1274"/>
      <c r="O249" s="1272"/>
    </row>
    <row r="250" spans="2:15" ht="13" x14ac:dyDescent="0.3">
      <c r="B250" s="579">
        <f t="shared" si="10"/>
        <v>158</v>
      </c>
      <c r="C250" s="1079" t="s">
        <v>515</v>
      </c>
      <c r="D250" s="534" t="s">
        <v>1085</v>
      </c>
      <c r="E250" s="1218">
        <v>10747.75460678988</v>
      </c>
      <c r="F250" s="537">
        <v>37</v>
      </c>
      <c r="G250" s="1220">
        <v>298.75</v>
      </c>
      <c r="H250" s="1096">
        <f t="shared" si="9"/>
        <v>0.14362980769230768</v>
      </c>
      <c r="J250" s="794"/>
      <c r="K250" s="551"/>
      <c r="L250" s="1273"/>
      <c r="M250" s="662"/>
      <c r="N250" s="1274"/>
      <c r="O250" s="1272"/>
    </row>
    <row r="251" spans="2:15" ht="13" x14ac:dyDescent="0.3">
      <c r="B251" s="579">
        <f t="shared" si="10"/>
        <v>159</v>
      </c>
      <c r="C251" s="1079" t="s">
        <v>515</v>
      </c>
      <c r="D251" s="534" t="s">
        <v>1085</v>
      </c>
      <c r="E251" s="1218">
        <v>46618.3531288456</v>
      </c>
      <c r="F251" s="537">
        <v>322</v>
      </c>
      <c r="G251" s="1220">
        <v>1284</v>
      </c>
      <c r="H251" s="1096">
        <f t="shared" si="9"/>
        <v>0.61730769230769234</v>
      </c>
      <c r="J251" s="794"/>
      <c r="K251" s="551"/>
      <c r="L251" s="1273"/>
      <c r="M251" s="662"/>
      <c r="N251" s="1274"/>
      <c r="O251" s="1272"/>
    </row>
    <row r="252" spans="2:15" ht="13" x14ac:dyDescent="0.3">
      <c r="B252" s="579">
        <f t="shared" si="10"/>
        <v>160</v>
      </c>
      <c r="C252" s="1079" t="s">
        <v>515</v>
      </c>
      <c r="D252" s="534" t="s">
        <v>1085</v>
      </c>
      <c r="E252" s="1218">
        <v>12596.138554103385</v>
      </c>
      <c r="F252" s="537">
        <v>26</v>
      </c>
      <c r="G252" s="1220">
        <v>334.5</v>
      </c>
      <c r="H252" s="1096">
        <f t="shared" si="9"/>
        <v>0.1608173076923077</v>
      </c>
      <c r="J252" s="794"/>
      <c r="K252" s="551"/>
      <c r="L252" s="1273"/>
      <c r="M252" s="662"/>
      <c r="N252" s="1274"/>
      <c r="O252" s="1272"/>
    </row>
    <row r="253" spans="2:15" ht="13" x14ac:dyDescent="0.3">
      <c r="B253" s="579">
        <f t="shared" si="10"/>
        <v>161</v>
      </c>
      <c r="C253" s="1079" t="s">
        <v>515</v>
      </c>
      <c r="D253" s="534" t="s">
        <v>1085</v>
      </c>
      <c r="E253" s="1218">
        <v>11430.574296955141</v>
      </c>
      <c r="F253" s="537">
        <v>202</v>
      </c>
      <c r="G253" s="1220">
        <v>311.5</v>
      </c>
      <c r="H253" s="1096">
        <f t="shared" si="9"/>
        <v>0.14975961538461538</v>
      </c>
      <c r="J253" s="794"/>
      <c r="K253" s="551"/>
      <c r="L253" s="1273"/>
      <c r="M253" s="662"/>
      <c r="N253" s="1274"/>
      <c r="O253" s="1272"/>
    </row>
    <row r="254" spans="2:15" ht="13" x14ac:dyDescent="0.3">
      <c r="B254" s="579">
        <f t="shared" si="10"/>
        <v>162</v>
      </c>
      <c r="C254" s="1079" t="s">
        <v>515</v>
      </c>
      <c r="D254" s="534" t="s">
        <v>1085</v>
      </c>
      <c r="E254" s="1218">
        <v>36330.048792443245</v>
      </c>
      <c r="F254" s="537">
        <v>258</v>
      </c>
      <c r="G254" s="1220">
        <v>947.5</v>
      </c>
      <c r="H254" s="1096">
        <f t="shared" si="9"/>
        <v>0.45552884615384615</v>
      </c>
      <c r="J254" s="794"/>
      <c r="K254" s="551"/>
      <c r="L254" s="1273"/>
      <c r="M254" s="662"/>
      <c r="N254" s="1274"/>
      <c r="O254" s="1272"/>
    </row>
    <row r="255" spans="2:15" ht="13" x14ac:dyDescent="0.3">
      <c r="B255" s="579">
        <f t="shared" si="10"/>
        <v>163</v>
      </c>
      <c r="C255" s="1079" t="s">
        <v>515</v>
      </c>
      <c r="D255" s="534" t="s">
        <v>1085</v>
      </c>
      <c r="E255" s="1218">
        <v>83985.003116418826</v>
      </c>
      <c r="F255" s="537">
        <v>300</v>
      </c>
      <c r="G255" s="1220">
        <v>2088.5</v>
      </c>
      <c r="H255" s="1096">
        <f t="shared" si="9"/>
        <v>1.0040865384615385</v>
      </c>
      <c r="J255" s="794"/>
      <c r="K255" s="551"/>
      <c r="L255" s="1273"/>
      <c r="M255" s="662"/>
      <c r="N255" s="1274"/>
      <c r="O255" s="1272"/>
    </row>
    <row r="256" spans="2:15" ht="13" x14ac:dyDescent="0.3">
      <c r="B256" s="579">
        <f t="shared" si="10"/>
        <v>164</v>
      </c>
      <c r="C256" s="1079" t="s">
        <v>515</v>
      </c>
      <c r="D256" s="534" t="s">
        <v>1085</v>
      </c>
      <c r="E256" s="1218">
        <v>89675.84674302912</v>
      </c>
      <c r="F256" s="537">
        <v>146</v>
      </c>
      <c r="G256" s="1220">
        <v>2086.5</v>
      </c>
      <c r="H256" s="1096">
        <f t="shared" si="9"/>
        <v>1.003125</v>
      </c>
      <c r="J256" s="794"/>
      <c r="K256" s="551"/>
      <c r="L256" s="1273"/>
      <c r="M256" s="662"/>
      <c r="N256" s="1274"/>
      <c r="O256" s="1272"/>
    </row>
    <row r="257" spans="2:15" ht="13" x14ac:dyDescent="0.3">
      <c r="B257" s="579">
        <f t="shared" si="10"/>
        <v>165</v>
      </c>
      <c r="C257" s="1079" t="s">
        <v>515</v>
      </c>
      <c r="D257" s="534" t="s">
        <v>1085</v>
      </c>
      <c r="E257" s="1218">
        <v>22019.246146343357</v>
      </c>
      <c r="F257" s="537">
        <v>223</v>
      </c>
      <c r="G257" s="1220">
        <v>601</v>
      </c>
      <c r="H257" s="1096">
        <f t="shared" si="9"/>
        <v>0.28894230769230766</v>
      </c>
      <c r="J257" s="794"/>
      <c r="K257" s="551"/>
      <c r="L257" s="1273"/>
      <c r="M257" s="662"/>
      <c r="N257" s="1274"/>
      <c r="O257" s="1272"/>
    </row>
    <row r="258" spans="2:15" ht="13" x14ac:dyDescent="0.3">
      <c r="B258" s="579">
        <f t="shared" si="10"/>
        <v>166</v>
      </c>
      <c r="C258" s="1079" t="s">
        <v>515</v>
      </c>
      <c r="D258" s="534" t="s">
        <v>1085</v>
      </c>
      <c r="E258" s="1218">
        <v>76138.992354513743</v>
      </c>
      <c r="F258" s="537">
        <v>860</v>
      </c>
      <c r="G258" s="1220">
        <v>1999</v>
      </c>
      <c r="H258" s="1096">
        <f t="shared" si="9"/>
        <v>0.96105769230769234</v>
      </c>
      <c r="J258" s="794"/>
      <c r="K258" s="551"/>
      <c r="L258" s="1273"/>
      <c r="M258" s="662"/>
      <c r="N258" s="1274"/>
      <c r="O258" s="1272"/>
    </row>
    <row r="259" spans="2:15" ht="13" x14ac:dyDescent="0.3">
      <c r="B259" s="579">
        <f t="shared" si="10"/>
        <v>167</v>
      </c>
      <c r="C259" s="1079" t="s">
        <v>515</v>
      </c>
      <c r="D259" s="534" t="s">
        <v>1085</v>
      </c>
      <c r="E259" s="1218">
        <v>56562.889210042384</v>
      </c>
      <c r="F259" s="537">
        <v>695</v>
      </c>
      <c r="G259" s="1220">
        <v>1278</v>
      </c>
      <c r="H259" s="1096">
        <f t="shared" si="9"/>
        <v>0.61442307692307696</v>
      </c>
      <c r="J259" s="794"/>
      <c r="K259" s="551"/>
      <c r="L259" s="1273"/>
      <c r="M259" s="662"/>
      <c r="N259" s="1274"/>
      <c r="O259" s="1272"/>
    </row>
    <row r="260" spans="2:15" ht="13" x14ac:dyDescent="0.3">
      <c r="B260" s="579">
        <f t="shared" si="10"/>
        <v>168</v>
      </c>
      <c r="C260" s="1079" t="s">
        <v>515</v>
      </c>
      <c r="D260" s="534" t="s">
        <v>1085</v>
      </c>
      <c r="E260" s="1218">
        <v>10613.395182625967</v>
      </c>
      <c r="F260" s="537">
        <v>12</v>
      </c>
      <c r="G260" s="1220">
        <v>301.5</v>
      </c>
      <c r="H260" s="1096">
        <f t="shared" si="9"/>
        <v>0.14495192307692309</v>
      </c>
      <c r="J260" s="794"/>
      <c r="K260" s="551"/>
      <c r="L260" s="1273"/>
      <c r="M260" s="662"/>
      <c r="N260" s="1274"/>
      <c r="O260" s="1272"/>
    </row>
    <row r="261" spans="2:15" ht="13" x14ac:dyDescent="0.3">
      <c r="B261" s="579">
        <f t="shared" si="10"/>
        <v>169</v>
      </c>
      <c r="C261" s="1079" t="s">
        <v>515</v>
      </c>
      <c r="D261" s="534" t="s">
        <v>1085</v>
      </c>
      <c r="E261" s="1218">
        <v>56635.660152903074</v>
      </c>
      <c r="F261" s="537">
        <v>558</v>
      </c>
      <c r="G261" s="1220">
        <v>1341</v>
      </c>
      <c r="H261" s="1096">
        <f t="shared" si="9"/>
        <v>0.6447115384615385</v>
      </c>
      <c r="J261" s="794"/>
      <c r="K261" s="551"/>
      <c r="L261" s="1273"/>
      <c r="M261" s="662"/>
      <c r="N261" s="1274"/>
      <c r="O261" s="1272"/>
    </row>
    <row r="262" spans="2:15" ht="13" x14ac:dyDescent="0.3">
      <c r="B262" s="579">
        <f t="shared" si="10"/>
        <v>170</v>
      </c>
      <c r="C262" s="1079" t="s">
        <v>515</v>
      </c>
      <c r="D262" s="534" t="s">
        <v>1085</v>
      </c>
      <c r="E262" s="1218">
        <v>30252.855615992718</v>
      </c>
      <c r="F262" s="537">
        <v>43</v>
      </c>
      <c r="G262" s="1220">
        <v>873.15</v>
      </c>
      <c r="H262" s="1096">
        <f t="shared" si="9"/>
        <v>0.41978365384615385</v>
      </c>
      <c r="J262" s="794"/>
      <c r="K262" s="551"/>
      <c r="L262" s="1273"/>
      <c r="M262" s="662"/>
      <c r="N262" s="1274"/>
      <c r="O262" s="1272"/>
    </row>
    <row r="263" spans="2:15" ht="13" x14ac:dyDescent="0.3">
      <c r="B263" s="579">
        <f t="shared" si="10"/>
        <v>171</v>
      </c>
      <c r="C263" s="1079" t="s">
        <v>515</v>
      </c>
      <c r="D263" s="534" t="s">
        <v>1085</v>
      </c>
      <c r="E263" s="1218">
        <v>19187.065406821544</v>
      </c>
      <c r="F263" s="537">
        <v>88</v>
      </c>
      <c r="G263" s="1220">
        <v>480</v>
      </c>
      <c r="H263" s="1096">
        <f t="shared" si="9"/>
        <v>0.23076923076923078</v>
      </c>
      <c r="J263" s="794"/>
      <c r="K263" s="551"/>
      <c r="L263" s="1273"/>
      <c r="M263" s="662"/>
      <c r="N263" s="1274"/>
      <c r="O263" s="1272"/>
    </row>
    <row r="264" spans="2:15" ht="13" x14ac:dyDescent="0.3">
      <c r="B264" s="579">
        <f t="shared" si="10"/>
        <v>172</v>
      </c>
      <c r="C264" s="1079" t="s">
        <v>515</v>
      </c>
      <c r="D264" s="534" t="s">
        <v>1085</v>
      </c>
      <c r="E264" s="1218">
        <v>16288.929129963793</v>
      </c>
      <c r="F264" s="537">
        <v>106</v>
      </c>
      <c r="G264" s="1220">
        <v>421.43</v>
      </c>
      <c r="H264" s="1096">
        <f t="shared" si="9"/>
        <v>0.20261057692307693</v>
      </c>
      <c r="J264" s="794"/>
      <c r="K264" s="551"/>
      <c r="L264" s="1273"/>
      <c r="M264" s="662"/>
      <c r="N264" s="1274"/>
      <c r="O264" s="1272"/>
    </row>
    <row r="265" spans="2:15" ht="13" x14ac:dyDescent="0.3">
      <c r="B265" s="579">
        <f t="shared" si="10"/>
        <v>173</v>
      </c>
      <c r="C265" s="1079" t="s">
        <v>515</v>
      </c>
      <c r="D265" s="534" t="s">
        <v>1085</v>
      </c>
      <c r="E265" s="1218">
        <v>9936.8112887179232</v>
      </c>
      <c r="F265" s="537">
        <v>95</v>
      </c>
      <c r="G265" s="1220">
        <v>256.79000000000002</v>
      </c>
      <c r="H265" s="1096">
        <f t="shared" si="9"/>
        <v>0.12345673076923078</v>
      </c>
      <c r="J265" s="794"/>
      <c r="K265" s="551"/>
      <c r="L265" s="1273"/>
      <c r="M265" s="662"/>
      <c r="N265" s="1274"/>
      <c r="O265" s="1272"/>
    </row>
    <row r="266" spans="2:15" ht="13" x14ac:dyDescent="0.3">
      <c r="B266" s="579">
        <f t="shared" si="10"/>
        <v>174</v>
      </c>
      <c r="C266" s="1079" t="s">
        <v>515</v>
      </c>
      <c r="D266" s="534" t="s">
        <v>1085</v>
      </c>
      <c r="E266" s="1218">
        <v>83907.84513099899</v>
      </c>
      <c r="F266" s="537">
        <v>209</v>
      </c>
      <c r="G266" s="1220">
        <v>2065.25</v>
      </c>
      <c r="H266" s="1096">
        <f t="shared" si="9"/>
        <v>0.9929086538461539</v>
      </c>
      <c r="J266" s="794"/>
      <c r="K266" s="551"/>
      <c r="L266" s="1273"/>
      <c r="M266" s="662"/>
      <c r="N266" s="1274"/>
      <c r="O266" s="1272"/>
    </row>
    <row r="267" spans="2:15" ht="13" x14ac:dyDescent="0.3">
      <c r="B267" s="579">
        <f t="shared" si="10"/>
        <v>175</v>
      </c>
      <c r="C267" s="1079" t="s">
        <v>515</v>
      </c>
      <c r="D267" s="534" t="s">
        <v>1085</v>
      </c>
      <c r="E267" s="1218">
        <v>74836.940108133014</v>
      </c>
      <c r="F267" s="537">
        <v>612</v>
      </c>
      <c r="G267" s="1220">
        <v>1774</v>
      </c>
      <c r="H267" s="1096">
        <f t="shared" si="9"/>
        <v>0.85288461538461535</v>
      </c>
      <c r="J267" s="794"/>
      <c r="K267" s="551"/>
      <c r="L267" s="1273"/>
      <c r="M267" s="662"/>
      <c r="N267" s="1274"/>
      <c r="O267" s="1272"/>
    </row>
    <row r="268" spans="2:15" ht="13" x14ac:dyDescent="0.3">
      <c r="B268" s="579">
        <f t="shared" si="10"/>
        <v>176</v>
      </c>
      <c r="C268" s="1079" t="s">
        <v>515</v>
      </c>
      <c r="D268" s="534" t="s">
        <v>1085</v>
      </c>
      <c r="E268" s="1218">
        <v>94753.84350862974</v>
      </c>
      <c r="F268" s="537">
        <v>208</v>
      </c>
      <c r="G268" s="1220">
        <v>2083.25</v>
      </c>
      <c r="H268" s="1096">
        <f t="shared" si="9"/>
        <v>1.0015624999999999</v>
      </c>
      <c r="J268" s="794"/>
      <c r="K268" s="551"/>
      <c r="L268" s="1273"/>
      <c r="M268" s="662"/>
      <c r="N268" s="1274"/>
      <c r="O268" s="1272"/>
    </row>
    <row r="269" spans="2:15" ht="13" x14ac:dyDescent="0.3">
      <c r="B269" s="579">
        <f t="shared" si="10"/>
        <v>177</v>
      </c>
      <c r="C269" s="1079" t="s">
        <v>515</v>
      </c>
      <c r="D269" s="534" t="s">
        <v>1085</v>
      </c>
      <c r="E269" s="1218">
        <v>4541.1986377918156</v>
      </c>
      <c r="F269" s="537">
        <v>0</v>
      </c>
      <c r="G269" s="1220">
        <v>116.25</v>
      </c>
      <c r="H269" s="1096">
        <f t="shared" si="9"/>
        <v>5.588942307692308E-2</v>
      </c>
      <c r="J269" s="794"/>
      <c r="K269" s="551"/>
      <c r="L269" s="1273"/>
      <c r="M269" s="662"/>
      <c r="N269" s="1274"/>
      <c r="O269" s="1272"/>
    </row>
    <row r="270" spans="2:15" ht="13" x14ac:dyDescent="0.3">
      <c r="B270" s="579">
        <f t="shared" si="10"/>
        <v>178</v>
      </c>
      <c r="C270" s="1079" t="s">
        <v>515</v>
      </c>
      <c r="D270" s="534" t="s">
        <v>1085</v>
      </c>
      <c r="E270" s="1218">
        <v>73411.021363982698</v>
      </c>
      <c r="F270" s="537">
        <v>322</v>
      </c>
      <c r="G270" s="1220">
        <v>1722.5</v>
      </c>
      <c r="H270" s="1096">
        <f t="shared" si="9"/>
        <v>0.828125</v>
      </c>
      <c r="J270" s="794"/>
      <c r="K270" s="551"/>
      <c r="L270" s="1273"/>
      <c r="M270" s="662"/>
      <c r="N270" s="1274"/>
      <c r="O270" s="1272"/>
    </row>
    <row r="271" spans="2:15" ht="13" x14ac:dyDescent="0.3">
      <c r="B271" s="579">
        <f t="shared" si="10"/>
        <v>179</v>
      </c>
      <c r="C271" s="1079" t="s">
        <v>515</v>
      </c>
      <c r="D271" s="534" t="s">
        <v>1085</v>
      </c>
      <c r="E271" s="1218">
        <v>65588.045073829038</v>
      </c>
      <c r="F271" s="537">
        <v>587</v>
      </c>
      <c r="G271" s="1220">
        <v>1806</v>
      </c>
      <c r="H271" s="1096">
        <f t="shared" si="9"/>
        <v>0.86826923076923079</v>
      </c>
      <c r="J271" s="794"/>
      <c r="K271" s="551"/>
      <c r="L271" s="1273"/>
      <c r="M271" s="662"/>
      <c r="N271" s="1274"/>
      <c r="O271" s="1272"/>
    </row>
    <row r="272" spans="2:15" ht="13" x14ac:dyDescent="0.3">
      <c r="B272" s="579">
        <f t="shared" si="10"/>
        <v>180</v>
      </c>
      <c r="C272" s="1079" t="s">
        <v>515</v>
      </c>
      <c r="D272" s="534" t="s">
        <v>1085</v>
      </c>
      <c r="E272" s="1218">
        <v>91578.37419053755</v>
      </c>
      <c r="F272" s="537">
        <v>683</v>
      </c>
      <c r="G272" s="1220">
        <v>2194</v>
      </c>
      <c r="H272" s="1096">
        <f t="shared" si="9"/>
        <v>1.0548076923076923</v>
      </c>
      <c r="J272" s="794"/>
      <c r="K272" s="551"/>
      <c r="L272" s="1273"/>
      <c r="M272" s="662"/>
      <c r="N272" s="1274"/>
      <c r="O272" s="1272"/>
    </row>
    <row r="273" spans="2:15" ht="13" x14ac:dyDescent="0.3">
      <c r="B273" s="579">
        <f t="shared" si="10"/>
        <v>181</v>
      </c>
      <c r="C273" s="1079" t="s">
        <v>515</v>
      </c>
      <c r="D273" s="534" t="s">
        <v>1085</v>
      </c>
      <c r="E273" s="1218">
        <v>1247.1592514434003</v>
      </c>
      <c r="F273" s="537">
        <v>0</v>
      </c>
      <c r="G273" s="1220">
        <v>32</v>
      </c>
      <c r="H273" s="1096">
        <f t="shared" si="9"/>
        <v>1.5384615384615385E-2</v>
      </c>
      <c r="J273" s="794"/>
      <c r="K273" s="551"/>
      <c r="L273" s="1273"/>
      <c r="M273" s="662"/>
      <c r="N273" s="1274"/>
      <c r="O273" s="1272"/>
    </row>
    <row r="274" spans="2:15" ht="13" x14ac:dyDescent="0.3">
      <c r="B274" s="579">
        <f t="shared" si="10"/>
        <v>182</v>
      </c>
      <c r="C274" s="1079" t="s">
        <v>515</v>
      </c>
      <c r="D274" s="534" t="s">
        <v>1085</v>
      </c>
      <c r="E274" s="1218">
        <v>94626.499355255219</v>
      </c>
      <c r="F274" s="537">
        <v>569</v>
      </c>
      <c r="G274" s="1220">
        <v>2089.75</v>
      </c>
      <c r="H274" s="1096">
        <f t="shared" si="9"/>
        <v>1.0046875</v>
      </c>
      <c r="J274" s="794"/>
      <c r="K274" s="551"/>
      <c r="L274" s="1273"/>
      <c r="M274" s="662"/>
      <c r="N274" s="1274"/>
      <c r="O274" s="1272"/>
    </row>
    <row r="275" spans="2:15" ht="13" x14ac:dyDescent="0.3">
      <c r="B275" s="579">
        <f t="shared" si="10"/>
        <v>183</v>
      </c>
      <c r="C275" s="1079" t="s">
        <v>515</v>
      </c>
      <c r="D275" s="534" t="s">
        <v>1085</v>
      </c>
      <c r="E275" s="1218">
        <v>13534.475991866053</v>
      </c>
      <c r="F275" s="537">
        <v>60</v>
      </c>
      <c r="G275" s="1220">
        <v>345.5</v>
      </c>
      <c r="H275" s="1096">
        <f t="shared" si="9"/>
        <v>0.16610576923076922</v>
      </c>
      <c r="J275" s="794"/>
      <c r="K275" s="551"/>
      <c r="L275" s="1273"/>
      <c r="M275" s="662"/>
      <c r="N275" s="1274"/>
      <c r="O275" s="1272"/>
    </row>
    <row r="276" spans="2:15" ht="13" x14ac:dyDescent="0.3">
      <c r="B276" s="579">
        <f t="shared" si="10"/>
        <v>184</v>
      </c>
      <c r="C276" s="1079" t="s">
        <v>515</v>
      </c>
      <c r="D276" s="534" t="s">
        <v>1085</v>
      </c>
      <c r="E276" s="1218">
        <v>64773.494187730052</v>
      </c>
      <c r="F276" s="537">
        <v>658</v>
      </c>
      <c r="G276" s="1220">
        <v>1686.3</v>
      </c>
      <c r="H276" s="1096">
        <f t="shared" si="9"/>
        <v>0.81072115384615384</v>
      </c>
      <c r="J276" s="794"/>
      <c r="K276" s="551"/>
      <c r="L276" s="1273"/>
      <c r="M276" s="662"/>
      <c r="N276" s="1274"/>
      <c r="O276" s="1272"/>
    </row>
    <row r="277" spans="2:15" ht="13" x14ac:dyDescent="0.3">
      <c r="B277" s="579">
        <f t="shared" si="10"/>
        <v>185</v>
      </c>
      <c r="C277" s="1079" t="s">
        <v>515</v>
      </c>
      <c r="D277" s="534" t="s">
        <v>1085</v>
      </c>
      <c r="E277" s="1218">
        <v>39892.447269643097</v>
      </c>
      <c r="F277" s="537">
        <v>392</v>
      </c>
      <c r="G277" s="1220">
        <v>1019.25</v>
      </c>
      <c r="H277" s="1096">
        <f t="shared" si="9"/>
        <v>0.49002403846153847</v>
      </c>
      <c r="J277" s="794"/>
      <c r="K277" s="551"/>
      <c r="L277" s="1273"/>
      <c r="M277" s="662"/>
      <c r="N277" s="1274"/>
      <c r="O277" s="1272"/>
    </row>
    <row r="278" spans="2:15" ht="13" x14ac:dyDescent="0.3">
      <c r="B278" s="579">
        <f t="shared" si="10"/>
        <v>186</v>
      </c>
      <c r="C278" s="1079" t="s">
        <v>515</v>
      </c>
      <c r="D278" s="534" t="s">
        <v>1085</v>
      </c>
      <c r="E278" s="1218">
        <v>30829.217072939831</v>
      </c>
      <c r="F278" s="537">
        <v>184</v>
      </c>
      <c r="G278" s="1220">
        <v>858.1</v>
      </c>
      <c r="H278" s="1096">
        <f t="shared" si="9"/>
        <v>0.41254807692307693</v>
      </c>
      <c r="J278" s="794"/>
      <c r="K278" s="551"/>
      <c r="L278" s="1273"/>
      <c r="M278" s="662"/>
      <c r="N278" s="1274"/>
      <c r="O278" s="1272"/>
    </row>
    <row r="279" spans="2:15" ht="13" x14ac:dyDescent="0.3">
      <c r="B279" s="579">
        <f t="shared" si="10"/>
        <v>187</v>
      </c>
      <c r="C279" s="1079" t="s">
        <v>515</v>
      </c>
      <c r="D279" s="534" t="s">
        <v>1085</v>
      </c>
      <c r="E279" s="1218">
        <v>5021.6147744415757</v>
      </c>
      <c r="F279" s="537">
        <v>0</v>
      </c>
      <c r="G279" s="1220">
        <v>80</v>
      </c>
      <c r="H279" s="1096">
        <f t="shared" si="9"/>
        <v>3.8461538461538464E-2</v>
      </c>
      <c r="J279" s="794"/>
      <c r="K279" s="551"/>
      <c r="L279" s="1273"/>
      <c r="M279" s="662"/>
      <c r="N279" s="1274"/>
      <c r="O279" s="1272"/>
    </row>
    <row r="280" spans="2:15" ht="13" x14ac:dyDescent="0.3">
      <c r="B280" s="579">
        <f t="shared" si="10"/>
        <v>188</v>
      </c>
      <c r="C280" s="1079" t="s">
        <v>515</v>
      </c>
      <c r="D280" s="534" t="s">
        <v>1085</v>
      </c>
      <c r="E280" s="1218">
        <v>55323.204919497082</v>
      </c>
      <c r="F280" s="537">
        <v>476</v>
      </c>
      <c r="G280" s="1220">
        <v>1546</v>
      </c>
      <c r="H280" s="1096">
        <f t="shared" si="9"/>
        <v>0.74326923076923079</v>
      </c>
      <c r="J280" s="794"/>
      <c r="K280" s="551"/>
      <c r="L280" s="1273"/>
      <c r="M280" s="662"/>
      <c r="N280" s="1274"/>
      <c r="O280" s="1272"/>
    </row>
    <row r="281" spans="2:15" ht="13" x14ac:dyDescent="0.3">
      <c r="B281" s="579">
        <f t="shared" si="10"/>
        <v>189</v>
      </c>
      <c r="C281" s="1079" t="s">
        <v>515</v>
      </c>
      <c r="D281" s="534" t="s">
        <v>1085</v>
      </c>
      <c r="E281" s="1218">
        <v>14601.216868905936</v>
      </c>
      <c r="F281" s="537">
        <v>35</v>
      </c>
      <c r="G281" s="1220">
        <v>334</v>
      </c>
      <c r="H281" s="1096">
        <f t="shared" si="9"/>
        <v>0.16057692307692309</v>
      </c>
      <c r="J281" s="794"/>
      <c r="K281" s="551"/>
      <c r="L281" s="1273"/>
      <c r="M281" s="662"/>
      <c r="N281" s="1274"/>
      <c r="O281" s="1272"/>
    </row>
    <row r="282" spans="2:15" ht="13" x14ac:dyDescent="0.3">
      <c r="B282" s="579">
        <f t="shared" si="10"/>
        <v>190</v>
      </c>
      <c r="C282" s="1079" t="s">
        <v>515</v>
      </c>
      <c r="D282" s="534" t="s">
        <v>1085</v>
      </c>
      <c r="E282" s="1218">
        <v>109626.00772356441</v>
      </c>
      <c r="F282" s="537">
        <v>719</v>
      </c>
      <c r="G282" s="1220">
        <v>2127</v>
      </c>
      <c r="H282" s="1096">
        <f t="shared" si="9"/>
        <v>1.0225961538461539</v>
      </c>
      <c r="J282" s="794"/>
      <c r="K282" s="551"/>
      <c r="L282" s="1273"/>
      <c r="M282" s="662"/>
      <c r="N282" s="1274"/>
      <c r="O282" s="1272"/>
    </row>
    <row r="283" spans="2:15" ht="13" x14ac:dyDescent="0.3">
      <c r="B283" s="579">
        <f t="shared" si="10"/>
        <v>191</v>
      </c>
      <c r="C283" s="1079" t="s">
        <v>515</v>
      </c>
      <c r="D283" s="534" t="s">
        <v>1085</v>
      </c>
      <c r="E283" s="1218">
        <v>35922.543504339395</v>
      </c>
      <c r="F283" s="537">
        <v>180</v>
      </c>
      <c r="G283" s="1220">
        <v>942</v>
      </c>
      <c r="H283" s="1096">
        <f t="shared" si="9"/>
        <v>0.45288461538461539</v>
      </c>
      <c r="J283" s="794"/>
      <c r="K283" s="551"/>
      <c r="L283" s="1273"/>
      <c r="M283" s="662"/>
      <c r="N283" s="1274"/>
      <c r="O283" s="1272"/>
    </row>
    <row r="284" spans="2:15" ht="13" x14ac:dyDescent="0.3">
      <c r="B284" s="579">
        <f t="shared" si="10"/>
        <v>192</v>
      </c>
      <c r="C284" s="1079" t="s">
        <v>515</v>
      </c>
      <c r="D284" s="534" t="s">
        <v>1085</v>
      </c>
      <c r="E284" s="1218">
        <v>18914.649051097611</v>
      </c>
      <c r="F284" s="537">
        <v>74</v>
      </c>
      <c r="G284" s="1220">
        <v>395.5</v>
      </c>
      <c r="H284" s="1096">
        <f t="shared" ref="H284:H307" si="11">+G284/2080</f>
        <v>0.19014423076923076</v>
      </c>
      <c r="J284" s="794"/>
      <c r="K284" s="551"/>
      <c r="L284" s="1273"/>
      <c r="M284" s="662"/>
      <c r="N284" s="1274"/>
      <c r="O284" s="1272"/>
    </row>
    <row r="285" spans="2:15" ht="13" x14ac:dyDescent="0.3">
      <c r="B285" s="579">
        <f t="shared" si="10"/>
        <v>193</v>
      </c>
      <c r="C285" s="1079" t="s">
        <v>515</v>
      </c>
      <c r="D285" s="534" t="s">
        <v>1085</v>
      </c>
      <c r="E285" s="1218">
        <v>74009.078195408045</v>
      </c>
      <c r="F285" s="537">
        <v>237</v>
      </c>
      <c r="G285" s="1220">
        <v>1719</v>
      </c>
      <c r="H285" s="1096">
        <f t="shared" si="11"/>
        <v>0.82644230769230764</v>
      </c>
      <c r="J285" s="794"/>
      <c r="K285" s="551"/>
      <c r="L285" s="1273"/>
      <c r="M285" s="662"/>
      <c r="N285" s="1274"/>
      <c r="O285" s="1272"/>
    </row>
    <row r="286" spans="2:15" ht="13" x14ac:dyDescent="0.3">
      <c r="B286" s="579">
        <f t="shared" si="10"/>
        <v>194</v>
      </c>
      <c r="C286" s="1079" t="s">
        <v>515</v>
      </c>
      <c r="D286" s="534" t="s">
        <v>1085</v>
      </c>
      <c r="E286" s="1218">
        <v>57366.127722161931</v>
      </c>
      <c r="F286" s="537">
        <v>553</v>
      </c>
      <c r="G286" s="1220">
        <v>1323.75</v>
      </c>
      <c r="H286" s="1096">
        <f t="shared" si="11"/>
        <v>0.63641826923076927</v>
      </c>
      <c r="J286" s="794"/>
      <c r="K286" s="551"/>
      <c r="L286" s="1273"/>
      <c r="M286" s="662"/>
      <c r="N286" s="1274"/>
      <c r="O286" s="1272"/>
    </row>
    <row r="287" spans="2:15" ht="13" x14ac:dyDescent="0.3">
      <c r="B287" s="579">
        <f t="shared" ref="B287:B307" si="12">+B286+1</f>
        <v>195</v>
      </c>
      <c r="C287" s="1079" t="s">
        <v>515</v>
      </c>
      <c r="D287" s="534" t="s">
        <v>1085</v>
      </c>
      <c r="E287" s="1218">
        <v>80036.774739066896</v>
      </c>
      <c r="F287" s="537">
        <v>581</v>
      </c>
      <c r="G287" s="1220">
        <v>1901.25</v>
      </c>
      <c r="H287" s="1096">
        <f t="shared" si="11"/>
        <v>0.9140625</v>
      </c>
      <c r="J287" s="794"/>
      <c r="K287" s="551"/>
      <c r="L287" s="1273"/>
      <c r="M287" s="662"/>
      <c r="N287" s="1274"/>
      <c r="O287" s="1272"/>
    </row>
    <row r="288" spans="2:15" ht="13" x14ac:dyDescent="0.3">
      <c r="B288" s="579">
        <f t="shared" si="12"/>
        <v>196</v>
      </c>
      <c r="C288" s="1079" t="s">
        <v>515</v>
      </c>
      <c r="D288" s="534" t="s">
        <v>1085</v>
      </c>
      <c r="E288" s="1218">
        <v>1416.2352720777828</v>
      </c>
      <c r="F288" s="537">
        <v>193</v>
      </c>
      <c r="G288" s="1220">
        <v>5.7100000000000009</v>
      </c>
      <c r="H288" s="1096">
        <f t="shared" si="11"/>
        <v>2.7451923076923083E-3</v>
      </c>
      <c r="J288" s="794"/>
      <c r="K288" s="551"/>
      <c r="L288" s="1273"/>
      <c r="M288" s="662"/>
      <c r="N288" s="1274"/>
      <c r="O288" s="1272"/>
    </row>
    <row r="289" spans="2:15" ht="13" x14ac:dyDescent="0.3">
      <c r="B289" s="579">
        <f t="shared" si="12"/>
        <v>197</v>
      </c>
      <c r="C289" s="1079" t="s">
        <v>515</v>
      </c>
      <c r="D289" s="534" t="s">
        <v>1085</v>
      </c>
      <c r="E289" s="1218">
        <v>74790.421467784676</v>
      </c>
      <c r="F289" s="537">
        <v>826</v>
      </c>
      <c r="G289" s="1220">
        <v>2107</v>
      </c>
      <c r="H289" s="1096">
        <f t="shared" si="11"/>
        <v>1.0129807692307693</v>
      </c>
      <c r="J289" s="794"/>
      <c r="K289" s="551"/>
      <c r="L289" s="1273"/>
      <c r="M289" s="662"/>
      <c r="N289" s="1274"/>
      <c r="O289" s="1272"/>
    </row>
    <row r="290" spans="2:15" ht="13" x14ac:dyDescent="0.3">
      <c r="B290" s="579">
        <f t="shared" si="12"/>
        <v>198</v>
      </c>
      <c r="C290" s="1079" t="s">
        <v>515</v>
      </c>
      <c r="D290" s="534" t="s">
        <v>1085</v>
      </c>
      <c r="E290" s="1218">
        <v>4399.5940977841792</v>
      </c>
      <c r="F290" s="537">
        <v>0</v>
      </c>
      <c r="G290" s="1220">
        <v>96</v>
      </c>
      <c r="H290" s="1096">
        <f t="shared" si="11"/>
        <v>4.6153846153846156E-2</v>
      </c>
      <c r="J290" s="794"/>
      <c r="K290" s="551"/>
      <c r="L290" s="1273"/>
      <c r="M290" s="662"/>
      <c r="N290" s="1274"/>
      <c r="O290" s="1272"/>
    </row>
    <row r="291" spans="2:15" ht="13" x14ac:dyDescent="0.3">
      <c r="B291" s="579">
        <f t="shared" si="12"/>
        <v>199</v>
      </c>
      <c r="C291" s="1079" t="s">
        <v>515</v>
      </c>
      <c r="D291" s="534" t="s">
        <v>1085</v>
      </c>
      <c r="E291" s="1218">
        <v>22480.675082850954</v>
      </c>
      <c r="F291" s="537">
        <v>34</v>
      </c>
      <c r="G291" s="1220">
        <v>549.20000000000005</v>
      </c>
      <c r="H291" s="1096">
        <f t="shared" si="11"/>
        <v>0.26403846153846156</v>
      </c>
      <c r="J291" s="794"/>
      <c r="K291" s="551"/>
      <c r="L291" s="1273"/>
      <c r="M291" s="662"/>
      <c r="N291" s="1274"/>
      <c r="O291" s="1272"/>
    </row>
    <row r="292" spans="2:15" ht="13" x14ac:dyDescent="0.3">
      <c r="B292" s="579">
        <f t="shared" si="12"/>
        <v>200</v>
      </c>
      <c r="C292" s="1079" t="s">
        <v>515</v>
      </c>
      <c r="D292" s="534" t="s">
        <v>1085</v>
      </c>
      <c r="E292" s="1218">
        <v>75971.914986525851</v>
      </c>
      <c r="F292" s="537">
        <v>718</v>
      </c>
      <c r="G292" s="1220">
        <v>2128</v>
      </c>
      <c r="H292" s="1096">
        <f t="shared" si="11"/>
        <v>1.023076923076923</v>
      </c>
      <c r="J292" s="794"/>
      <c r="K292" s="551"/>
      <c r="L292" s="1273"/>
      <c r="M292" s="662"/>
      <c r="N292" s="1274"/>
      <c r="O292" s="1272"/>
    </row>
    <row r="293" spans="2:15" ht="13" x14ac:dyDescent="0.3">
      <c r="B293" s="579">
        <f t="shared" si="12"/>
        <v>201</v>
      </c>
      <c r="C293" s="1079" t="s">
        <v>515</v>
      </c>
      <c r="D293" s="534" t="s">
        <v>1085</v>
      </c>
      <c r="E293" s="1218">
        <v>2652.9615567062233</v>
      </c>
      <c r="F293" s="537">
        <v>0</v>
      </c>
      <c r="G293" s="1220">
        <v>64.75</v>
      </c>
      <c r="H293" s="1096">
        <f t="shared" si="11"/>
        <v>3.1129807692307693E-2</v>
      </c>
      <c r="J293" s="794"/>
      <c r="K293" s="551"/>
      <c r="L293" s="1273"/>
      <c r="M293" s="662"/>
      <c r="N293" s="1274"/>
      <c r="O293" s="1272"/>
    </row>
    <row r="294" spans="2:15" ht="13" x14ac:dyDescent="0.3">
      <c r="B294" s="579">
        <f t="shared" si="12"/>
        <v>202</v>
      </c>
      <c r="C294" s="1079" t="s">
        <v>515</v>
      </c>
      <c r="D294" s="534" t="s">
        <v>1085</v>
      </c>
      <c r="E294" s="1218">
        <v>291.93319881743633</v>
      </c>
      <c r="F294" s="537">
        <v>8</v>
      </c>
      <c r="G294" s="1220">
        <v>7.5</v>
      </c>
      <c r="H294" s="1096">
        <f t="shared" si="11"/>
        <v>3.605769230769231E-3</v>
      </c>
      <c r="J294" s="794"/>
      <c r="K294" s="551"/>
      <c r="L294" s="1273"/>
      <c r="M294" s="662"/>
      <c r="N294" s="1274"/>
      <c r="O294" s="1272"/>
    </row>
    <row r="295" spans="2:15" ht="13" x14ac:dyDescent="0.3">
      <c r="B295" s="579">
        <f t="shared" si="12"/>
        <v>203</v>
      </c>
      <c r="C295" s="1079" t="s">
        <v>515</v>
      </c>
      <c r="D295" s="534" t="s">
        <v>1085</v>
      </c>
      <c r="E295" s="1218">
        <v>72910.418835602832</v>
      </c>
      <c r="F295" s="537">
        <v>150</v>
      </c>
      <c r="G295" s="1220">
        <v>2045.22</v>
      </c>
      <c r="H295" s="1096">
        <f t="shared" si="11"/>
        <v>0.9832788461538462</v>
      </c>
      <c r="J295" s="794"/>
      <c r="K295" s="551"/>
      <c r="L295" s="1273"/>
      <c r="M295" s="662"/>
      <c r="N295" s="1274"/>
      <c r="O295" s="1272"/>
    </row>
    <row r="296" spans="2:15" ht="13" x14ac:dyDescent="0.3">
      <c r="B296" s="579">
        <f t="shared" si="12"/>
        <v>204</v>
      </c>
      <c r="C296" s="1079" t="s">
        <v>515</v>
      </c>
      <c r="D296" s="534" t="s">
        <v>1085</v>
      </c>
      <c r="E296" s="1218">
        <v>19772.170969097271</v>
      </c>
      <c r="F296" s="537">
        <v>19</v>
      </c>
      <c r="G296" s="1220">
        <v>441</v>
      </c>
      <c r="H296" s="1096">
        <f t="shared" si="11"/>
        <v>0.21201923076923077</v>
      </c>
      <c r="J296" s="794"/>
      <c r="K296" s="551"/>
      <c r="L296" s="1273"/>
      <c r="M296" s="662"/>
      <c r="N296" s="1274"/>
      <c r="O296" s="1272"/>
    </row>
    <row r="297" spans="2:15" ht="13" x14ac:dyDescent="0.3">
      <c r="B297" s="579">
        <f t="shared" si="12"/>
        <v>205</v>
      </c>
      <c r="C297" s="1079" t="s">
        <v>515</v>
      </c>
      <c r="D297" s="534" t="s">
        <v>1085</v>
      </c>
      <c r="E297" s="1218">
        <v>25593.16685605055</v>
      </c>
      <c r="F297" s="537">
        <v>319</v>
      </c>
      <c r="G297" s="1220">
        <v>740.3</v>
      </c>
      <c r="H297" s="1096">
        <f t="shared" si="11"/>
        <v>0.35591346153846154</v>
      </c>
      <c r="J297" s="794"/>
      <c r="K297" s="551"/>
      <c r="L297" s="1273"/>
      <c r="M297" s="662"/>
      <c r="N297" s="1274"/>
      <c r="O297" s="1272"/>
    </row>
    <row r="298" spans="2:15" ht="13" x14ac:dyDescent="0.3">
      <c r="B298" s="579">
        <f t="shared" si="12"/>
        <v>206</v>
      </c>
      <c r="C298" s="1079" t="s">
        <v>515</v>
      </c>
      <c r="D298" s="534" t="s">
        <v>1085</v>
      </c>
      <c r="E298" s="1218">
        <v>27206.479272340795</v>
      </c>
      <c r="F298" s="537">
        <v>50</v>
      </c>
      <c r="G298" s="1220">
        <v>730.95</v>
      </c>
      <c r="H298" s="1096">
        <f t="shared" si="11"/>
        <v>0.35141826923076924</v>
      </c>
      <c r="J298" s="794"/>
      <c r="K298" s="551"/>
      <c r="L298" s="1273"/>
      <c r="M298" s="662"/>
      <c r="N298" s="1274"/>
      <c r="O298" s="1272"/>
    </row>
    <row r="299" spans="2:15" ht="13" x14ac:dyDescent="0.3">
      <c r="B299" s="579">
        <f t="shared" si="12"/>
        <v>207</v>
      </c>
      <c r="C299" s="1079" t="s">
        <v>515</v>
      </c>
      <c r="D299" s="534" t="s">
        <v>1086</v>
      </c>
      <c r="E299" s="1218">
        <v>63456.502012816425</v>
      </c>
      <c r="F299" s="537">
        <v>15</v>
      </c>
      <c r="G299" s="1219">
        <v>1630</v>
      </c>
      <c r="H299" s="1096">
        <f t="shared" si="11"/>
        <v>0.78365384615384615</v>
      </c>
      <c r="J299" s="794"/>
      <c r="K299" s="551"/>
      <c r="L299" s="1273"/>
      <c r="M299" s="662"/>
      <c r="N299" s="1274"/>
      <c r="O299" s="1272"/>
    </row>
    <row r="300" spans="2:15" ht="13" x14ac:dyDescent="0.3">
      <c r="B300" s="579">
        <f t="shared" si="12"/>
        <v>208</v>
      </c>
      <c r="C300" s="1079" t="s">
        <v>515</v>
      </c>
      <c r="D300" s="534" t="s">
        <v>1086</v>
      </c>
      <c r="E300" s="1218">
        <v>73493.515751968807</v>
      </c>
      <c r="F300" s="537">
        <v>28</v>
      </c>
      <c r="G300" s="1219">
        <v>1849.75</v>
      </c>
      <c r="H300" s="1096">
        <f t="shared" si="11"/>
        <v>0.88930288461538465</v>
      </c>
      <c r="J300" s="794"/>
      <c r="K300" s="551"/>
      <c r="L300" s="1273"/>
      <c r="M300" s="662"/>
      <c r="N300" s="1275"/>
      <c r="O300" s="1272"/>
    </row>
    <row r="301" spans="2:15" ht="13" x14ac:dyDescent="0.3">
      <c r="B301" s="579">
        <f t="shared" si="12"/>
        <v>209</v>
      </c>
      <c r="C301" s="1079" t="s">
        <v>515</v>
      </c>
      <c r="D301" s="534" t="s">
        <v>1086</v>
      </c>
      <c r="E301" s="1218">
        <v>49929.80077974539</v>
      </c>
      <c r="F301" s="537">
        <v>15</v>
      </c>
      <c r="G301" s="1219">
        <v>1228.55</v>
      </c>
      <c r="H301" s="1096">
        <f t="shared" si="11"/>
        <v>0.59064903846153849</v>
      </c>
      <c r="J301" s="794"/>
      <c r="K301" s="551"/>
      <c r="L301" s="1273"/>
      <c r="M301" s="662"/>
      <c r="N301" s="1275"/>
      <c r="O301" s="1272"/>
    </row>
    <row r="302" spans="2:15" ht="13" x14ac:dyDescent="0.3">
      <c r="B302" s="579">
        <f t="shared" si="12"/>
        <v>210</v>
      </c>
      <c r="C302" s="1079" t="s">
        <v>515</v>
      </c>
      <c r="D302" s="534" t="s">
        <v>1086</v>
      </c>
      <c r="E302" s="1218">
        <v>31940.098193678623</v>
      </c>
      <c r="F302" s="537">
        <v>6</v>
      </c>
      <c r="G302" s="1220">
        <v>802.5</v>
      </c>
      <c r="H302" s="1096">
        <f t="shared" si="11"/>
        <v>0.38581730769230771</v>
      </c>
      <c r="J302" s="794"/>
      <c r="K302" s="551"/>
      <c r="L302" s="1273"/>
      <c r="M302" s="662"/>
      <c r="N302" s="1275"/>
      <c r="O302" s="1272"/>
    </row>
    <row r="303" spans="2:15" ht="13" x14ac:dyDescent="0.3">
      <c r="B303" s="579">
        <f t="shared" si="12"/>
        <v>211</v>
      </c>
      <c r="C303" s="1079" t="s">
        <v>515</v>
      </c>
      <c r="D303" s="534" t="s">
        <v>1086</v>
      </c>
      <c r="E303" s="1218">
        <v>66171.901478200671</v>
      </c>
      <c r="F303" s="537">
        <v>5</v>
      </c>
      <c r="G303" s="1220">
        <v>1630.3</v>
      </c>
      <c r="H303" s="1096">
        <f t="shared" si="11"/>
        <v>0.7837980769230769</v>
      </c>
      <c r="J303" s="794"/>
      <c r="K303" s="551"/>
      <c r="L303" s="1273"/>
      <c r="M303" s="662"/>
      <c r="N303" s="1274"/>
      <c r="O303" s="1272"/>
    </row>
    <row r="304" spans="2:15" ht="13" x14ac:dyDescent="0.3">
      <c r="B304" s="579">
        <f t="shared" si="12"/>
        <v>212</v>
      </c>
      <c r="C304" s="1079" t="s">
        <v>515</v>
      </c>
      <c r="D304" s="534" t="s">
        <v>1086</v>
      </c>
      <c r="E304" s="1218">
        <v>15741.887907341477</v>
      </c>
      <c r="F304" s="537">
        <v>0</v>
      </c>
      <c r="G304" s="1220">
        <v>387.5</v>
      </c>
      <c r="H304" s="1096">
        <f t="shared" si="11"/>
        <v>0.18629807692307693</v>
      </c>
      <c r="J304" s="794"/>
      <c r="K304" s="551"/>
      <c r="L304" s="1273"/>
      <c r="M304" s="662"/>
      <c r="N304" s="1274"/>
      <c r="O304" s="1272"/>
    </row>
    <row r="305" spans="2:16" ht="13" x14ac:dyDescent="0.3">
      <c r="B305" s="579">
        <f t="shared" si="12"/>
        <v>213</v>
      </c>
      <c r="C305" s="1079" t="s">
        <v>515</v>
      </c>
      <c r="D305" s="534" t="s">
        <v>1086</v>
      </c>
      <c r="E305" s="1218">
        <v>11765.858271676114</v>
      </c>
      <c r="F305" s="537">
        <v>0</v>
      </c>
      <c r="G305" s="1220">
        <v>298.75</v>
      </c>
      <c r="H305" s="1096">
        <f t="shared" si="11"/>
        <v>0.14362980769230768</v>
      </c>
      <c r="J305" s="794"/>
      <c r="K305" s="551"/>
      <c r="L305" s="1273"/>
      <c r="M305" s="662"/>
      <c r="N305" s="1274"/>
      <c r="O305" s="1272"/>
    </row>
    <row r="306" spans="2:16" ht="13" x14ac:dyDescent="0.3">
      <c r="B306" s="579">
        <f t="shared" si="12"/>
        <v>214</v>
      </c>
      <c r="C306" s="1079" t="s">
        <v>515</v>
      </c>
      <c r="D306" s="534" t="s">
        <v>1086</v>
      </c>
      <c r="E306" s="1218">
        <v>51711.639587192236</v>
      </c>
      <c r="F306" s="537">
        <v>17</v>
      </c>
      <c r="G306" s="1220">
        <v>1317.75</v>
      </c>
      <c r="H306" s="1096">
        <f t="shared" si="11"/>
        <v>0.6335336538461539</v>
      </c>
      <c r="J306" s="794"/>
      <c r="K306" s="551"/>
      <c r="L306" s="1273"/>
      <c r="M306" s="662"/>
      <c r="N306" s="1274"/>
      <c r="O306" s="1272"/>
    </row>
    <row r="307" spans="2:16" ht="13" x14ac:dyDescent="0.3">
      <c r="B307" s="579">
        <f t="shared" si="12"/>
        <v>215</v>
      </c>
      <c r="C307" s="1079" t="s">
        <v>515</v>
      </c>
      <c r="D307" s="534" t="s">
        <v>1086</v>
      </c>
      <c r="E307" s="1218">
        <v>51387.358195290486</v>
      </c>
      <c r="F307" s="537">
        <v>28</v>
      </c>
      <c r="G307" s="1220">
        <v>1239</v>
      </c>
      <c r="H307" s="1096">
        <f t="shared" si="11"/>
        <v>0.59567307692307692</v>
      </c>
      <c r="J307" s="794"/>
      <c r="K307" s="551"/>
      <c r="L307" s="1273"/>
      <c r="M307" s="662"/>
      <c r="N307" s="1274"/>
      <c r="O307" s="1272"/>
    </row>
    <row r="308" spans="2:16" ht="13" x14ac:dyDescent="0.3">
      <c r="B308" s="579"/>
      <c r="C308" s="535"/>
      <c r="D308" s="1079"/>
      <c r="E308" s="537"/>
      <c r="F308" s="537"/>
      <c r="G308" s="537"/>
      <c r="H308" s="1096"/>
      <c r="J308" s="794"/>
      <c r="K308" s="551"/>
      <c r="L308" s="1273"/>
      <c r="M308" s="662"/>
      <c r="N308" s="1274"/>
      <c r="O308" s="1272"/>
    </row>
    <row r="310" spans="2:16" ht="13" x14ac:dyDescent="0.3">
      <c r="C310" s="535"/>
      <c r="D310" s="1079"/>
      <c r="E310" s="537"/>
      <c r="F310" s="537"/>
      <c r="G310" s="537"/>
      <c r="H310" s="1096"/>
    </row>
    <row r="311" spans="2:16" ht="13" x14ac:dyDescent="0.3">
      <c r="C311" s="535"/>
      <c r="D311" s="1079"/>
      <c r="E311" s="537"/>
      <c r="F311" s="537"/>
      <c r="G311" s="537"/>
      <c r="H311" s="1096"/>
    </row>
    <row r="312" spans="2:16" ht="13" x14ac:dyDescent="0.3">
      <c r="C312" s="1102">
        <v>215</v>
      </c>
      <c r="D312" s="1097" t="s">
        <v>1087</v>
      </c>
      <c r="E312" s="1099">
        <f>SUM(E93:E311)</f>
        <v>14632712.606656699</v>
      </c>
      <c r="F312" s="1099">
        <f>SUM(F93:F311)</f>
        <v>182552</v>
      </c>
      <c r="G312" s="1099">
        <f>SUM(G93:G311)</f>
        <v>297656.61999999994</v>
      </c>
      <c r="H312" s="1089">
        <f>+G312/2080</f>
        <v>143.10414423076921</v>
      </c>
    </row>
    <row r="313" spans="2:16" ht="13" x14ac:dyDescent="0.3">
      <c r="C313" s="535"/>
      <c r="D313" s="1079"/>
      <c r="E313" s="537"/>
      <c r="F313" s="537"/>
      <c r="G313" s="537"/>
      <c r="H313" s="1096"/>
      <c r="J313" s="702"/>
      <c r="K313" s="702"/>
      <c r="L313" s="702"/>
      <c r="M313" s="702"/>
      <c r="N313" s="702"/>
      <c r="O313" s="702"/>
      <c r="P313" s="702"/>
    </row>
    <row r="314" spans="2:16" ht="13" x14ac:dyDescent="0.3">
      <c r="C314" s="535"/>
      <c r="D314" s="1079"/>
      <c r="E314" s="537"/>
      <c r="F314" s="537"/>
      <c r="G314" s="537"/>
      <c r="H314" s="1096"/>
      <c r="J314" s="702"/>
      <c r="K314" s="702"/>
      <c r="L314" s="702"/>
      <c r="M314" s="702"/>
      <c r="N314" s="702"/>
      <c r="O314" s="702"/>
      <c r="P314" s="702"/>
    </row>
    <row r="315" spans="2:16" ht="15.5" x14ac:dyDescent="0.35">
      <c r="C315" s="535"/>
      <c r="D315" s="1079"/>
      <c r="E315" s="606"/>
      <c r="F315" s="537"/>
      <c r="G315" s="537"/>
      <c r="H315" s="1096"/>
      <c r="J315" s="702"/>
      <c r="K315" s="702"/>
      <c r="L315" s="702"/>
      <c r="M315" s="702"/>
      <c r="N315" s="702"/>
      <c r="O315" s="702"/>
      <c r="P315" s="702"/>
    </row>
    <row r="316" spans="2:16" ht="15.5" x14ac:dyDescent="0.35">
      <c r="C316" s="535"/>
      <c r="D316" s="606" t="s">
        <v>1088</v>
      </c>
      <c r="E316" s="537"/>
      <c r="F316" s="537"/>
      <c r="G316" s="537"/>
      <c r="H316" s="1096"/>
      <c r="J316" s="702"/>
      <c r="K316" s="702"/>
      <c r="L316" s="702"/>
      <c r="M316" s="702"/>
      <c r="N316" s="702"/>
      <c r="O316" s="702"/>
      <c r="P316" s="702"/>
    </row>
    <row r="317" spans="2:16" ht="13" x14ac:dyDescent="0.3">
      <c r="C317" s="535"/>
      <c r="D317" s="1079"/>
      <c r="E317" s="537"/>
      <c r="F317" s="537"/>
      <c r="G317" s="537"/>
      <c r="H317" s="1096"/>
      <c r="J317" s="702"/>
      <c r="K317" s="702"/>
      <c r="L317" s="702"/>
      <c r="M317" s="702"/>
      <c r="N317" s="702"/>
      <c r="O317" s="702"/>
      <c r="P317" s="702"/>
    </row>
    <row r="318" spans="2:16" ht="13" x14ac:dyDescent="0.3">
      <c r="B318" s="1105" t="s">
        <v>1096</v>
      </c>
      <c r="C318" s="1092" t="s">
        <v>1026</v>
      </c>
      <c r="D318" s="1093" t="s">
        <v>1065</v>
      </c>
      <c r="E318" s="1094" t="s">
        <v>920</v>
      </c>
      <c r="F318" s="1229" t="s">
        <v>1066</v>
      </c>
      <c r="G318" s="1094" t="s">
        <v>848</v>
      </c>
      <c r="H318" s="1095" t="s">
        <v>203</v>
      </c>
      <c r="J318" s="1268"/>
      <c r="K318" s="1289"/>
      <c r="L318" s="1290"/>
      <c r="M318" s="1268"/>
      <c r="N318" s="1291"/>
      <c r="O318" s="746"/>
      <c r="P318" s="702"/>
    </row>
    <row r="319" spans="2:16" ht="13" x14ac:dyDescent="0.3">
      <c r="B319" s="579">
        <v>1</v>
      </c>
      <c r="C319" s="1079" t="s">
        <v>516</v>
      </c>
      <c r="D319" s="534" t="s">
        <v>1188</v>
      </c>
      <c r="E319" s="1224">
        <v>9699.4612936775975</v>
      </c>
      <c r="F319" s="537">
        <v>0</v>
      </c>
      <c r="G319" s="1227">
        <v>0</v>
      </c>
      <c r="H319" s="559">
        <v>0</v>
      </c>
      <c r="J319" s="917"/>
      <c r="K319" s="550"/>
      <c r="L319" s="922"/>
      <c r="M319" s="1292"/>
      <c r="N319" s="1293"/>
      <c r="O319" s="1294"/>
      <c r="P319" s="702"/>
    </row>
    <row r="320" spans="2:16" ht="13" x14ac:dyDescent="0.3">
      <c r="B320" s="579">
        <f>+B319+1</f>
        <v>2</v>
      </c>
      <c r="C320" s="1079" t="s">
        <v>516</v>
      </c>
      <c r="D320" s="534" t="s">
        <v>1188</v>
      </c>
      <c r="E320" s="1224">
        <v>3435.6838994089835</v>
      </c>
      <c r="F320" s="537">
        <v>0</v>
      </c>
      <c r="G320" s="1227">
        <v>0</v>
      </c>
      <c r="H320" s="559">
        <v>0</v>
      </c>
      <c r="J320" s="1296"/>
      <c r="K320" s="1295"/>
      <c r="L320" s="1297"/>
      <c r="M320" s="1292"/>
      <c r="N320" s="1298"/>
      <c r="O320" s="1294"/>
      <c r="P320" s="702"/>
    </row>
    <row r="321" spans="2:16" ht="13" x14ac:dyDescent="0.3">
      <c r="B321" s="579">
        <f t="shared" ref="B321:B384" si="13">+B320+1</f>
        <v>3</v>
      </c>
      <c r="C321" s="1079" t="s">
        <v>516</v>
      </c>
      <c r="D321" s="534" t="s">
        <v>1188</v>
      </c>
      <c r="E321" s="1224">
        <v>3171.8017904857898</v>
      </c>
      <c r="F321" s="537">
        <v>0</v>
      </c>
      <c r="G321" s="1227">
        <v>0</v>
      </c>
      <c r="H321" s="559">
        <v>0</v>
      </c>
      <c r="J321" s="917"/>
      <c r="K321" s="550"/>
      <c r="L321" s="922"/>
      <c r="M321" s="1292"/>
      <c r="N321" s="1293"/>
      <c r="O321" s="1294"/>
      <c r="P321" s="702"/>
    </row>
    <row r="322" spans="2:16" ht="13" x14ac:dyDescent="0.3">
      <c r="B322" s="579">
        <f t="shared" si="13"/>
        <v>4</v>
      </c>
      <c r="C322" s="1079" t="s">
        <v>516</v>
      </c>
      <c r="D322" s="534" t="s">
        <v>1188</v>
      </c>
      <c r="E322" s="1224">
        <v>14290.506328474221</v>
      </c>
      <c r="F322" s="537">
        <v>0</v>
      </c>
      <c r="G322" s="1227">
        <v>0</v>
      </c>
      <c r="H322" s="559">
        <v>0</v>
      </c>
      <c r="J322" s="1276"/>
      <c r="K322" s="547"/>
      <c r="L322" s="1277"/>
      <c r="M322" s="1278"/>
      <c r="N322" s="1279"/>
      <c r="O322" s="1051"/>
    </row>
    <row r="323" spans="2:16" ht="13" x14ac:dyDescent="0.3">
      <c r="B323" s="579">
        <f t="shared" si="13"/>
        <v>5</v>
      </c>
      <c r="C323" s="1079" t="s">
        <v>516</v>
      </c>
      <c r="D323" s="534" t="s">
        <v>1188</v>
      </c>
      <c r="E323" s="1224">
        <v>13590.837996498592</v>
      </c>
      <c r="F323" s="537">
        <v>0</v>
      </c>
      <c r="G323" s="1227">
        <v>0</v>
      </c>
      <c r="H323" s="559">
        <v>0</v>
      </c>
      <c r="J323" s="1281"/>
      <c r="K323" s="1280"/>
      <c r="L323" s="1282"/>
      <c r="M323" s="1278"/>
      <c r="N323" s="1283"/>
      <c r="O323" s="1051"/>
    </row>
    <row r="324" spans="2:16" ht="13" x14ac:dyDescent="0.3">
      <c r="B324" s="579">
        <f t="shared" si="13"/>
        <v>6</v>
      </c>
      <c r="C324" s="1079" t="s">
        <v>516</v>
      </c>
      <c r="D324" s="534" t="s">
        <v>1188</v>
      </c>
      <c r="E324" s="1224">
        <v>9538.4198566823252</v>
      </c>
      <c r="F324" s="537">
        <v>0</v>
      </c>
      <c r="G324" s="1227">
        <v>0</v>
      </c>
      <c r="H324" s="559">
        <v>0</v>
      </c>
      <c r="J324" s="1276"/>
      <c r="K324" s="547"/>
      <c r="L324" s="1277"/>
      <c r="M324" s="1278"/>
      <c r="N324" s="1279"/>
      <c r="O324" s="1051"/>
    </row>
    <row r="325" spans="2:16" ht="13" x14ac:dyDescent="0.3">
      <c r="B325" s="579">
        <f t="shared" si="13"/>
        <v>7</v>
      </c>
      <c r="C325" s="1079" t="s">
        <v>516</v>
      </c>
      <c r="D325" s="534" t="s">
        <v>1188</v>
      </c>
      <c r="E325" s="1224">
        <v>1902.81725214213</v>
      </c>
      <c r="F325" s="537">
        <v>0</v>
      </c>
      <c r="G325" s="1227">
        <v>0</v>
      </c>
      <c r="H325" s="559">
        <v>0</v>
      </c>
      <c r="J325" s="1276"/>
      <c r="K325" s="547"/>
      <c r="L325" s="1277"/>
      <c r="M325" s="1278"/>
      <c r="N325" s="1279"/>
      <c r="O325" s="1051"/>
    </row>
    <row r="326" spans="2:16" ht="13" x14ac:dyDescent="0.3">
      <c r="B326" s="579">
        <f t="shared" si="13"/>
        <v>8</v>
      </c>
      <c r="C326" s="1079" t="s">
        <v>516</v>
      </c>
      <c r="D326" s="534" t="s">
        <v>1188</v>
      </c>
      <c r="E326" s="1224">
        <v>17064.796094088881</v>
      </c>
      <c r="F326" s="537">
        <v>0</v>
      </c>
      <c r="G326" s="1227">
        <v>0</v>
      </c>
      <c r="H326" s="559">
        <v>0</v>
      </c>
      <c r="J326" s="1281"/>
      <c r="K326" s="1280"/>
      <c r="L326" s="1282"/>
      <c r="M326" s="1278"/>
      <c r="N326" s="1283"/>
      <c r="O326" s="1051"/>
    </row>
    <row r="327" spans="2:16" ht="13" x14ac:dyDescent="0.3">
      <c r="B327" s="579">
        <f t="shared" si="13"/>
        <v>9</v>
      </c>
      <c r="C327" s="1079" t="s">
        <v>516</v>
      </c>
      <c r="D327" s="534" t="s">
        <v>1188</v>
      </c>
      <c r="E327" s="1224">
        <v>10223.108287072104</v>
      </c>
      <c r="F327" s="537">
        <v>0</v>
      </c>
      <c r="G327" s="1227">
        <v>0</v>
      </c>
      <c r="H327" s="559">
        <v>0</v>
      </c>
      <c r="J327" s="1276"/>
      <c r="K327" s="547"/>
      <c r="L327" s="1277"/>
      <c r="M327" s="1278"/>
      <c r="N327" s="1279"/>
      <c r="O327" s="1051"/>
    </row>
    <row r="328" spans="2:16" ht="13" x14ac:dyDescent="0.3">
      <c r="B328" s="579">
        <f t="shared" si="13"/>
        <v>10</v>
      </c>
      <c r="C328" s="1079" t="s">
        <v>516</v>
      </c>
      <c r="D328" s="534" t="s">
        <v>1188</v>
      </c>
      <c r="E328" s="1224">
        <v>8427.7286079449404</v>
      </c>
      <c r="F328" s="537">
        <v>0</v>
      </c>
      <c r="G328" s="1227">
        <v>0</v>
      </c>
      <c r="H328" s="559">
        <v>0</v>
      </c>
      <c r="J328" s="579"/>
      <c r="L328" s="741"/>
      <c r="M328" s="1278"/>
      <c r="N328" s="1236"/>
      <c r="O328" s="1051"/>
    </row>
    <row r="329" spans="2:16" ht="13" x14ac:dyDescent="0.3">
      <c r="B329" s="579">
        <f t="shared" si="13"/>
        <v>11</v>
      </c>
      <c r="C329" s="1079" t="s">
        <v>516</v>
      </c>
      <c r="D329" s="534" t="s">
        <v>1188</v>
      </c>
      <c r="E329" s="1224">
        <v>4809.9574591725768</v>
      </c>
      <c r="F329" s="537">
        <v>0</v>
      </c>
      <c r="G329" s="1227">
        <v>0</v>
      </c>
      <c r="H329" s="559">
        <v>0</v>
      </c>
      <c r="J329" s="1281"/>
      <c r="K329" s="1280"/>
      <c r="L329" s="1282"/>
      <c r="M329" s="1278"/>
      <c r="N329" s="1283"/>
      <c r="O329" s="1051"/>
    </row>
    <row r="330" spans="2:16" ht="13" x14ac:dyDescent="0.3">
      <c r="B330" s="579">
        <f t="shared" si="13"/>
        <v>12</v>
      </c>
      <c r="C330" s="1079" t="s">
        <v>516</v>
      </c>
      <c r="D330" s="534" t="s">
        <v>1188</v>
      </c>
      <c r="E330" s="1224">
        <v>14544.415160691151</v>
      </c>
      <c r="F330" s="537">
        <v>0</v>
      </c>
      <c r="G330" s="1227">
        <v>0</v>
      </c>
      <c r="H330" s="559">
        <v>0</v>
      </c>
      <c r="J330" s="1276"/>
      <c r="K330" s="547"/>
      <c r="L330" s="1277"/>
      <c r="M330" s="1278"/>
      <c r="N330" s="1279"/>
      <c r="O330" s="1051"/>
    </row>
    <row r="331" spans="2:16" ht="13" x14ac:dyDescent="0.3">
      <c r="B331" s="579">
        <f t="shared" si="13"/>
        <v>13</v>
      </c>
      <c r="C331" s="1079" t="s">
        <v>516</v>
      </c>
      <c r="D331" s="534" t="s">
        <v>1188</v>
      </c>
      <c r="E331" s="1224">
        <v>4809.9574591725768</v>
      </c>
      <c r="F331" s="537">
        <v>0</v>
      </c>
      <c r="G331" s="1227">
        <v>0</v>
      </c>
      <c r="H331" s="559">
        <v>0</v>
      </c>
      <c r="J331" s="1276"/>
      <c r="K331" s="547"/>
      <c r="L331" s="1277"/>
      <c r="M331" s="1278"/>
      <c r="N331" s="1279"/>
      <c r="O331" s="1051"/>
    </row>
    <row r="332" spans="2:16" ht="13" x14ac:dyDescent="0.3">
      <c r="B332" s="579">
        <f t="shared" si="13"/>
        <v>14</v>
      </c>
      <c r="C332" s="1079" t="s">
        <v>516</v>
      </c>
      <c r="D332" s="534" t="s">
        <v>1188</v>
      </c>
      <c r="E332" s="1224">
        <v>14544.415160691151</v>
      </c>
      <c r="F332" s="537">
        <v>0</v>
      </c>
      <c r="G332" s="1227">
        <v>0</v>
      </c>
      <c r="H332" s="559">
        <v>0</v>
      </c>
      <c r="J332" s="1281"/>
      <c r="K332" s="1280"/>
      <c r="L332" s="1282"/>
      <c r="M332" s="1278"/>
      <c r="N332" s="1283"/>
      <c r="O332" s="1051"/>
    </row>
    <row r="333" spans="2:16" ht="13" x14ac:dyDescent="0.3">
      <c r="B333" s="579">
        <f t="shared" si="13"/>
        <v>15</v>
      </c>
      <c r="C333" s="1079" t="s">
        <v>516</v>
      </c>
      <c r="D333" s="534" t="s">
        <v>1188</v>
      </c>
      <c r="E333" s="1224">
        <v>1623.5555111037822</v>
      </c>
      <c r="F333" s="537">
        <v>0</v>
      </c>
      <c r="G333" s="1227">
        <v>0</v>
      </c>
      <c r="H333" s="559">
        <v>0</v>
      </c>
      <c r="J333" s="579"/>
      <c r="L333" s="741"/>
      <c r="M333" s="1278"/>
      <c r="N333" s="1236"/>
      <c r="O333" s="1051"/>
    </row>
    <row r="334" spans="2:16" ht="13" x14ac:dyDescent="0.3">
      <c r="B334" s="579">
        <f t="shared" si="13"/>
        <v>16</v>
      </c>
      <c r="C334" s="1079" t="s">
        <v>516</v>
      </c>
      <c r="D334" s="534" t="s">
        <v>1188</v>
      </c>
      <c r="E334" s="1224">
        <v>9705.2174132996479</v>
      </c>
      <c r="F334" s="537">
        <v>0</v>
      </c>
      <c r="G334" s="1227">
        <v>0</v>
      </c>
      <c r="H334" s="559">
        <v>0</v>
      </c>
      <c r="J334" s="1276"/>
      <c r="K334" s="547"/>
      <c r="L334" s="1277"/>
      <c r="M334" s="1278"/>
      <c r="N334" s="1279"/>
      <c r="O334" s="1051"/>
    </row>
    <row r="335" spans="2:16" ht="13" x14ac:dyDescent="0.3">
      <c r="B335" s="579">
        <f t="shared" si="13"/>
        <v>17</v>
      </c>
      <c r="C335" s="1079" t="s">
        <v>516</v>
      </c>
      <c r="D335" s="534" t="s">
        <v>1188</v>
      </c>
      <c r="E335" s="1224">
        <v>2875.051838790183</v>
      </c>
      <c r="F335" s="537">
        <v>0</v>
      </c>
      <c r="G335" s="1227">
        <v>0</v>
      </c>
      <c r="H335" s="559">
        <v>0</v>
      </c>
      <c r="J335" s="1281"/>
      <c r="K335" s="1280"/>
      <c r="L335" s="1282"/>
      <c r="M335" s="1278"/>
      <c r="N335" s="1283"/>
      <c r="O335" s="1051"/>
    </row>
    <row r="336" spans="2:16" ht="13" x14ac:dyDescent="0.3">
      <c r="B336" s="579">
        <f t="shared" si="13"/>
        <v>18</v>
      </c>
      <c r="C336" s="1079" t="s">
        <v>516</v>
      </c>
      <c r="D336" s="534" t="s">
        <v>1189</v>
      </c>
      <c r="E336" s="1224">
        <v>26579.142179643608</v>
      </c>
      <c r="F336" s="537">
        <v>0</v>
      </c>
      <c r="G336" s="1227">
        <v>1141.51</v>
      </c>
      <c r="H336" s="559">
        <v>0.54880288461538462</v>
      </c>
      <c r="J336" s="1276"/>
      <c r="K336" s="547"/>
      <c r="L336" s="1277"/>
      <c r="M336" s="537"/>
      <c r="N336" s="1279"/>
      <c r="O336" s="1051"/>
    </row>
    <row r="337" spans="2:15" ht="13" x14ac:dyDescent="0.3">
      <c r="B337" s="579">
        <f t="shared" si="13"/>
        <v>19</v>
      </c>
      <c r="C337" s="1079" t="s">
        <v>516</v>
      </c>
      <c r="D337" s="534" t="s">
        <v>1189</v>
      </c>
      <c r="E337" s="1224">
        <v>49445.896994227507</v>
      </c>
      <c r="F337" s="537">
        <v>0</v>
      </c>
      <c r="G337" s="1227">
        <v>2017.4</v>
      </c>
      <c r="H337" s="559">
        <v>0.96990384615384617</v>
      </c>
      <c r="J337" s="1276"/>
      <c r="K337" s="547"/>
      <c r="L337" s="1277"/>
      <c r="M337" s="1278"/>
      <c r="N337" s="1279"/>
      <c r="O337" s="1051"/>
    </row>
    <row r="338" spans="2:15" ht="13" x14ac:dyDescent="0.3">
      <c r="B338" s="579">
        <f t="shared" si="13"/>
        <v>20</v>
      </c>
      <c r="C338" s="1079" t="s">
        <v>516</v>
      </c>
      <c r="D338" s="534" t="s">
        <v>1189</v>
      </c>
      <c r="E338" s="1224">
        <v>37791.613506544607</v>
      </c>
      <c r="F338" s="537">
        <v>0</v>
      </c>
      <c r="G338" s="1227">
        <v>1521.75</v>
      </c>
      <c r="H338" s="559">
        <v>0.73161057692307696</v>
      </c>
      <c r="J338" s="1281"/>
      <c r="K338" s="1280"/>
      <c r="L338" s="1282"/>
      <c r="M338" s="1278"/>
      <c r="N338" s="1283"/>
      <c r="O338" s="1051"/>
    </row>
    <row r="339" spans="2:15" ht="13" x14ac:dyDescent="0.3">
      <c r="B339" s="579">
        <f t="shared" si="13"/>
        <v>21</v>
      </c>
      <c r="C339" s="1079" t="s">
        <v>516</v>
      </c>
      <c r="D339" s="1221" t="s">
        <v>1189</v>
      </c>
      <c r="E339" s="1225">
        <v>49538.304699340319</v>
      </c>
      <c r="F339" s="1222">
        <v>0</v>
      </c>
      <c r="G339" s="1228">
        <v>2106</v>
      </c>
      <c r="H339" s="559">
        <v>1.0125</v>
      </c>
      <c r="J339" s="1276"/>
      <c r="K339" s="547"/>
      <c r="L339" s="1277"/>
      <c r="M339" s="1278"/>
      <c r="N339" s="1279"/>
      <c r="O339" s="1051"/>
    </row>
    <row r="340" spans="2:15" ht="13" x14ac:dyDescent="0.3">
      <c r="B340" s="579">
        <f t="shared" si="13"/>
        <v>22</v>
      </c>
      <c r="C340" s="1079" t="s">
        <v>516</v>
      </c>
      <c r="D340" s="534" t="s">
        <v>1189</v>
      </c>
      <c r="E340" s="1224">
        <v>57015.514081641973</v>
      </c>
      <c r="F340" s="537">
        <v>0</v>
      </c>
      <c r="G340" s="1227">
        <v>2242.5</v>
      </c>
      <c r="H340" s="559">
        <v>1.078125</v>
      </c>
      <c r="J340" s="1276"/>
      <c r="K340" s="547"/>
      <c r="L340" s="1277"/>
      <c r="M340" s="1278"/>
      <c r="N340" s="1279"/>
      <c r="O340" s="1051"/>
    </row>
    <row r="341" spans="2:15" ht="13" x14ac:dyDescent="0.3">
      <c r="B341" s="579">
        <f t="shared" si="13"/>
        <v>23</v>
      </c>
      <c r="C341" s="1079" t="s">
        <v>516</v>
      </c>
      <c r="D341" s="534" t="s">
        <v>1189</v>
      </c>
      <c r="E341" s="1224">
        <v>58902.811795983675</v>
      </c>
      <c r="F341" s="537">
        <v>0</v>
      </c>
      <c r="G341" s="1227">
        <v>2090</v>
      </c>
      <c r="H341" s="559">
        <v>1.0048076923076923</v>
      </c>
      <c r="J341" s="1281"/>
      <c r="K341" s="1280"/>
      <c r="L341" s="1282"/>
      <c r="M341" s="1278"/>
      <c r="N341" s="1283"/>
      <c r="O341" s="1051"/>
    </row>
    <row r="342" spans="2:15" ht="13" x14ac:dyDescent="0.3">
      <c r="B342" s="579">
        <f t="shared" si="13"/>
        <v>24</v>
      </c>
      <c r="C342" s="1079" t="s">
        <v>516</v>
      </c>
      <c r="D342" s="534" t="s">
        <v>1189</v>
      </c>
      <c r="E342" s="1224">
        <v>46939.87638009512</v>
      </c>
      <c r="F342" s="537">
        <v>0</v>
      </c>
      <c r="G342" s="1227">
        <v>1993.9</v>
      </c>
      <c r="H342" s="559">
        <v>0.95860576923076923</v>
      </c>
      <c r="J342" s="579"/>
      <c r="L342" s="741"/>
      <c r="M342" s="1278"/>
      <c r="N342" s="1236"/>
      <c r="O342" s="1051"/>
    </row>
    <row r="343" spans="2:15" ht="13" x14ac:dyDescent="0.3">
      <c r="B343" s="579">
        <f t="shared" si="13"/>
        <v>25</v>
      </c>
      <c r="C343" s="1079" t="s">
        <v>516</v>
      </c>
      <c r="D343" s="534" t="s">
        <v>1189</v>
      </c>
      <c r="E343" s="1224">
        <v>52409.579084628647</v>
      </c>
      <c r="F343" s="537">
        <v>0</v>
      </c>
      <c r="G343" s="1227">
        <v>2128</v>
      </c>
      <c r="H343" s="559">
        <v>1.023076923076923</v>
      </c>
      <c r="J343" s="1276"/>
      <c r="K343" s="547"/>
      <c r="L343" s="1277"/>
      <c r="M343" s="1278"/>
      <c r="N343" s="1279"/>
      <c r="O343" s="1051"/>
    </row>
    <row r="344" spans="2:15" ht="13" x14ac:dyDescent="0.3">
      <c r="B344" s="579">
        <f t="shared" si="13"/>
        <v>26</v>
      </c>
      <c r="C344" s="1079" t="s">
        <v>516</v>
      </c>
      <c r="D344" s="534" t="s">
        <v>1189</v>
      </c>
      <c r="E344" s="1224">
        <v>19067.895742771361</v>
      </c>
      <c r="F344" s="537">
        <v>0</v>
      </c>
      <c r="G344" s="1227">
        <v>709.75</v>
      </c>
      <c r="H344" s="559">
        <v>0.34122596153846152</v>
      </c>
      <c r="J344" s="1281"/>
      <c r="K344" s="1280"/>
      <c r="L344" s="1282"/>
      <c r="M344" s="1278"/>
      <c r="N344" s="1283"/>
      <c r="O344" s="1051"/>
    </row>
    <row r="345" spans="2:15" ht="13" x14ac:dyDescent="0.3">
      <c r="B345" s="579">
        <f t="shared" si="13"/>
        <v>27</v>
      </c>
      <c r="C345" s="1079" t="s">
        <v>516</v>
      </c>
      <c r="D345" s="534" t="s">
        <v>1190</v>
      </c>
      <c r="E345" s="1224">
        <v>52289.300168359601</v>
      </c>
      <c r="F345" s="537">
        <v>0</v>
      </c>
      <c r="G345" s="1227">
        <v>2101</v>
      </c>
      <c r="H345" s="559">
        <v>1.0100961538461539</v>
      </c>
      <c r="J345" s="579"/>
      <c r="L345" s="741"/>
      <c r="M345" s="1278"/>
      <c r="N345" s="1236"/>
      <c r="O345" s="1051"/>
    </row>
    <row r="346" spans="2:15" ht="13" x14ac:dyDescent="0.3">
      <c r="B346" s="579">
        <f t="shared" si="13"/>
        <v>28</v>
      </c>
      <c r="C346" s="1079" t="s">
        <v>516</v>
      </c>
      <c r="D346" s="534" t="s">
        <v>1190</v>
      </c>
      <c r="E346" s="1224">
        <v>2686.1891569550162</v>
      </c>
      <c r="F346" s="537">
        <v>0</v>
      </c>
      <c r="G346" s="1227">
        <v>112</v>
      </c>
      <c r="H346" s="559">
        <v>5.3846153846153849E-2</v>
      </c>
      <c r="J346" s="1276"/>
      <c r="K346" s="547"/>
      <c r="L346" s="1277"/>
      <c r="M346" s="1278"/>
      <c r="N346" s="1279"/>
      <c r="O346" s="1051"/>
    </row>
    <row r="347" spans="2:15" ht="13" x14ac:dyDescent="0.3">
      <c r="B347" s="579">
        <f t="shared" si="13"/>
        <v>29</v>
      </c>
      <c r="C347" s="1079" t="s">
        <v>516</v>
      </c>
      <c r="D347" s="534" t="s">
        <v>1190</v>
      </c>
      <c r="E347" s="1224">
        <v>62152.800878002279</v>
      </c>
      <c r="F347" s="537">
        <v>0</v>
      </c>
      <c r="G347" s="1227">
        <v>2084.25</v>
      </c>
      <c r="H347" s="559">
        <v>1.0020432692307693</v>
      </c>
      <c r="J347" s="1281"/>
      <c r="K347" s="1280"/>
      <c r="L347" s="1282"/>
      <c r="M347" s="1278"/>
      <c r="N347" s="1283"/>
      <c r="O347" s="1051"/>
    </row>
    <row r="348" spans="2:15" ht="13" x14ac:dyDescent="0.3">
      <c r="B348" s="579">
        <f t="shared" si="13"/>
        <v>30</v>
      </c>
      <c r="C348" s="1079" t="s">
        <v>516</v>
      </c>
      <c r="D348" s="534" t="s">
        <v>1190</v>
      </c>
      <c r="E348" s="1224">
        <v>52041.797017874822</v>
      </c>
      <c r="F348" s="537">
        <v>0</v>
      </c>
      <c r="G348" s="1227">
        <v>2086.9999999999995</v>
      </c>
      <c r="H348" s="559">
        <v>1.0033653846153845</v>
      </c>
      <c r="J348" s="579"/>
      <c r="L348" s="741"/>
      <c r="M348" s="1278"/>
      <c r="N348" s="1236"/>
      <c r="O348" s="1051"/>
    </row>
    <row r="349" spans="2:15" ht="13" x14ac:dyDescent="0.3">
      <c r="B349" s="579">
        <f t="shared" si="13"/>
        <v>31</v>
      </c>
      <c r="C349" s="1079" t="s">
        <v>516</v>
      </c>
      <c r="D349" s="534" t="s">
        <v>1191</v>
      </c>
      <c r="E349" s="1224">
        <v>257824.89227994421</v>
      </c>
      <c r="F349" s="537">
        <v>1</v>
      </c>
      <c r="G349" s="1227">
        <v>2080.0000000000005</v>
      </c>
      <c r="H349" s="559">
        <v>1.0000000000000002</v>
      </c>
      <c r="J349" s="1276"/>
      <c r="K349" s="547"/>
      <c r="L349" s="1277"/>
      <c r="M349" s="537"/>
      <c r="N349" s="1279"/>
      <c r="O349" s="1051"/>
    </row>
    <row r="350" spans="2:15" ht="13" x14ac:dyDescent="0.3">
      <c r="B350" s="579">
        <f t="shared" si="13"/>
        <v>32</v>
      </c>
      <c r="C350" s="1079" t="s">
        <v>516</v>
      </c>
      <c r="D350" s="534" t="s">
        <v>1192</v>
      </c>
      <c r="E350" s="1224">
        <v>59369.976865586861</v>
      </c>
      <c r="F350" s="537">
        <v>0</v>
      </c>
      <c r="G350" s="1227">
        <v>2124.75</v>
      </c>
      <c r="H350" s="559">
        <v>1.0215144230769231</v>
      </c>
      <c r="J350" s="1281"/>
      <c r="K350" s="1280"/>
      <c r="L350" s="1282"/>
      <c r="M350" s="1278"/>
      <c r="N350" s="1283"/>
      <c r="O350" s="1051"/>
    </row>
    <row r="351" spans="2:15" ht="13" x14ac:dyDescent="0.3">
      <c r="B351" s="579">
        <f t="shared" si="13"/>
        <v>33</v>
      </c>
      <c r="C351" s="1079" t="s">
        <v>516</v>
      </c>
      <c r="D351" s="534" t="s">
        <v>1193</v>
      </c>
      <c r="E351" s="1224">
        <v>90604.620627878132</v>
      </c>
      <c r="F351" s="537">
        <v>905</v>
      </c>
      <c r="G351" s="1227">
        <v>2080</v>
      </c>
      <c r="H351" s="559">
        <v>1</v>
      </c>
      <c r="J351" s="1276"/>
      <c r="K351" s="547"/>
      <c r="L351" s="1277"/>
      <c r="M351" s="537"/>
      <c r="N351" s="1279"/>
      <c r="O351" s="1051"/>
    </row>
    <row r="352" spans="2:15" ht="13" x14ac:dyDescent="0.3">
      <c r="B352" s="579">
        <f t="shared" si="13"/>
        <v>34</v>
      </c>
      <c r="C352" s="1079" t="s">
        <v>516</v>
      </c>
      <c r="D352" s="534" t="s">
        <v>1194</v>
      </c>
      <c r="E352" s="1224">
        <v>45073.994228861084</v>
      </c>
      <c r="F352" s="537">
        <v>0</v>
      </c>
      <c r="G352" s="1227">
        <v>2110.5</v>
      </c>
      <c r="H352" s="559">
        <v>1.0146634615384615</v>
      </c>
      <c r="J352" s="1276"/>
      <c r="K352" s="547"/>
      <c r="L352" s="1277"/>
      <c r="M352" s="1278"/>
      <c r="N352" s="1279"/>
      <c r="O352" s="1051"/>
    </row>
    <row r="353" spans="2:15" ht="13" x14ac:dyDescent="0.3">
      <c r="B353" s="579">
        <f t="shared" si="13"/>
        <v>35</v>
      </c>
      <c r="C353" s="1079" t="s">
        <v>516</v>
      </c>
      <c r="D353" s="534" t="s">
        <v>1194</v>
      </c>
      <c r="E353" s="1224">
        <v>21333.668315525869</v>
      </c>
      <c r="F353" s="537">
        <v>0</v>
      </c>
      <c r="G353" s="1227">
        <v>1025.25</v>
      </c>
      <c r="H353" s="559">
        <v>0.49290865384615384</v>
      </c>
      <c r="J353" s="1281"/>
      <c r="K353" s="1280"/>
      <c r="L353" s="1282"/>
      <c r="M353" s="1278"/>
      <c r="N353" s="1283"/>
      <c r="O353" s="1051"/>
    </row>
    <row r="354" spans="2:15" ht="13" x14ac:dyDescent="0.3">
      <c r="B354" s="579">
        <f t="shared" si="13"/>
        <v>36</v>
      </c>
      <c r="C354" s="1079" t="s">
        <v>516</v>
      </c>
      <c r="D354" s="534" t="s">
        <v>1194</v>
      </c>
      <c r="E354" s="1224">
        <v>44218.09121950515</v>
      </c>
      <c r="F354" s="537">
        <v>0</v>
      </c>
      <c r="G354" s="1227">
        <v>2099.25</v>
      </c>
      <c r="H354" s="559">
        <v>1.0092548076923078</v>
      </c>
      <c r="J354" s="1276"/>
      <c r="K354" s="547"/>
      <c r="L354" s="1277"/>
      <c r="M354" s="1278"/>
      <c r="N354" s="1279"/>
      <c r="O354" s="1051"/>
    </row>
    <row r="355" spans="2:15" ht="13" x14ac:dyDescent="0.3">
      <c r="B355" s="579">
        <f t="shared" si="13"/>
        <v>37</v>
      </c>
      <c r="C355" s="1079" t="s">
        <v>516</v>
      </c>
      <c r="D355" s="534" t="s">
        <v>1194</v>
      </c>
      <c r="E355" s="1224">
        <v>17507.447688982204</v>
      </c>
      <c r="F355" s="537">
        <v>0</v>
      </c>
      <c r="G355" s="1227">
        <v>794.25</v>
      </c>
      <c r="H355" s="559">
        <v>0.38185096153846154</v>
      </c>
      <c r="J355" s="579"/>
      <c r="L355" s="741"/>
      <c r="M355" s="1278"/>
      <c r="N355" s="1236"/>
      <c r="O355" s="1051"/>
    </row>
    <row r="356" spans="2:15" ht="13" x14ac:dyDescent="0.3">
      <c r="B356" s="579">
        <f t="shared" si="13"/>
        <v>38</v>
      </c>
      <c r="C356" s="1079" t="s">
        <v>516</v>
      </c>
      <c r="D356" s="534" t="s">
        <v>1194</v>
      </c>
      <c r="E356" s="1224">
        <v>4934.17372115528</v>
      </c>
      <c r="F356" s="537">
        <v>0</v>
      </c>
      <c r="G356" s="1227">
        <v>245</v>
      </c>
      <c r="H356" s="559">
        <v>0.11778846153846154</v>
      </c>
      <c r="J356" s="1281"/>
      <c r="K356" s="1280"/>
      <c r="L356" s="1282"/>
      <c r="M356" s="1278"/>
      <c r="N356" s="1283"/>
      <c r="O356" s="1051"/>
    </row>
    <row r="357" spans="2:15" ht="13" x14ac:dyDescent="0.3">
      <c r="B357" s="579">
        <f t="shared" si="13"/>
        <v>39</v>
      </c>
      <c r="C357" s="1079" t="s">
        <v>516</v>
      </c>
      <c r="D357" s="534" t="s">
        <v>1194</v>
      </c>
      <c r="E357" s="1224">
        <v>46431.589032289296</v>
      </c>
      <c r="F357" s="537">
        <v>0</v>
      </c>
      <c r="G357" s="1227">
        <v>2117.5</v>
      </c>
      <c r="H357" s="559">
        <v>1.0180288461538463</v>
      </c>
      <c r="J357" s="1276"/>
      <c r="K357" s="547"/>
      <c r="L357" s="1277"/>
      <c r="M357" s="1278"/>
      <c r="N357" s="1279"/>
      <c r="O357" s="1051"/>
    </row>
    <row r="358" spans="2:15" ht="13" x14ac:dyDescent="0.3">
      <c r="B358" s="579">
        <f t="shared" si="13"/>
        <v>40</v>
      </c>
      <c r="C358" s="1079" t="s">
        <v>516</v>
      </c>
      <c r="D358" s="534" t="s">
        <v>1195</v>
      </c>
      <c r="E358" s="1224">
        <v>46926.54536694265</v>
      </c>
      <c r="F358" s="537">
        <v>555</v>
      </c>
      <c r="G358" s="1227">
        <v>1256.0000000000002</v>
      </c>
      <c r="H358" s="559">
        <v>0.60384615384615392</v>
      </c>
      <c r="J358" s="1276"/>
      <c r="K358" s="547"/>
      <c r="L358" s="1277"/>
      <c r="M358" s="537"/>
      <c r="N358" s="1279"/>
      <c r="O358" s="1051"/>
    </row>
    <row r="359" spans="2:15" ht="13" x14ac:dyDescent="0.3">
      <c r="B359" s="579">
        <f t="shared" si="13"/>
        <v>41</v>
      </c>
      <c r="C359" s="1079" t="s">
        <v>516</v>
      </c>
      <c r="D359" s="534" t="s">
        <v>1195</v>
      </c>
      <c r="E359" s="1224">
        <v>46257.316514773906</v>
      </c>
      <c r="F359" s="537">
        <v>556</v>
      </c>
      <c r="G359" s="1227">
        <v>1216</v>
      </c>
      <c r="H359" s="559">
        <v>0.58461538461538465</v>
      </c>
      <c r="J359" s="1281"/>
      <c r="K359" s="1280"/>
      <c r="L359" s="1282"/>
      <c r="M359" s="537"/>
      <c r="N359" s="1283"/>
      <c r="O359" s="1051"/>
    </row>
    <row r="360" spans="2:15" ht="13" x14ac:dyDescent="0.3">
      <c r="B360" s="579">
        <f t="shared" si="13"/>
        <v>42</v>
      </c>
      <c r="C360" s="1079" t="s">
        <v>516</v>
      </c>
      <c r="D360" s="534" t="s">
        <v>1195</v>
      </c>
      <c r="E360" s="1224">
        <v>41347.736214434357</v>
      </c>
      <c r="F360" s="537">
        <v>751</v>
      </c>
      <c r="G360" s="1227">
        <v>1040</v>
      </c>
      <c r="H360" s="559">
        <v>0.5</v>
      </c>
      <c r="J360" s="1276"/>
      <c r="K360" s="547"/>
      <c r="L360" s="1277"/>
      <c r="M360" s="537"/>
      <c r="N360" s="1279"/>
      <c r="O360" s="1051"/>
    </row>
    <row r="361" spans="2:15" ht="13" x14ac:dyDescent="0.3">
      <c r="B361" s="579">
        <f t="shared" si="13"/>
        <v>43</v>
      </c>
      <c r="C361" s="1079" t="s">
        <v>516</v>
      </c>
      <c r="D361" s="534" t="s">
        <v>1195</v>
      </c>
      <c r="E361" s="1224">
        <v>86600.040239156864</v>
      </c>
      <c r="F361" s="537">
        <v>934</v>
      </c>
      <c r="G361" s="1227">
        <v>2080</v>
      </c>
      <c r="H361" s="559">
        <v>1</v>
      </c>
      <c r="J361" s="1276"/>
      <c r="K361" s="547"/>
      <c r="L361" s="1277"/>
      <c r="M361" s="537"/>
      <c r="N361" s="1279"/>
      <c r="O361" s="1051"/>
    </row>
    <row r="362" spans="2:15" ht="13" x14ac:dyDescent="0.3">
      <c r="B362" s="579">
        <f t="shared" si="13"/>
        <v>44</v>
      </c>
      <c r="C362" s="1079" t="s">
        <v>516</v>
      </c>
      <c r="D362" s="534" t="s">
        <v>1195</v>
      </c>
      <c r="E362" s="1224">
        <v>80856.512128783652</v>
      </c>
      <c r="F362" s="537">
        <v>1101</v>
      </c>
      <c r="G362" s="1227">
        <v>2080</v>
      </c>
      <c r="H362" s="559">
        <v>1</v>
      </c>
      <c r="J362" s="1281"/>
      <c r="K362" s="1280"/>
      <c r="L362" s="1282"/>
      <c r="M362" s="537"/>
      <c r="N362" s="1283"/>
      <c r="O362" s="1051"/>
    </row>
    <row r="363" spans="2:15" ht="13" x14ac:dyDescent="0.3">
      <c r="B363" s="579">
        <f t="shared" si="13"/>
        <v>45</v>
      </c>
      <c r="C363" s="1079" t="s">
        <v>516</v>
      </c>
      <c r="D363" s="534" t="s">
        <v>1195</v>
      </c>
      <c r="E363" s="1224">
        <v>185.54491844190395</v>
      </c>
      <c r="F363" s="537">
        <v>0</v>
      </c>
      <c r="G363" s="1227">
        <v>4.49</v>
      </c>
      <c r="H363" s="559">
        <v>2.1586538461538462E-3</v>
      </c>
      <c r="J363" s="1276"/>
      <c r="K363" s="547"/>
      <c r="L363" s="1277"/>
      <c r="M363" s="537"/>
      <c r="N363" s="1279"/>
      <c r="O363" s="1051"/>
    </row>
    <row r="364" spans="2:15" ht="13" x14ac:dyDescent="0.3">
      <c r="B364" s="579">
        <f t="shared" si="13"/>
        <v>46</v>
      </c>
      <c r="C364" s="1079" t="s">
        <v>516</v>
      </c>
      <c r="D364" s="534" t="s">
        <v>1196</v>
      </c>
      <c r="E364" s="1224">
        <v>3381.4004935288499</v>
      </c>
      <c r="F364" s="537">
        <v>18</v>
      </c>
      <c r="G364" s="1227">
        <v>96</v>
      </c>
      <c r="H364" s="559">
        <v>4.6153846153846156E-2</v>
      </c>
      <c r="J364" s="579"/>
      <c r="L364" s="741"/>
      <c r="M364" s="537"/>
      <c r="N364" s="1236"/>
      <c r="O364" s="1051"/>
    </row>
    <row r="365" spans="2:15" ht="13" x14ac:dyDescent="0.3">
      <c r="B365" s="579">
        <f t="shared" si="13"/>
        <v>47</v>
      </c>
      <c r="C365" s="1079" t="s">
        <v>516</v>
      </c>
      <c r="D365" s="534" t="s">
        <v>1196</v>
      </c>
      <c r="E365" s="1224">
        <v>3666.4383407157102</v>
      </c>
      <c r="F365" s="537">
        <v>11</v>
      </c>
      <c r="G365" s="1227">
        <v>122.60000000000001</v>
      </c>
      <c r="H365" s="559">
        <v>5.8942307692307697E-2</v>
      </c>
      <c r="J365" s="1281"/>
      <c r="K365" s="1280"/>
      <c r="L365" s="1282"/>
      <c r="M365" s="1278"/>
      <c r="N365" s="1283"/>
      <c r="O365" s="1051"/>
    </row>
    <row r="366" spans="2:15" ht="13" x14ac:dyDescent="0.3">
      <c r="B366" s="579">
        <f t="shared" si="13"/>
        <v>48</v>
      </c>
      <c r="C366" s="1079" t="s">
        <v>516</v>
      </c>
      <c r="D366" s="534" t="s">
        <v>1197</v>
      </c>
      <c r="E366" s="1224">
        <v>97133.469329394633</v>
      </c>
      <c r="F366" s="537">
        <v>1045</v>
      </c>
      <c r="G366" s="1227">
        <v>2080</v>
      </c>
      <c r="H366" s="559">
        <v>1</v>
      </c>
      <c r="J366" s="1276"/>
      <c r="K366" s="547"/>
      <c r="L366" s="1277"/>
      <c r="M366" s="537"/>
      <c r="N366" s="1279"/>
      <c r="O366" s="1051"/>
    </row>
    <row r="367" spans="2:15" ht="13" x14ac:dyDescent="0.3">
      <c r="B367" s="579">
        <f t="shared" si="13"/>
        <v>49</v>
      </c>
      <c r="C367" s="1079" t="s">
        <v>516</v>
      </c>
      <c r="D367" s="534" t="s">
        <v>1198</v>
      </c>
      <c r="E367" s="1224">
        <v>40485.657368400563</v>
      </c>
      <c r="F367" s="537">
        <v>0</v>
      </c>
      <c r="G367" s="1227">
        <v>1867.93</v>
      </c>
      <c r="H367" s="559">
        <v>0.89804326923076927</v>
      </c>
      <c r="J367" s="1276"/>
      <c r="K367" s="547"/>
      <c r="L367" s="1277"/>
      <c r="M367" s="537"/>
      <c r="N367" s="1279"/>
      <c r="O367" s="1051"/>
    </row>
    <row r="368" spans="2:15" ht="13" x14ac:dyDescent="0.3">
      <c r="B368" s="579">
        <f t="shared" si="13"/>
        <v>50</v>
      </c>
      <c r="C368" s="1079" t="s">
        <v>516</v>
      </c>
      <c r="D368" s="534" t="s">
        <v>1198</v>
      </c>
      <c r="E368" s="1224">
        <v>6260.7794152987999</v>
      </c>
      <c r="F368" s="537">
        <v>0</v>
      </c>
      <c r="G368" s="1227">
        <v>307.25</v>
      </c>
      <c r="H368" s="559">
        <v>0.14771634615384616</v>
      </c>
      <c r="J368" s="1281"/>
      <c r="K368" s="1280"/>
      <c r="L368" s="1282"/>
      <c r="M368" s="537"/>
      <c r="N368" s="1283"/>
      <c r="O368" s="1051"/>
    </row>
    <row r="369" spans="2:15" ht="13" x14ac:dyDescent="0.3">
      <c r="B369" s="579">
        <f t="shared" si="13"/>
        <v>51</v>
      </c>
      <c r="C369" s="1079" t="s">
        <v>516</v>
      </c>
      <c r="D369" s="534" t="s">
        <v>1198</v>
      </c>
      <c r="E369" s="1224">
        <v>42361.722654868703</v>
      </c>
      <c r="F369" s="537">
        <v>0</v>
      </c>
      <c r="G369" s="1227">
        <v>1890.75</v>
      </c>
      <c r="H369" s="559">
        <v>0.90901442307692304</v>
      </c>
      <c r="J369" s="1276"/>
      <c r="K369" s="547"/>
      <c r="L369" s="1277"/>
      <c r="M369" s="537"/>
      <c r="N369" s="1279"/>
      <c r="O369" s="1051"/>
    </row>
    <row r="370" spans="2:15" ht="13" x14ac:dyDescent="0.3">
      <c r="B370" s="579">
        <f t="shared" si="13"/>
        <v>52</v>
      </c>
      <c r="C370" s="1079" t="s">
        <v>516</v>
      </c>
      <c r="D370" s="534" t="s">
        <v>1198</v>
      </c>
      <c r="E370" s="1224">
        <v>42937.76432739236</v>
      </c>
      <c r="F370" s="537">
        <v>0</v>
      </c>
      <c r="G370" s="1227">
        <v>1907.03</v>
      </c>
      <c r="H370" s="559">
        <v>0.91684134615384616</v>
      </c>
      <c r="J370" s="1276"/>
      <c r="K370" s="547"/>
      <c r="L370" s="1277"/>
      <c r="M370" s="537"/>
      <c r="N370" s="1279"/>
      <c r="O370" s="1051"/>
    </row>
    <row r="371" spans="2:15" ht="13" x14ac:dyDescent="0.3">
      <c r="B371" s="579">
        <f t="shared" si="13"/>
        <v>53</v>
      </c>
      <c r="C371" s="1079" t="s">
        <v>516</v>
      </c>
      <c r="D371" s="534" t="s">
        <v>1198</v>
      </c>
      <c r="E371" s="1224">
        <v>3350.1915324530664</v>
      </c>
      <c r="F371" s="537">
        <v>0</v>
      </c>
      <c r="G371" s="1227">
        <v>152</v>
      </c>
      <c r="H371" s="559">
        <v>7.3076923076923081E-2</v>
      </c>
      <c r="J371" s="1281"/>
      <c r="K371" s="1280"/>
      <c r="L371" s="1282"/>
      <c r="M371" s="537"/>
      <c r="N371" s="1283"/>
      <c r="O371" s="1051"/>
    </row>
    <row r="372" spans="2:15" ht="13" x14ac:dyDescent="0.3">
      <c r="B372" s="579">
        <f t="shared" si="13"/>
        <v>54</v>
      </c>
      <c r="C372" s="1079" t="s">
        <v>516</v>
      </c>
      <c r="D372" s="534" t="s">
        <v>1198</v>
      </c>
      <c r="E372" s="1224">
        <v>36762.737103893516</v>
      </c>
      <c r="F372" s="537">
        <v>0</v>
      </c>
      <c r="G372" s="1227">
        <v>1737.5</v>
      </c>
      <c r="H372" s="559">
        <v>0.83533653846153844</v>
      </c>
      <c r="J372" s="1276"/>
      <c r="K372" s="547"/>
      <c r="L372" s="1277"/>
      <c r="M372" s="537"/>
      <c r="N372" s="1279"/>
      <c r="O372" s="1051"/>
    </row>
    <row r="373" spans="2:15" ht="13" x14ac:dyDescent="0.3">
      <c r="B373" s="579">
        <f t="shared" si="13"/>
        <v>55</v>
      </c>
      <c r="C373" s="1079" t="s">
        <v>516</v>
      </c>
      <c r="D373" s="534" t="s">
        <v>1198</v>
      </c>
      <c r="E373" s="1224">
        <v>13468.130717264028</v>
      </c>
      <c r="F373" s="537">
        <v>0</v>
      </c>
      <c r="G373" s="1227">
        <v>566.5</v>
      </c>
      <c r="H373" s="559">
        <v>0.27235576923076921</v>
      </c>
      <c r="J373" s="1276"/>
      <c r="K373" s="547"/>
      <c r="L373" s="1277"/>
      <c r="M373" s="537"/>
      <c r="N373" s="1279"/>
      <c r="O373" s="1051"/>
    </row>
    <row r="374" spans="2:15" ht="13" x14ac:dyDescent="0.3">
      <c r="B374" s="579">
        <f t="shared" si="13"/>
        <v>56</v>
      </c>
      <c r="C374" s="1079" t="s">
        <v>516</v>
      </c>
      <c r="D374" s="534" t="s">
        <v>1198</v>
      </c>
      <c r="E374" s="1224">
        <v>35382.927276299008</v>
      </c>
      <c r="F374" s="537">
        <v>0</v>
      </c>
      <c r="G374" s="1227">
        <v>1553.75</v>
      </c>
      <c r="H374" s="559">
        <v>0.74699519230769229</v>
      </c>
      <c r="J374" s="1281"/>
      <c r="K374" s="1280"/>
      <c r="L374" s="1282"/>
      <c r="M374" s="537"/>
      <c r="N374" s="1283"/>
      <c r="O374" s="1051"/>
    </row>
    <row r="375" spans="2:15" ht="13" x14ac:dyDescent="0.3">
      <c r="B375" s="579">
        <f t="shared" si="13"/>
        <v>57</v>
      </c>
      <c r="C375" s="1079" t="s">
        <v>516</v>
      </c>
      <c r="D375" s="534" t="s">
        <v>1198</v>
      </c>
      <c r="E375" s="1224">
        <v>19439.715087871158</v>
      </c>
      <c r="F375" s="537">
        <v>0</v>
      </c>
      <c r="G375" s="1227">
        <v>909.73</v>
      </c>
      <c r="H375" s="559">
        <v>0.43737019230769231</v>
      </c>
      <c r="J375" s="1276"/>
      <c r="K375" s="547"/>
      <c r="L375" s="1277"/>
      <c r="M375" s="537"/>
      <c r="N375" s="1279"/>
      <c r="O375" s="1051"/>
    </row>
    <row r="376" spans="2:15" ht="13" x14ac:dyDescent="0.3">
      <c r="B376" s="579">
        <f t="shared" si="13"/>
        <v>58</v>
      </c>
      <c r="C376" s="1079" t="s">
        <v>516</v>
      </c>
      <c r="D376" s="534" t="s">
        <v>1198</v>
      </c>
      <c r="E376" s="1224">
        <v>40387.043846820074</v>
      </c>
      <c r="F376" s="537">
        <v>0</v>
      </c>
      <c r="G376" s="1227">
        <v>1895</v>
      </c>
      <c r="H376" s="559">
        <v>0.91105769230769229</v>
      </c>
      <c r="J376" s="1276"/>
      <c r="K376" s="547"/>
      <c r="L376" s="1277"/>
      <c r="M376" s="537"/>
      <c r="N376" s="1279"/>
      <c r="O376" s="1051"/>
    </row>
    <row r="377" spans="2:15" ht="13" x14ac:dyDescent="0.3">
      <c r="B377" s="579">
        <f t="shared" si="13"/>
        <v>59</v>
      </c>
      <c r="C377" s="1079" t="s">
        <v>516</v>
      </c>
      <c r="D377" s="534" t="s">
        <v>1198</v>
      </c>
      <c r="E377" s="1224">
        <v>9883.8669801109718</v>
      </c>
      <c r="F377" s="537">
        <v>0</v>
      </c>
      <c r="G377" s="1227">
        <v>487.25</v>
      </c>
      <c r="H377" s="559">
        <v>0.23425480769230769</v>
      </c>
      <c r="J377" s="1281"/>
      <c r="K377" s="1280"/>
      <c r="L377" s="1282"/>
      <c r="M377" s="537"/>
      <c r="N377" s="1283"/>
      <c r="O377" s="1051"/>
    </row>
    <row r="378" spans="2:15" ht="13" x14ac:dyDescent="0.3">
      <c r="B378" s="579">
        <f t="shared" si="13"/>
        <v>60</v>
      </c>
      <c r="C378" s="1079" t="s">
        <v>516</v>
      </c>
      <c r="D378" s="534" t="s">
        <v>1198</v>
      </c>
      <c r="E378" s="1224">
        <v>7341.8006654982382</v>
      </c>
      <c r="F378" s="537">
        <v>0</v>
      </c>
      <c r="G378" s="1227">
        <v>282.25</v>
      </c>
      <c r="H378" s="559">
        <v>0.13569711538461537</v>
      </c>
      <c r="J378" s="1276"/>
      <c r="K378" s="547"/>
      <c r="L378" s="1277"/>
      <c r="M378" s="1278"/>
      <c r="N378" s="1279"/>
      <c r="O378" s="1051"/>
    </row>
    <row r="379" spans="2:15" ht="13" x14ac:dyDescent="0.3">
      <c r="B379" s="579">
        <f t="shared" si="13"/>
        <v>61</v>
      </c>
      <c r="C379" s="1079" t="s">
        <v>516</v>
      </c>
      <c r="D379" s="534" t="s">
        <v>1198</v>
      </c>
      <c r="E379" s="1224">
        <v>37823.162238570316</v>
      </c>
      <c r="F379" s="537">
        <v>0</v>
      </c>
      <c r="G379" s="1227">
        <v>1697.75</v>
      </c>
      <c r="H379" s="559">
        <v>0.8162259615384615</v>
      </c>
      <c r="J379" s="1276"/>
      <c r="K379" s="547"/>
      <c r="L379" s="1277"/>
      <c r="M379" s="1278"/>
      <c r="N379" s="1279"/>
      <c r="O379" s="1051"/>
    </row>
    <row r="380" spans="2:15" ht="13" x14ac:dyDescent="0.3">
      <c r="B380" s="579">
        <f t="shared" si="13"/>
        <v>62</v>
      </c>
      <c r="C380" s="1079" t="s">
        <v>516</v>
      </c>
      <c r="D380" s="534" t="s">
        <v>1198</v>
      </c>
      <c r="E380" s="1224">
        <v>17339.291048565232</v>
      </c>
      <c r="F380" s="537">
        <v>0</v>
      </c>
      <c r="G380" s="1227">
        <v>838</v>
      </c>
      <c r="H380" s="559">
        <v>0.4028846153846154</v>
      </c>
      <c r="J380" s="1281"/>
      <c r="K380" s="1280"/>
      <c r="L380" s="1282"/>
      <c r="M380" s="1278"/>
      <c r="N380" s="1283"/>
      <c r="O380" s="1051"/>
    </row>
    <row r="381" spans="2:15" ht="13" x14ac:dyDescent="0.3">
      <c r="B381" s="579">
        <f t="shared" si="13"/>
        <v>63</v>
      </c>
      <c r="C381" s="1079" t="s">
        <v>516</v>
      </c>
      <c r="D381" s="534" t="s">
        <v>1198</v>
      </c>
      <c r="E381" s="1224">
        <v>53258.296937720239</v>
      </c>
      <c r="F381" s="537">
        <v>0</v>
      </c>
      <c r="G381" s="1227">
        <v>2251.75</v>
      </c>
      <c r="H381" s="559">
        <v>1.0825721153846153</v>
      </c>
      <c r="J381" s="1276"/>
      <c r="K381" s="547"/>
      <c r="L381" s="1277"/>
      <c r="M381" s="1278"/>
      <c r="N381" s="1279"/>
      <c r="O381" s="1051"/>
    </row>
    <row r="382" spans="2:15" ht="13" x14ac:dyDescent="0.3">
      <c r="B382" s="579">
        <f t="shared" si="13"/>
        <v>64</v>
      </c>
      <c r="C382" s="1079" t="s">
        <v>516</v>
      </c>
      <c r="D382" s="534" t="s">
        <v>1198</v>
      </c>
      <c r="E382" s="1224">
        <v>1164.2351531382933</v>
      </c>
      <c r="F382" s="537">
        <v>0</v>
      </c>
      <c r="G382" s="1227">
        <v>56.83</v>
      </c>
      <c r="H382" s="559">
        <v>2.7322115384615382E-2</v>
      </c>
      <c r="J382" s="1276"/>
      <c r="K382" s="547"/>
      <c r="L382" s="1277"/>
      <c r="M382" s="1278"/>
      <c r="N382" s="1279"/>
      <c r="O382" s="1051"/>
    </row>
    <row r="383" spans="2:15" ht="13" x14ac:dyDescent="0.3">
      <c r="B383" s="579">
        <f t="shared" si="13"/>
        <v>65</v>
      </c>
      <c r="C383" s="1079" t="s">
        <v>516</v>
      </c>
      <c r="D383" s="534" t="s">
        <v>1198</v>
      </c>
      <c r="E383" s="1224">
        <v>38224.621602418367</v>
      </c>
      <c r="F383" s="537">
        <v>0</v>
      </c>
      <c r="G383" s="1227">
        <v>1656.05</v>
      </c>
      <c r="H383" s="559">
        <v>0.79617788461538463</v>
      </c>
      <c r="J383" s="1281"/>
      <c r="K383" s="1280"/>
      <c r="L383" s="1282"/>
      <c r="M383" s="1278"/>
      <c r="N383" s="1283"/>
      <c r="O383" s="1051"/>
    </row>
    <row r="384" spans="2:15" ht="13" x14ac:dyDescent="0.3">
      <c r="B384" s="579">
        <f t="shared" si="13"/>
        <v>66</v>
      </c>
      <c r="C384" s="1079" t="s">
        <v>516</v>
      </c>
      <c r="D384" s="534" t="s">
        <v>1198</v>
      </c>
      <c r="E384" s="1224">
        <v>44855.5814676468</v>
      </c>
      <c r="F384" s="537">
        <v>0</v>
      </c>
      <c r="G384" s="1227">
        <v>2112</v>
      </c>
      <c r="H384" s="559">
        <v>1.0153846153846153</v>
      </c>
      <c r="J384" s="1276"/>
      <c r="K384" s="547"/>
      <c r="L384" s="1277"/>
      <c r="M384" s="1278"/>
      <c r="N384" s="1279"/>
      <c r="O384" s="1051"/>
    </row>
    <row r="385" spans="2:15" ht="13" x14ac:dyDescent="0.3">
      <c r="B385" s="579">
        <f t="shared" ref="B385:B448" si="14">+B384+1</f>
        <v>67</v>
      </c>
      <c r="C385" s="1079" t="s">
        <v>516</v>
      </c>
      <c r="D385" s="534" t="s">
        <v>1198</v>
      </c>
      <c r="E385" s="1224">
        <v>30284.094556858214</v>
      </c>
      <c r="F385" s="537">
        <v>0</v>
      </c>
      <c r="G385" s="1227">
        <v>1420.77</v>
      </c>
      <c r="H385" s="559">
        <v>0.68306250000000002</v>
      </c>
      <c r="J385" s="1276"/>
      <c r="K385" s="547"/>
      <c r="L385" s="1277"/>
      <c r="M385" s="1278"/>
      <c r="N385" s="1279"/>
      <c r="O385" s="1051"/>
    </row>
    <row r="386" spans="2:15" ht="13" x14ac:dyDescent="0.3">
      <c r="B386" s="579">
        <f t="shared" si="14"/>
        <v>68</v>
      </c>
      <c r="C386" s="1079" t="s">
        <v>516</v>
      </c>
      <c r="D386" s="534" t="s">
        <v>1198</v>
      </c>
      <c r="E386" s="1224">
        <v>19526.136828307714</v>
      </c>
      <c r="F386" s="537">
        <v>0</v>
      </c>
      <c r="G386" s="1227">
        <v>920.05</v>
      </c>
      <c r="H386" s="559">
        <v>0.44233173076923077</v>
      </c>
      <c r="J386" s="1281"/>
      <c r="K386" s="1280"/>
      <c r="L386" s="1282"/>
      <c r="M386" s="1278"/>
      <c r="N386" s="1283"/>
      <c r="O386" s="1051"/>
    </row>
    <row r="387" spans="2:15" ht="13" x14ac:dyDescent="0.3">
      <c r="B387" s="579">
        <f t="shared" si="14"/>
        <v>69</v>
      </c>
      <c r="C387" s="1079" t="s">
        <v>516</v>
      </c>
      <c r="D387" s="534" t="s">
        <v>1198</v>
      </c>
      <c r="E387" s="1224">
        <v>7856.5836344053205</v>
      </c>
      <c r="F387" s="537">
        <v>0</v>
      </c>
      <c r="G387" s="1227">
        <v>344</v>
      </c>
      <c r="H387" s="559">
        <v>0.16538461538461538</v>
      </c>
      <c r="J387" s="579"/>
      <c r="L387" s="741"/>
      <c r="M387" s="1278"/>
      <c r="N387" s="1236"/>
      <c r="O387" s="1051"/>
    </row>
    <row r="388" spans="2:15" ht="13" x14ac:dyDescent="0.3">
      <c r="B388" s="579">
        <f t="shared" si="14"/>
        <v>70</v>
      </c>
      <c r="C388" s="1079" t="s">
        <v>516</v>
      </c>
      <c r="D388" s="534" t="s">
        <v>1198</v>
      </c>
      <c r="E388" s="1224">
        <v>37199.102936213458</v>
      </c>
      <c r="F388" s="537">
        <v>0</v>
      </c>
      <c r="G388" s="1227">
        <v>1768.75</v>
      </c>
      <c r="H388" s="559">
        <v>0.85036057692307687</v>
      </c>
      <c r="J388" s="1276"/>
      <c r="K388" s="547"/>
      <c r="L388" s="1277"/>
      <c r="M388" s="1278"/>
      <c r="N388" s="1279"/>
      <c r="O388" s="1051"/>
    </row>
    <row r="389" spans="2:15" ht="13" x14ac:dyDescent="0.3">
      <c r="B389" s="579">
        <f t="shared" si="14"/>
        <v>71</v>
      </c>
      <c r="C389" s="1079" t="s">
        <v>516</v>
      </c>
      <c r="D389" s="534" t="s">
        <v>1198</v>
      </c>
      <c r="E389" s="1224">
        <v>45326.563963804874</v>
      </c>
      <c r="F389" s="537">
        <v>0</v>
      </c>
      <c r="G389" s="1227">
        <v>2072.5</v>
      </c>
      <c r="H389" s="559">
        <v>0.99639423076923073</v>
      </c>
      <c r="J389" s="1281"/>
      <c r="K389" s="1280"/>
      <c r="L389" s="1282"/>
      <c r="M389" s="1278"/>
      <c r="N389" s="1283"/>
      <c r="O389" s="1051"/>
    </row>
    <row r="390" spans="2:15" ht="13" x14ac:dyDescent="0.3">
      <c r="B390" s="579">
        <f t="shared" si="14"/>
        <v>72</v>
      </c>
      <c r="C390" s="1079" t="s">
        <v>516</v>
      </c>
      <c r="D390" s="534" t="s">
        <v>1198</v>
      </c>
      <c r="E390" s="1224">
        <v>12865.576917383971</v>
      </c>
      <c r="F390" s="537">
        <v>0</v>
      </c>
      <c r="G390" s="1227">
        <v>548.75</v>
      </c>
      <c r="H390" s="559">
        <v>0.26382211538461536</v>
      </c>
      <c r="J390" s="1276"/>
      <c r="K390" s="547"/>
      <c r="L390" s="1277"/>
      <c r="M390" s="1278"/>
      <c r="N390" s="1279"/>
      <c r="O390" s="1051"/>
    </row>
    <row r="391" spans="2:15" ht="13" x14ac:dyDescent="0.3">
      <c r="B391" s="579">
        <f t="shared" si="14"/>
        <v>73</v>
      </c>
      <c r="C391" s="1079" t="s">
        <v>516</v>
      </c>
      <c r="D391" s="534" t="s">
        <v>1198</v>
      </c>
      <c r="E391" s="1224">
        <v>41920.909820410197</v>
      </c>
      <c r="F391" s="537">
        <v>0</v>
      </c>
      <c r="G391" s="1227">
        <v>1920</v>
      </c>
      <c r="H391" s="559">
        <v>0.92307692307692313</v>
      </c>
      <c r="J391" s="1276"/>
      <c r="K391" s="547"/>
      <c r="L391" s="1277"/>
      <c r="M391" s="1278"/>
      <c r="N391" s="1279"/>
      <c r="O391" s="1051"/>
    </row>
    <row r="392" spans="2:15" ht="13" x14ac:dyDescent="0.3">
      <c r="B392" s="579">
        <f t="shared" si="14"/>
        <v>74</v>
      </c>
      <c r="C392" s="1079" t="s">
        <v>516</v>
      </c>
      <c r="D392" s="534" t="s">
        <v>1198</v>
      </c>
      <c r="E392" s="1224">
        <v>2360.6286273594783</v>
      </c>
      <c r="F392" s="537">
        <v>0</v>
      </c>
      <c r="G392" s="1227">
        <v>114.62</v>
      </c>
      <c r="H392" s="559">
        <v>5.5105769230769236E-2</v>
      </c>
      <c r="J392" s="1281"/>
      <c r="K392" s="1280"/>
      <c r="L392" s="1282"/>
      <c r="M392" s="1278"/>
      <c r="N392" s="1283"/>
      <c r="O392" s="1051"/>
    </row>
    <row r="393" spans="2:15" ht="13" x14ac:dyDescent="0.3">
      <c r="B393" s="579">
        <f t="shared" si="14"/>
        <v>75</v>
      </c>
      <c r="C393" s="1079" t="s">
        <v>516</v>
      </c>
      <c r="D393" s="534" t="s">
        <v>1198</v>
      </c>
      <c r="E393" s="1224">
        <v>1282.7652483415802</v>
      </c>
      <c r="F393" s="537">
        <v>0</v>
      </c>
      <c r="G393" s="1227">
        <v>40.75</v>
      </c>
      <c r="H393" s="559">
        <v>1.9591346153846154E-2</v>
      </c>
      <c r="J393" s="1276"/>
      <c r="K393" s="547"/>
      <c r="L393" s="1277"/>
      <c r="M393" s="1278"/>
      <c r="N393" s="1279"/>
      <c r="O393" s="1051"/>
    </row>
    <row r="394" spans="2:15" ht="13" x14ac:dyDescent="0.3">
      <c r="B394" s="579">
        <f t="shared" si="14"/>
        <v>76</v>
      </c>
      <c r="C394" s="1079" t="s">
        <v>516</v>
      </c>
      <c r="D394" s="534" t="s">
        <v>1198</v>
      </c>
      <c r="E394" s="1224">
        <v>55671.240298103017</v>
      </c>
      <c r="F394" s="537">
        <v>0</v>
      </c>
      <c r="G394" s="1227">
        <v>2094.5</v>
      </c>
      <c r="H394" s="559">
        <v>1.0069711538461539</v>
      </c>
      <c r="J394" s="1276"/>
      <c r="K394" s="547"/>
      <c r="L394" s="1277"/>
      <c r="M394" s="1278"/>
      <c r="N394" s="1279"/>
      <c r="O394" s="1051"/>
    </row>
    <row r="395" spans="2:15" ht="13" x14ac:dyDescent="0.3">
      <c r="B395" s="579">
        <f t="shared" si="14"/>
        <v>77</v>
      </c>
      <c r="C395" s="1079" t="s">
        <v>516</v>
      </c>
      <c r="D395" s="534" t="s">
        <v>1198</v>
      </c>
      <c r="E395" s="1224">
        <v>379.57411736838679</v>
      </c>
      <c r="F395" s="537">
        <v>0</v>
      </c>
      <c r="G395" s="1227">
        <v>14.75</v>
      </c>
      <c r="H395" s="559">
        <v>7.0913461538461538E-3</v>
      </c>
      <c r="J395" s="1281"/>
      <c r="K395" s="1280"/>
      <c r="L395" s="1282"/>
      <c r="M395" s="1278"/>
      <c r="N395" s="1283"/>
      <c r="O395" s="1051"/>
    </row>
    <row r="396" spans="2:15" ht="13" x14ac:dyDescent="0.3">
      <c r="B396" s="579">
        <f t="shared" si="14"/>
        <v>78</v>
      </c>
      <c r="C396" s="1079" t="s">
        <v>516</v>
      </c>
      <c r="D396" s="534" t="s">
        <v>1198</v>
      </c>
      <c r="E396" s="1224">
        <v>48279.043606122148</v>
      </c>
      <c r="F396" s="537">
        <v>0</v>
      </c>
      <c r="G396" s="1227">
        <v>2175.5</v>
      </c>
      <c r="H396" s="559">
        <v>1.0459134615384615</v>
      </c>
      <c r="J396" s="1276"/>
      <c r="K396" s="547"/>
      <c r="L396" s="1277"/>
      <c r="M396" s="1278"/>
      <c r="N396" s="1279"/>
      <c r="O396" s="1051"/>
    </row>
    <row r="397" spans="2:15" ht="13" x14ac:dyDescent="0.3">
      <c r="B397" s="579">
        <f t="shared" si="14"/>
        <v>79</v>
      </c>
      <c r="C397" s="1079" t="s">
        <v>516</v>
      </c>
      <c r="D397" s="534" t="s">
        <v>1198</v>
      </c>
      <c r="E397" s="1224">
        <v>45815.874104731774</v>
      </c>
      <c r="F397" s="537">
        <v>0</v>
      </c>
      <c r="G397" s="1227">
        <v>1737.5</v>
      </c>
      <c r="H397" s="559">
        <v>0.83533653846153844</v>
      </c>
      <c r="J397" s="1276"/>
      <c r="K397" s="547"/>
      <c r="L397" s="1277"/>
      <c r="M397" s="1278"/>
      <c r="N397" s="1279"/>
      <c r="O397" s="1051"/>
    </row>
    <row r="398" spans="2:15" ht="13" x14ac:dyDescent="0.3">
      <c r="B398" s="579">
        <f t="shared" si="14"/>
        <v>80</v>
      </c>
      <c r="C398" s="1079" t="s">
        <v>516</v>
      </c>
      <c r="D398" s="534" t="s">
        <v>1198</v>
      </c>
      <c r="E398" s="1224">
        <v>46144.312694138316</v>
      </c>
      <c r="F398" s="537">
        <v>0</v>
      </c>
      <c r="G398" s="1227">
        <v>2014.25</v>
      </c>
      <c r="H398" s="559">
        <v>0.96838942307692311</v>
      </c>
      <c r="J398" s="1281"/>
      <c r="K398" s="1280"/>
      <c r="L398" s="1282"/>
      <c r="M398" s="1278"/>
      <c r="N398" s="1283"/>
      <c r="O398" s="1051"/>
    </row>
    <row r="399" spans="2:15" ht="13" x14ac:dyDescent="0.3">
      <c r="B399" s="579">
        <f t="shared" si="14"/>
        <v>81</v>
      </c>
      <c r="C399" s="1079" t="s">
        <v>516</v>
      </c>
      <c r="D399" s="534" t="s">
        <v>1198</v>
      </c>
      <c r="E399" s="1224">
        <v>36898.055881327782</v>
      </c>
      <c r="F399" s="537">
        <v>0</v>
      </c>
      <c r="G399" s="1227">
        <v>1754.25</v>
      </c>
      <c r="H399" s="559">
        <v>0.84338942307692311</v>
      </c>
      <c r="J399" s="579"/>
      <c r="L399" s="741"/>
      <c r="M399" s="1278"/>
      <c r="N399" s="1236"/>
      <c r="O399" s="1051"/>
    </row>
    <row r="400" spans="2:15" ht="13" x14ac:dyDescent="0.3">
      <c r="B400" s="579">
        <f t="shared" si="14"/>
        <v>82</v>
      </c>
      <c r="C400" s="1079" t="s">
        <v>516</v>
      </c>
      <c r="D400" s="534" t="s">
        <v>1198</v>
      </c>
      <c r="E400" s="1224">
        <v>50362.35917877368</v>
      </c>
      <c r="F400" s="537">
        <v>0</v>
      </c>
      <c r="G400" s="1227">
        <v>1949.75</v>
      </c>
      <c r="H400" s="559">
        <v>0.93737980769230766</v>
      </c>
      <c r="J400" s="1276"/>
      <c r="K400" s="547"/>
      <c r="L400" s="1277"/>
      <c r="M400" s="1278"/>
      <c r="N400" s="1279"/>
      <c r="O400" s="1051"/>
    </row>
    <row r="401" spans="2:15" ht="13" x14ac:dyDescent="0.3">
      <c r="B401" s="579">
        <f t="shared" si="14"/>
        <v>83</v>
      </c>
      <c r="C401" s="1079" t="s">
        <v>516</v>
      </c>
      <c r="D401" s="534" t="s">
        <v>1198</v>
      </c>
      <c r="E401" s="1224">
        <v>47463.933097282163</v>
      </c>
      <c r="F401" s="537">
        <v>0</v>
      </c>
      <c r="G401" s="1227">
        <v>1865</v>
      </c>
      <c r="H401" s="559">
        <v>0.89663461538461542</v>
      </c>
      <c r="J401" s="1281"/>
      <c r="K401" s="1280"/>
      <c r="L401" s="1282"/>
      <c r="M401" s="1278"/>
      <c r="N401" s="1283"/>
      <c r="O401" s="1051"/>
    </row>
    <row r="402" spans="2:15" ht="13" x14ac:dyDescent="0.3">
      <c r="B402" s="579">
        <f t="shared" si="14"/>
        <v>84</v>
      </c>
      <c r="C402" s="1079" t="s">
        <v>516</v>
      </c>
      <c r="D402" s="534" t="s">
        <v>1198</v>
      </c>
      <c r="E402" s="1224">
        <v>36008.275709612892</v>
      </c>
      <c r="F402" s="537">
        <v>0</v>
      </c>
      <c r="G402" s="1227">
        <v>1726.8</v>
      </c>
      <c r="H402" s="559">
        <v>0.83019230769230767</v>
      </c>
      <c r="J402" s="579"/>
      <c r="L402" s="741"/>
      <c r="M402" s="1278"/>
      <c r="N402" s="1236"/>
      <c r="O402" s="1051"/>
    </row>
    <row r="403" spans="2:15" ht="13" x14ac:dyDescent="0.3">
      <c r="B403" s="579">
        <f t="shared" si="14"/>
        <v>85</v>
      </c>
      <c r="C403" s="1079" t="s">
        <v>516</v>
      </c>
      <c r="D403" s="534" t="s">
        <v>1198</v>
      </c>
      <c r="E403" s="1224">
        <v>36221.422021103564</v>
      </c>
      <c r="F403" s="537">
        <v>0</v>
      </c>
      <c r="G403" s="1227">
        <v>1577.75</v>
      </c>
      <c r="H403" s="559">
        <v>0.7585336538461539</v>
      </c>
      <c r="J403" s="1276"/>
      <c r="K403" s="547"/>
      <c r="L403" s="1277"/>
      <c r="M403" s="1278"/>
      <c r="N403" s="1279"/>
      <c r="O403" s="1051"/>
    </row>
    <row r="404" spans="2:15" ht="13" x14ac:dyDescent="0.3">
      <c r="B404" s="579">
        <f t="shared" si="14"/>
        <v>86</v>
      </c>
      <c r="C404" s="1079" t="s">
        <v>516</v>
      </c>
      <c r="D404" s="534" t="s">
        <v>1198</v>
      </c>
      <c r="E404" s="1224">
        <v>37.474737122698329</v>
      </c>
      <c r="F404" s="537">
        <v>0</v>
      </c>
      <c r="G404" s="1227">
        <v>0</v>
      </c>
      <c r="H404" s="559">
        <v>0</v>
      </c>
      <c r="J404" s="1281"/>
      <c r="K404" s="1280"/>
      <c r="L404" s="1282"/>
      <c r="M404" s="1278"/>
      <c r="N404" s="1283"/>
      <c r="O404" s="1051"/>
    </row>
    <row r="405" spans="2:15" ht="13" x14ac:dyDescent="0.3">
      <c r="B405" s="579">
        <f t="shared" si="14"/>
        <v>87</v>
      </c>
      <c r="C405" s="1079" t="s">
        <v>516</v>
      </c>
      <c r="D405" s="534" t="s">
        <v>1198</v>
      </c>
      <c r="E405" s="1224">
        <v>50168.749696902974</v>
      </c>
      <c r="F405" s="537">
        <v>0</v>
      </c>
      <c r="G405" s="1227">
        <v>2038.75</v>
      </c>
      <c r="H405" s="559">
        <v>0.98016826923076927</v>
      </c>
      <c r="J405" s="579"/>
      <c r="L405" s="741"/>
      <c r="M405" s="1278"/>
      <c r="N405" s="1236"/>
      <c r="O405" s="1051"/>
    </row>
    <row r="406" spans="2:15" ht="13" x14ac:dyDescent="0.3">
      <c r="B406" s="579">
        <f t="shared" si="14"/>
        <v>88</v>
      </c>
      <c r="C406" s="1079" t="s">
        <v>516</v>
      </c>
      <c r="D406" s="534" t="s">
        <v>1198</v>
      </c>
      <c r="E406" s="1224">
        <v>49680.189050718502</v>
      </c>
      <c r="F406" s="537">
        <v>0</v>
      </c>
      <c r="G406" s="1227">
        <v>2258</v>
      </c>
      <c r="H406" s="559">
        <v>1.085576923076923</v>
      </c>
      <c r="J406" s="1276"/>
      <c r="K406" s="547"/>
      <c r="L406" s="1277"/>
      <c r="M406" s="1278"/>
      <c r="N406" s="1279"/>
      <c r="O406" s="1051"/>
    </row>
    <row r="407" spans="2:15" ht="13" x14ac:dyDescent="0.3">
      <c r="B407" s="579">
        <f t="shared" si="14"/>
        <v>89</v>
      </c>
      <c r="C407" s="1079" t="s">
        <v>516</v>
      </c>
      <c r="D407" s="534" t="s">
        <v>1198</v>
      </c>
      <c r="E407" s="1224">
        <v>58327.079914620248</v>
      </c>
      <c r="F407" s="537">
        <v>0</v>
      </c>
      <c r="G407" s="1227">
        <v>2131.25</v>
      </c>
      <c r="H407" s="559">
        <v>1.0246394230769231</v>
      </c>
      <c r="J407" s="1281"/>
      <c r="K407" s="1280"/>
      <c r="L407" s="1282"/>
      <c r="M407" s="1278"/>
      <c r="N407" s="1283"/>
      <c r="O407" s="1051"/>
    </row>
    <row r="408" spans="2:15" ht="13" x14ac:dyDescent="0.3">
      <c r="B408" s="579">
        <f t="shared" si="14"/>
        <v>90</v>
      </c>
      <c r="C408" s="1079" t="s">
        <v>516</v>
      </c>
      <c r="D408" s="534" t="s">
        <v>1198</v>
      </c>
      <c r="E408" s="1224">
        <v>26661.266816890082</v>
      </c>
      <c r="F408" s="537">
        <v>0</v>
      </c>
      <c r="G408" s="1227">
        <v>1251</v>
      </c>
      <c r="H408" s="559">
        <v>0.60144230769230766</v>
      </c>
      <c r="J408" s="579"/>
      <c r="L408" s="741"/>
      <c r="M408" s="1278"/>
      <c r="N408" s="1236"/>
      <c r="O408" s="1051"/>
    </row>
    <row r="409" spans="2:15" ht="13" x14ac:dyDescent="0.3">
      <c r="B409" s="579">
        <f t="shared" si="14"/>
        <v>91</v>
      </c>
      <c r="C409" s="1079" t="s">
        <v>516</v>
      </c>
      <c r="D409" s="534" t="s">
        <v>1198</v>
      </c>
      <c r="E409" s="1224">
        <v>42934.266685260896</v>
      </c>
      <c r="F409" s="537">
        <v>0</v>
      </c>
      <c r="G409" s="1227">
        <v>2013.75</v>
      </c>
      <c r="H409" s="559">
        <v>0.96814903846153844</v>
      </c>
      <c r="J409" s="1276"/>
      <c r="K409" s="547"/>
      <c r="L409" s="1277"/>
      <c r="M409" s="1278"/>
      <c r="N409" s="1279"/>
      <c r="O409" s="1051"/>
    </row>
    <row r="410" spans="2:15" ht="13" x14ac:dyDescent="0.3">
      <c r="B410" s="579">
        <f t="shared" si="14"/>
        <v>92</v>
      </c>
      <c r="C410" s="1079" t="s">
        <v>516</v>
      </c>
      <c r="D410" s="534" t="s">
        <v>1198</v>
      </c>
      <c r="E410" s="1224">
        <v>47178.635425251254</v>
      </c>
      <c r="F410" s="537">
        <v>0</v>
      </c>
      <c r="G410" s="1227">
        <v>1915.75</v>
      </c>
      <c r="H410" s="559">
        <v>0.92103365384615388</v>
      </c>
      <c r="J410" s="1281"/>
      <c r="K410" s="1280"/>
      <c r="L410" s="1282"/>
      <c r="M410" s="1278"/>
      <c r="N410" s="1283"/>
      <c r="O410" s="1051"/>
    </row>
    <row r="411" spans="2:15" ht="13" x14ac:dyDescent="0.3">
      <c r="B411" s="579">
        <f t="shared" si="14"/>
        <v>93</v>
      </c>
      <c r="C411" s="1079" t="s">
        <v>516</v>
      </c>
      <c r="D411" s="534" t="s">
        <v>1198</v>
      </c>
      <c r="E411" s="1224">
        <v>30492.26422325899</v>
      </c>
      <c r="F411" s="537">
        <v>0</v>
      </c>
      <c r="G411" s="1227">
        <v>1404.25</v>
      </c>
      <c r="H411" s="559">
        <v>0.67512019230769227</v>
      </c>
      <c r="J411" s="579"/>
      <c r="L411" s="741"/>
      <c r="M411" s="1278"/>
      <c r="N411" s="1236"/>
      <c r="O411" s="1051"/>
    </row>
    <row r="412" spans="2:15" ht="13" x14ac:dyDescent="0.3">
      <c r="B412" s="579">
        <f t="shared" si="14"/>
        <v>94</v>
      </c>
      <c r="C412" s="1079" t="s">
        <v>516</v>
      </c>
      <c r="D412" s="534" t="s">
        <v>1198</v>
      </c>
      <c r="E412" s="1224">
        <v>49737.510408621456</v>
      </c>
      <c r="F412" s="537">
        <v>0</v>
      </c>
      <c r="G412" s="1227">
        <v>2136.5</v>
      </c>
      <c r="H412" s="559">
        <v>1.0271634615384615</v>
      </c>
      <c r="J412" s="1276"/>
      <c r="K412" s="547"/>
      <c r="L412" s="1277"/>
      <c r="M412" s="1278"/>
      <c r="N412" s="1279"/>
      <c r="O412" s="1051"/>
    </row>
    <row r="413" spans="2:15" ht="13" x14ac:dyDescent="0.3">
      <c r="B413" s="579">
        <f t="shared" si="14"/>
        <v>95</v>
      </c>
      <c r="C413" s="1079" t="s">
        <v>516</v>
      </c>
      <c r="D413" s="534" t="s">
        <v>1198</v>
      </c>
      <c r="E413" s="1224">
        <v>39632.882250436458</v>
      </c>
      <c r="F413" s="537">
        <v>0</v>
      </c>
      <c r="G413" s="1227">
        <v>1781</v>
      </c>
      <c r="H413" s="559">
        <v>0.85624999999999996</v>
      </c>
      <c r="J413" s="1281"/>
      <c r="K413" s="1280"/>
      <c r="L413" s="1282"/>
      <c r="M413" s="1278"/>
      <c r="N413" s="1283"/>
      <c r="O413" s="1051"/>
    </row>
    <row r="414" spans="2:15" ht="13" x14ac:dyDescent="0.3">
      <c r="B414" s="579">
        <f t="shared" si="14"/>
        <v>96</v>
      </c>
      <c r="C414" s="1079" t="s">
        <v>516</v>
      </c>
      <c r="D414" s="534" t="s">
        <v>1198</v>
      </c>
      <c r="E414" s="1224">
        <v>45931.236335490248</v>
      </c>
      <c r="F414" s="537">
        <v>0</v>
      </c>
      <c r="G414" s="1227">
        <v>2115.25</v>
      </c>
      <c r="H414" s="559">
        <v>1.0169471153846155</v>
      </c>
      <c r="J414" s="1276"/>
      <c r="K414" s="547"/>
      <c r="L414" s="1277"/>
      <c r="M414" s="1278"/>
      <c r="N414" s="1279"/>
      <c r="O414" s="1051"/>
    </row>
    <row r="415" spans="2:15" ht="13" x14ac:dyDescent="0.3">
      <c r="B415" s="579">
        <f t="shared" si="14"/>
        <v>97</v>
      </c>
      <c r="C415" s="1079" t="s">
        <v>516</v>
      </c>
      <c r="D415" s="534" t="s">
        <v>1198</v>
      </c>
      <c r="E415" s="1224">
        <v>6577.6957721980352</v>
      </c>
      <c r="F415" s="537">
        <v>0</v>
      </c>
      <c r="G415" s="1227">
        <v>253</v>
      </c>
      <c r="H415" s="559">
        <v>0.12163461538461538</v>
      </c>
      <c r="J415" s="1276"/>
      <c r="K415" s="547"/>
      <c r="L415" s="1277"/>
      <c r="M415" s="1278"/>
      <c r="N415" s="1279"/>
      <c r="O415" s="1051"/>
    </row>
    <row r="416" spans="2:15" ht="13" x14ac:dyDescent="0.3">
      <c r="B416" s="579">
        <f t="shared" si="14"/>
        <v>98</v>
      </c>
      <c r="C416" s="1079" t="s">
        <v>516</v>
      </c>
      <c r="D416" s="534" t="s">
        <v>1198</v>
      </c>
      <c r="E416" s="1224">
        <v>42986.091748385777</v>
      </c>
      <c r="F416" s="537">
        <v>0</v>
      </c>
      <c r="G416" s="1227">
        <v>1959.25</v>
      </c>
      <c r="H416" s="559">
        <v>0.9419471153846154</v>
      </c>
      <c r="J416" s="1281"/>
      <c r="K416" s="1280"/>
      <c r="L416" s="1282"/>
      <c r="M416" s="1278"/>
      <c r="N416" s="1283"/>
      <c r="O416" s="1051"/>
    </row>
    <row r="417" spans="2:15" ht="13" x14ac:dyDescent="0.3">
      <c r="B417" s="579">
        <f t="shared" si="14"/>
        <v>99</v>
      </c>
      <c r="C417" s="1079" t="s">
        <v>516</v>
      </c>
      <c r="D417" s="534" t="s">
        <v>1198</v>
      </c>
      <c r="E417" s="1224">
        <v>50885.456542690386</v>
      </c>
      <c r="F417" s="537">
        <v>0</v>
      </c>
      <c r="G417" s="1227">
        <v>2013</v>
      </c>
      <c r="H417" s="559">
        <v>0.96778846153846154</v>
      </c>
      <c r="J417" s="579"/>
      <c r="L417" s="741"/>
      <c r="M417" s="1278"/>
      <c r="N417" s="1236"/>
      <c r="O417" s="1051"/>
    </row>
    <row r="418" spans="2:15" ht="13" x14ac:dyDescent="0.3">
      <c r="B418" s="579">
        <f t="shared" si="14"/>
        <v>100</v>
      </c>
      <c r="C418" s="1079" t="s">
        <v>516</v>
      </c>
      <c r="D418" s="534" t="s">
        <v>1198</v>
      </c>
      <c r="E418" s="1224">
        <v>67273.838628346188</v>
      </c>
      <c r="F418" s="537">
        <v>0</v>
      </c>
      <c r="G418" s="1227">
        <v>2276.75</v>
      </c>
      <c r="H418" s="559">
        <v>1.0945913461538461</v>
      </c>
      <c r="J418" s="1276"/>
      <c r="K418" s="547"/>
      <c r="L418" s="1277"/>
      <c r="M418" s="1278"/>
      <c r="N418" s="1279"/>
      <c r="O418" s="1051"/>
    </row>
    <row r="419" spans="2:15" ht="13" x14ac:dyDescent="0.3">
      <c r="B419" s="579">
        <f t="shared" si="14"/>
        <v>101</v>
      </c>
      <c r="C419" s="1079" t="s">
        <v>516</v>
      </c>
      <c r="D419" s="534" t="s">
        <v>1198</v>
      </c>
      <c r="E419" s="1224">
        <v>49399.518259564335</v>
      </c>
      <c r="F419" s="537">
        <v>0</v>
      </c>
      <c r="G419" s="1227">
        <v>2236.5</v>
      </c>
      <c r="H419" s="559">
        <v>1.0752403846153846</v>
      </c>
      <c r="J419" s="1281"/>
      <c r="K419" s="1280"/>
      <c r="L419" s="1282"/>
      <c r="M419" s="1278"/>
      <c r="N419" s="1283"/>
      <c r="O419" s="1051"/>
    </row>
    <row r="420" spans="2:15" ht="13" x14ac:dyDescent="0.3">
      <c r="B420" s="579">
        <f t="shared" si="14"/>
        <v>102</v>
      </c>
      <c r="C420" s="1079" t="s">
        <v>516</v>
      </c>
      <c r="D420" s="534" t="s">
        <v>1198</v>
      </c>
      <c r="E420" s="1224">
        <v>9768.2948908245708</v>
      </c>
      <c r="F420" s="537">
        <v>0</v>
      </c>
      <c r="G420" s="1227">
        <v>477.5</v>
      </c>
      <c r="H420" s="559">
        <v>0.22956730769230768</v>
      </c>
      <c r="J420" s="579"/>
      <c r="L420" s="741"/>
      <c r="M420" s="1278"/>
      <c r="N420" s="1236"/>
      <c r="O420" s="1051"/>
    </row>
    <row r="421" spans="2:15" ht="13" x14ac:dyDescent="0.3">
      <c r="B421" s="579">
        <f t="shared" si="14"/>
        <v>103</v>
      </c>
      <c r="C421" s="1079" t="s">
        <v>516</v>
      </c>
      <c r="D421" s="534" t="s">
        <v>1198</v>
      </c>
      <c r="E421" s="1224">
        <v>41151.098773804122</v>
      </c>
      <c r="F421" s="537">
        <v>0</v>
      </c>
      <c r="G421" s="1227">
        <v>1938.5</v>
      </c>
      <c r="H421" s="559">
        <v>0.93197115384615381</v>
      </c>
      <c r="J421" s="1276"/>
      <c r="K421" s="547"/>
      <c r="L421" s="1277"/>
      <c r="M421" s="1278"/>
      <c r="N421" s="1279"/>
      <c r="O421" s="1051"/>
    </row>
    <row r="422" spans="2:15" ht="13" x14ac:dyDescent="0.3">
      <c r="B422" s="579">
        <f t="shared" si="14"/>
        <v>104</v>
      </c>
      <c r="C422" s="1079" t="s">
        <v>516</v>
      </c>
      <c r="D422" s="534" t="s">
        <v>1198</v>
      </c>
      <c r="E422" s="1224">
        <v>16730.211647794207</v>
      </c>
      <c r="F422" s="537">
        <v>0</v>
      </c>
      <c r="G422" s="1227">
        <v>828.25</v>
      </c>
      <c r="H422" s="559">
        <v>0.39819711538461539</v>
      </c>
      <c r="J422" s="1281"/>
      <c r="K422" s="1280"/>
      <c r="L422" s="1282"/>
      <c r="M422" s="1278"/>
      <c r="N422" s="1283"/>
      <c r="O422" s="1051"/>
    </row>
    <row r="423" spans="2:15" ht="13" x14ac:dyDescent="0.3">
      <c r="B423" s="579">
        <f t="shared" si="14"/>
        <v>105</v>
      </c>
      <c r="C423" s="1079" t="s">
        <v>516</v>
      </c>
      <c r="D423" s="534" t="s">
        <v>1198</v>
      </c>
      <c r="E423" s="1224">
        <v>23765.229125311183</v>
      </c>
      <c r="F423" s="537">
        <v>0</v>
      </c>
      <c r="G423" s="1227">
        <v>1124.8</v>
      </c>
      <c r="H423" s="559">
        <v>0.54076923076923078</v>
      </c>
      <c r="J423" s="1276"/>
      <c r="K423" s="547"/>
      <c r="L423" s="1277"/>
      <c r="M423" s="1278"/>
      <c r="N423" s="1279"/>
      <c r="O423" s="1051"/>
    </row>
    <row r="424" spans="2:15" ht="13" x14ac:dyDescent="0.3">
      <c r="B424" s="579">
        <f t="shared" si="14"/>
        <v>106</v>
      </c>
      <c r="C424" s="1079" t="s">
        <v>516</v>
      </c>
      <c r="D424" s="534" t="s">
        <v>1198</v>
      </c>
      <c r="E424" s="1224">
        <v>45969.810331568566</v>
      </c>
      <c r="F424" s="537">
        <v>0</v>
      </c>
      <c r="G424" s="1227">
        <v>2132</v>
      </c>
      <c r="H424" s="559">
        <v>1.0249999999999999</v>
      </c>
      <c r="J424" s="1276"/>
      <c r="K424" s="547"/>
      <c r="L424" s="1277"/>
      <c r="M424" s="1278"/>
      <c r="N424" s="1279"/>
      <c r="O424" s="1051"/>
    </row>
    <row r="425" spans="2:15" ht="13" x14ac:dyDescent="0.3">
      <c r="B425" s="579">
        <f t="shared" si="14"/>
        <v>107</v>
      </c>
      <c r="C425" s="1079" t="s">
        <v>516</v>
      </c>
      <c r="D425" s="534" t="s">
        <v>1198</v>
      </c>
      <c r="E425" s="1224">
        <v>1290.6299465057302</v>
      </c>
      <c r="F425" s="537">
        <v>0</v>
      </c>
      <c r="G425" s="1227">
        <v>41</v>
      </c>
      <c r="H425" s="559">
        <v>1.9711538461538461E-2</v>
      </c>
      <c r="J425" s="1281"/>
      <c r="K425" s="1280"/>
      <c r="L425" s="1282"/>
      <c r="M425" s="1278"/>
      <c r="N425" s="1283"/>
      <c r="O425" s="1051"/>
    </row>
    <row r="426" spans="2:15" ht="13" x14ac:dyDescent="0.3">
      <c r="B426" s="579">
        <f t="shared" si="14"/>
        <v>108</v>
      </c>
      <c r="C426" s="1079" t="s">
        <v>516</v>
      </c>
      <c r="D426" s="534" t="s">
        <v>1198</v>
      </c>
      <c r="E426" s="1224">
        <v>8282.0767963280541</v>
      </c>
      <c r="F426" s="537">
        <v>0</v>
      </c>
      <c r="G426" s="1227">
        <v>393.5</v>
      </c>
      <c r="H426" s="559">
        <v>0.1891826923076923</v>
      </c>
      <c r="J426" s="1276"/>
      <c r="K426" s="547"/>
      <c r="L426" s="1277"/>
      <c r="M426" s="1278"/>
      <c r="N426" s="1279"/>
      <c r="O426" s="1051"/>
    </row>
    <row r="427" spans="2:15" ht="13" x14ac:dyDescent="0.3">
      <c r="B427" s="579">
        <f t="shared" si="14"/>
        <v>109</v>
      </c>
      <c r="C427" s="1079" t="s">
        <v>516</v>
      </c>
      <c r="D427" s="534" t="s">
        <v>1198</v>
      </c>
      <c r="E427" s="1224">
        <v>6442.6667993975288</v>
      </c>
      <c r="F427" s="537">
        <v>0</v>
      </c>
      <c r="G427" s="1227">
        <v>265.5</v>
      </c>
      <c r="H427" s="559">
        <v>0.12764423076923076</v>
      </c>
      <c r="J427" s="1276"/>
      <c r="K427" s="547"/>
      <c r="L427" s="1277"/>
      <c r="M427" s="1278"/>
      <c r="N427" s="1279"/>
      <c r="O427" s="1051"/>
    </row>
    <row r="428" spans="2:15" ht="13" x14ac:dyDescent="0.3">
      <c r="B428" s="579">
        <f t="shared" si="14"/>
        <v>110</v>
      </c>
      <c r="C428" s="1079" t="s">
        <v>516</v>
      </c>
      <c r="D428" s="534" t="s">
        <v>1198</v>
      </c>
      <c r="E428" s="1224">
        <v>47209.914339169642</v>
      </c>
      <c r="F428" s="537">
        <v>0</v>
      </c>
      <c r="G428" s="1227">
        <v>1932.5</v>
      </c>
      <c r="H428" s="559">
        <v>0.92908653846153844</v>
      </c>
      <c r="J428" s="1281"/>
      <c r="K428" s="1280"/>
      <c r="L428" s="1282"/>
      <c r="M428" s="1278"/>
      <c r="N428" s="1283"/>
      <c r="O428" s="1051"/>
    </row>
    <row r="429" spans="2:15" ht="13" x14ac:dyDescent="0.3">
      <c r="B429" s="579">
        <f t="shared" si="14"/>
        <v>111</v>
      </c>
      <c r="C429" s="1079" t="s">
        <v>516</v>
      </c>
      <c r="D429" s="534" t="s">
        <v>1198</v>
      </c>
      <c r="E429" s="1224">
        <v>524.64631971777658</v>
      </c>
      <c r="F429" s="537">
        <v>0</v>
      </c>
      <c r="G429" s="1227">
        <v>26.25</v>
      </c>
      <c r="H429" s="559">
        <v>1.2620192307692308E-2</v>
      </c>
      <c r="J429" s="1276"/>
      <c r="K429" s="547"/>
      <c r="L429" s="1277"/>
      <c r="M429" s="1278"/>
      <c r="N429" s="1279"/>
      <c r="O429" s="1051"/>
    </row>
    <row r="430" spans="2:15" ht="13" x14ac:dyDescent="0.3">
      <c r="B430" s="579">
        <f t="shared" si="14"/>
        <v>112</v>
      </c>
      <c r="C430" s="1079" t="s">
        <v>516</v>
      </c>
      <c r="D430" s="534" t="s">
        <v>1198</v>
      </c>
      <c r="E430" s="1224">
        <v>51910.715384051269</v>
      </c>
      <c r="F430" s="537">
        <v>0</v>
      </c>
      <c r="G430" s="1227">
        <v>2331.25</v>
      </c>
      <c r="H430" s="559">
        <v>1.1207932692307692</v>
      </c>
      <c r="J430" s="1276"/>
      <c r="K430" s="547"/>
      <c r="L430" s="1277"/>
      <c r="M430" s="1278"/>
      <c r="N430" s="1279"/>
      <c r="O430" s="1051"/>
    </row>
    <row r="431" spans="2:15" ht="13" x14ac:dyDescent="0.3">
      <c r="B431" s="579">
        <f t="shared" si="14"/>
        <v>113</v>
      </c>
      <c r="C431" s="1079" t="s">
        <v>516</v>
      </c>
      <c r="D431" s="534" t="s">
        <v>1198</v>
      </c>
      <c r="E431" s="1224">
        <v>43660.477124382625</v>
      </c>
      <c r="F431" s="537">
        <v>0</v>
      </c>
      <c r="G431" s="1227">
        <v>1992.75</v>
      </c>
      <c r="H431" s="559">
        <v>0.95805288461538463</v>
      </c>
      <c r="J431" s="1281"/>
      <c r="K431" s="1280"/>
      <c r="L431" s="1282"/>
      <c r="M431" s="1278"/>
      <c r="N431" s="1283"/>
      <c r="O431" s="1051"/>
    </row>
    <row r="432" spans="2:15" ht="13" x14ac:dyDescent="0.3">
      <c r="B432" s="579">
        <f t="shared" si="14"/>
        <v>114</v>
      </c>
      <c r="C432" s="1079" t="s">
        <v>516</v>
      </c>
      <c r="D432" s="534" t="s">
        <v>1198</v>
      </c>
      <c r="E432" s="1224">
        <v>13059.945887260366</v>
      </c>
      <c r="F432" s="537">
        <v>0</v>
      </c>
      <c r="G432" s="1227">
        <v>642.25</v>
      </c>
      <c r="H432" s="559">
        <v>0.30877403846153845</v>
      </c>
      <c r="J432" s="1276"/>
      <c r="K432" s="547"/>
      <c r="L432" s="1277"/>
      <c r="M432" s="1278"/>
      <c r="N432" s="1279"/>
      <c r="O432" s="1051"/>
    </row>
    <row r="433" spans="2:15" ht="13" x14ac:dyDescent="0.3">
      <c r="B433" s="579">
        <f t="shared" si="14"/>
        <v>115</v>
      </c>
      <c r="C433" s="1079" t="s">
        <v>516</v>
      </c>
      <c r="D433" s="534" t="s">
        <v>1198</v>
      </c>
      <c r="E433" s="1224">
        <v>31255.449736341776</v>
      </c>
      <c r="F433" s="537">
        <v>0</v>
      </c>
      <c r="G433" s="1227">
        <v>1108</v>
      </c>
      <c r="H433" s="559">
        <v>0.53269230769230769</v>
      </c>
      <c r="J433" s="1276"/>
      <c r="K433" s="547"/>
      <c r="L433" s="1277"/>
      <c r="M433" s="1278"/>
      <c r="N433" s="1279"/>
      <c r="O433" s="1051"/>
    </row>
    <row r="434" spans="2:15" ht="13" x14ac:dyDescent="0.3">
      <c r="B434" s="579">
        <f t="shared" si="14"/>
        <v>116</v>
      </c>
      <c r="C434" s="1079" t="s">
        <v>516</v>
      </c>
      <c r="D434" s="534" t="s">
        <v>1198</v>
      </c>
      <c r="E434" s="1224">
        <v>43551.580534935674</v>
      </c>
      <c r="F434" s="537">
        <v>0</v>
      </c>
      <c r="G434" s="1227">
        <v>1976.49</v>
      </c>
      <c r="H434" s="559">
        <v>0.95023557692307692</v>
      </c>
      <c r="J434" s="1281"/>
      <c r="K434" s="1280"/>
      <c r="L434" s="1282"/>
      <c r="M434" s="1278"/>
      <c r="N434" s="1283"/>
      <c r="O434" s="1051"/>
    </row>
    <row r="435" spans="2:15" ht="13" x14ac:dyDescent="0.3">
      <c r="B435" s="579">
        <f t="shared" si="14"/>
        <v>117</v>
      </c>
      <c r="C435" s="1079" t="s">
        <v>516</v>
      </c>
      <c r="D435" s="534" t="s">
        <v>1198</v>
      </c>
      <c r="E435" s="1224">
        <v>39250.09030230713</v>
      </c>
      <c r="F435" s="537">
        <v>0</v>
      </c>
      <c r="G435" s="1227">
        <v>1816.5</v>
      </c>
      <c r="H435" s="559">
        <v>0.87331730769230764</v>
      </c>
      <c r="J435" s="579"/>
      <c r="L435" s="741"/>
      <c r="M435" s="1278"/>
      <c r="N435" s="1236"/>
      <c r="O435" s="1051"/>
    </row>
    <row r="436" spans="2:15" ht="13" x14ac:dyDescent="0.3">
      <c r="B436" s="579">
        <f t="shared" si="14"/>
        <v>118</v>
      </c>
      <c r="C436" s="1079" t="s">
        <v>516</v>
      </c>
      <c r="D436" s="534" t="s">
        <v>1198</v>
      </c>
      <c r="E436" s="1224">
        <v>40744.35297370598</v>
      </c>
      <c r="F436" s="537">
        <v>0</v>
      </c>
      <c r="G436" s="1227">
        <v>1895.75</v>
      </c>
      <c r="H436" s="559">
        <v>0.91141826923076918</v>
      </c>
      <c r="J436" s="1276"/>
      <c r="K436" s="547"/>
      <c r="L436" s="1277"/>
      <c r="M436" s="1278"/>
      <c r="N436" s="1279"/>
      <c r="O436" s="1051"/>
    </row>
    <row r="437" spans="2:15" ht="13" x14ac:dyDescent="0.3">
      <c r="B437" s="579">
        <f t="shared" si="14"/>
        <v>119</v>
      </c>
      <c r="C437" s="1079" t="s">
        <v>516</v>
      </c>
      <c r="D437" s="534" t="s">
        <v>1198</v>
      </c>
      <c r="E437" s="1224">
        <v>66958.870957777326</v>
      </c>
      <c r="F437" s="537">
        <v>0</v>
      </c>
      <c r="G437" s="1227">
        <v>2620.5</v>
      </c>
      <c r="H437" s="559">
        <v>1.2598557692307693</v>
      </c>
      <c r="J437" s="1281"/>
      <c r="K437" s="1280"/>
      <c r="L437" s="1282"/>
      <c r="M437" s="1278"/>
      <c r="N437" s="1283"/>
      <c r="O437" s="1051"/>
    </row>
    <row r="438" spans="2:15" ht="13" x14ac:dyDescent="0.3">
      <c r="B438" s="579">
        <f t="shared" si="14"/>
        <v>120</v>
      </c>
      <c r="C438" s="1079" t="s">
        <v>516</v>
      </c>
      <c r="D438" s="534" t="s">
        <v>1198</v>
      </c>
      <c r="E438" s="1224">
        <v>6884.6088726013186</v>
      </c>
      <c r="F438" s="537">
        <v>0</v>
      </c>
      <c r="G438" s="1227">
        <v>263</v>
      </c>
      <c r="H438" s="559">
        <v>0.12644230769230769</v>
      </c>
      <c r="J438" s="579"/>
      <c r="L438" s="741"/>
      <c r="M438" s="1278"/>
      <c r="N438" s="1236"/>
      <c r="O438" s="1051"/>
    </row>
    <row r="439" spans="2:15" ht="13" x14ac:dyDescent="0.3">
      <c r="B439" s="579">
        <f t="shared" si="14"/>
        <v>121</v>
      </c>
      <c r="C439" s="1079" t="s">
        <v>516</v>
      </c>
      <c r="D439" s="534" t="s">
        <v>1198</v>
      </c>
      <c r="E439" s="1224">
        <v>37005.51344086921</v>
      </c>
      <c r="F439" s="537">
        <v>0</v>
      </c>
      <c r="G439" s="1227">
        <v>1628.25</v>
      </c>
      <c r="H439" s="559">
        <v>0.78281250000000002</v>
      </c>
      <c r="J439" s="1276"/>
      <c r="K439" s="547"/>
      <c r="L439" s="1277"/>
      <c r="M439" s="1278"/>
      <c r="N439" s="1279"/>
      <c r="O439" s="1051"/>
    </row>
    <row r="440" spans="2:15" ht="13" x14ac:dyDescent="0.3">
      <c r="B440" s="579">
        <f t="shared" si="14"/>
        <v>122</v>
      </c>
      <c r="C440" s="1079" t="s">
        <v>516</v>
      </c>
      <c r="D440" s="534" t="s">
        <v>1198</v>
      </c>
      <c r="E440" s="1224">
        <v>719.51495275580783</v>
      </c>
      <c r="F440" s="537">
        <v>0</v>
      </c>
      <c r="G440" s="1227">
        <v>36</v>
      </c>
      <c r="H440" s="559">
        <v>1.7307692307692309E-2</v>
      </c>
      <c r="J440" s="1281"/>
      <c r="K440" s="1280"/>
      <c r="L440" s="1282"/>
      <c r="M440" s="1278"/>
      <c r="N440" s="1283"/>
      <c r="O440" s="1051"/>
    </row>
    <row r="441" spans="2:15" ht="13" x14ac:dyDescent="0.3">
      <c r="B441" s="579">
        <f t="shared" si="14"/>
        <v>123</v>
      </c>
      <c r="C441" s="1079" t="s">
        <v>516</v>
      </c>
      <c r="D441" s="534" t="s">
        <v>1198</v>
      </c>
      <c r="E441" s="1224">
        <v>26696.083345992869</v>
      </c>
      <c r="F441" s="537">
        <v>0</v>
      </c>
      <c r="G441" s="1227">
        <v>1255.5</v>
      </c>
      <c r="H441" s="559">
        <v>0.60360576923076925</v>
      </c>
      <c r="J441" s="1276"/>
      <c r="K441" s="547"/>
      <c r="L441" s="1277"/>
      <c r="M441" s="1278"/>
      <c r="N441" s="1279"/>
      <c r="O441" s="1051"/>
    </row>
    <row r="442" spans="2:15" ht="13" x14ac:dyDescent="0.3">
      <c r="B442" s="579">
        <f t="shared" si="14"/>
        <v>124</v>
      </c>
      <c r="C442" s="1079" t="s">
        <v>516</v>
      </c>
      <c r="D442" s="534" t="s">
        <v>1198</v>
      </c>
      <c r="E442" s="1224">
        <v>1750.9496307944912</v>
      </c>
      <c r="F442" s="537">
        <v>0</v>
      </c>
      <c r="G442" s="1227">
        <v>39.75</v>
      </c>
      <c r="H442" s="559">
        <v>1.9110576923076925E-2</v>
      </c>
      <c r="J442" s="1276"/>
      <c r="K442" s="547"/>
      <c r="L442" s="1277"/>
      <c r="M442" s="1278"/>
      <c r="N442" s="1279"/>
      <c r="O442" s="1051"/>
    </row>
    <row r="443" spans="2:15" ht="13" x14ac:dyDescent="0.3">
      <c r="B443" s="579">
        <f t="shared" si="14"/>
        <v>125</v>
      </c>
      <c r="C443" s="1079" t="s">
        <v>516</v>
      </c>
      <c r="D443" s="534" t="s">
        <v>1198</v>
      </c>
      <c r="E443" s="1224">
        <v>15054.771113986146</v>
      </c>
      <c r="F443" s="537">
        <v>0</v>
      </c>
      <c r="G443" s="1227">
        <v>531.44000000000005</v>
      </c>
      <c r="H443" s="559">
        <v>0.2555</v>
      </c>
      <c r="J443" s="1281"/>
      <c r="K443" s="1280"/>
      <c r="L443" s="1282"/>
      <c r="M443" s="1278"/>
      <c r="N443" s="1283"/>
      <c r="O443" s="1051"/>
    </row>
    <row r="444" spans="2:15" ht="13" x14ac:dyDescent="0.3">
      <c r="B444" s="579">
        <f t="shared" si="14"/>
        <v>126</v>
      </c>
      <c r="C444" s="1079" t="s">
        <v>516</v>
      </c>
      <c r="D444" s="534" t="s">
        <v>1198</v>
      </c>
      <c r="E444" s="1224">
        <v>41237.020851079033</v>
      </c>
      <c r="F444" s="537">
        <v>0</v>
      </c>
      <c r="G444" s="1227">
        <v>1899.25</v>
      </c>
      <c r="H444" s="559">
        <v>0.91310096153846154</v>
      </c>
      <c r="J444" s="1276"/>
      <c r="K444" s="547"/>
      <c r="L444" s="1277"/>
      <c r="M444" s="1278"/>
      <c r="N444" s="1279"/>
      <c r="O444" s="1051"/>
    </row>
    <row r="445" spans="2:15" ht="13" x14ac:dyDescent="0.3">
      <c r="B445" s="579">
        <f t="shared" si="14"/>
        <v>127</v>
      </c>
      <c r="C445" s="1079" t="s">
        <v>516</v>
      </c>
      <c r="D445" s="534" t="s">
        <v>1198</v>
      </c>
      <c r="E445" s="1224">
        <v>44905.467837704535</v>
      </c>
      <c r="F445" s="537">
        <v>0</v>
      </c>
      <c r="G445" s="1227">
        <v>2101.75</v>
      </c>
      <c r="H445" s="559">
        <v>1.0104567307692307</v>
      </c>
      <c r="J445" s="1276"/>
      <c r="K445" s="547"/>
      <c r="L445" s="1277"/>
      <c r="M445" s="1278"/>
      <c r="N445" s="1279"/>
      <c r="O445" s="1051"/>
    </row>
    <row r="446" spans="2:15" ht="13" x14ac:dyDescent="0.3">
      <c r="B446" s="579">
        <f t="shared" si="14"/>
        <v>128</v>
      </c>
      <c r="C446" s="1079" t="s">
        <v>516</v>
      </c>
      <c r="D446" s="534" t="s">
        <v>1198</v>
      </c>
      <c r="E446" s="1224">
        <v>56358.876741146443</v>
      </c>
      <c r="F446" s="537">
        <v>0</v>
      </c>
      <c r="G446" s="1227">
        <v>2238.75</v>
      </c>
      <c r="H446" s="559">
        <v>1.0763221153846154</v>
      </c>
      <c r="J446" s="1281"/>
      <c r="K446" s="1280"/>
      <c r="L446" s="1282"/>
      <c r="M446" s="1278"/>
      <c r="N446" s="1283"/>
      <c r="O446" s="1051"/>
    </row>
    <row r="447" spans="2:15" ht="13" x14ac:dyDescent="0.3">
      <c r="B447" s="579">
        <f t="shared" si="14"/>
        <v>129</v>
      </c>
      <c r="C447" s="1079" t="s">
        <v>516</v>
      </c>
      <c r="D447" s="534" t="s">
        <v>1198</v>
      </c>
      <c r="E447" s="1224">
        <v>5954.7357287967643</v>
      </c>
      <c r="F447" s="537">
        <v>0</v>
      </c>
      <c r="G447" s="1227">
        <v>274.5</v>
      </c>
      <c r="H447" s="559">
        <v>0.13197115384615385</v>
      </c>
      <c r="J447" s="1276"/>
      <c r="K447" s="547"/>
      <c r="L447" s="1277"/>
      <c r="M447" s="1278"/>
      <c r="N447" s="1279"/>
      <c r="O447" s="1051"/>
    </row>
    <row r="448" spans="2:15" ht="13" x14ac:dyDescent="0.3">
      <c r="B448" s="579">
        <f t="shared" si="14"/>
        <v>130</v>
      </c>
      <c r="C448" s="1079" t="s">
        <v>516</v>
      </c>
      <c r="D448" s="534" t="s">
        <v>1198</v>
      </c>
      <c r="E448" s="1224">
        <v>26986.917285854714</v>
      </c>
      <c r="F448" s="537">
        <v>0</v>
      </c>
      <c r="G448" s="1227">
        <v>1139.5</v>
      </c>
      <c r="H448" s="559">
        <v>0.54783653846153846</v>
      </c>
      <c r="J448" s="1276"/>
      <c r="K448" s="547"/>
      <c r="L448" s="1277"/>
      <c r="M448" s="1278"/>
      <c r="N448" s="1279"/>
      <c r="O448" s="1051"/>
    </row>
    <row r="449" spans="2:15" ht="13" x14ac:dyDescent="0.3">
      <c r="B449" s="579">
        <f t="shared" ref="B449:B512" si="15">+B448+1</f>
        <v>131</v>
      </c>
      <c r="C449" s="1079" t="s">
        <v>516</v>
      </c>
      <c r="D449" s="534" t="s">
        <v>1198</v>
      </c>
      <c r="E449" s="1224">
        <v>6656.3927201557017</v>
      </c>
      <c r="F449" s="537">
        <v>0</v>
      </c>
      <c r="G449" s="1227">
        <v>255.25</v>
      </c>
      <c r="H449" s="559">
        <v>0.12271634615384615</v>
      </c>
      <c r="J449" s="1281"/>
      <c r="K449" s="1280"/>
      <c r="L449" s="1282"/>
      <c r="M449" s="1278"/>
      <c r="N449" s="1283"/>
      <c r="O449" s="1051"/>
    </row>
    <row r="450" spans="2:15" ht="13" x14ac:dyDescent="0.3">
      <c r="B450" s="579">
        <f t="shared" si="15"/>
        <v>132</v>
      </c>
      <c r="C450" s="1079" t="s">
        <v>516</v>
      </c>
      <c r="D450" s="534" t="s">
        <v>1198</v>
      </c>
      <c r="E450" s="1224">
        <v>2234.9933219977283</v>
      </c>
      <c r="F450" s="537">
        <v>0</v>
      </c>
      <c r="G450" s="1227">
        <v>106.5</v>
      </c>
      <c r="H450" s="559">
        <v>5.1201923076923075E-2</v>
      </c>
      <c r="J450" s="1276"/>
      <c r="K450" s="547"/>
      <c r="L450" s="1277"/>
      <c r="M450" s="1278"/>
      <c r="N450" s="1279"/>
      <c r="O450" s="1051"/>
    </row>
    <row r="451" spans="2:15" ht="13" x14ac:dyDescent="0.3">
      <c r="B451" s="579">
        <f t="shared" si="15"/>
        <v>133</v>
      </c>
      <c r="C451" s="1079" t="s">
        <v>516</v>
      </c>
      <c r="D451" s="534" t="s">
        <v>1198</v>
      </c>
      <c r="E451" s="1224">
        <v>1687.9920724283581</v>
      </c>
      <c r="F451" s="537">
        <v>0</v>
      </c>
      <c r="G451" s="1227">
        <v>37.75</v>
      </c>
      <c r="H451" s="559">
        <v>1.8149038461538463E-2</v>
      </c>
      <c r="J451" s="1276"/>
      <c r="K451" s="547"/>
      <c r="L451" s="1277"/>
      <c r="M451" s="1278"/>
      <c r="N451" s="1279"/>
      <c r="O451" s="1051"/>
    </row>
    <row r="452" spans="2:15" ht="13" x14ac:dyDescent="0.3">
      <c r="B452" s="579">
        <f t="shared" si="15"/>
        <v>134</v>
      </c>
      <c r="C452" s="1079" t="s">
        <v>516</v>
      </c>
      <c r="D452" s="534" t="s">
        <v>1198</v>
      </c>
      <c r="E452" s="1224">
        <v>12983.207618896313</v>
      </c>
      <c r="F452" s="537">
        <v>0</v>
      </c>
      <c r="G452" s="1227">
        <v>551.25</v>
      </c>
      <c r="H452" s="559">
        <v>0.26502403846153844</v>
      </c>
      <c r="J452" s="1281"/>
      <c r="K452" s="1280"/>
      <c r="L452" s="1282"/>
      <c r="M452" s="1278"/>
      <c r="N452" s="1283"/>
      <c r="O452" s="1051"/>
    </row>
    <row r="453" spans="2:15" ht="13" x14ac:dyDescent="0.3">
      <c r="B453" s="579">
        <f t="shared" si="15"/>
        <v>135</v>
      </c>
      <c r="C453" s="1079" t="s">
        <v>516</v>
      </c>
      <c r="D453" s="534" t="s">
        <v>1198</v>
      </c>
      <c r="E453" s="1224">
        <v>39073.069637402725</v>
      </c>
      <c r="F453" s="537">
        <v>0</v>
      </c>
      <c r="G453" s="1227">
        <v>1762.25</v>
      </c>
      <c r="H453" s="559">
        <v>0.84723557692307694</v>
      </c>
      <c r="J453" s="1276"/>
      <c r="K453" s="547"/>
      <c r="L453" s="1277"/>
      <c r="M453" s="1278"/>
      <c r="N453" s="1279"/>
      <c r="O453" s="1051"/>
    </row>
    <row r="454" spans="2:15" ht="13" x14ac:dyDescent="0.3">
      <c r="B454" s="579">
        <f t="shared" si="15"/>
        <v>136</v>
      </c>
      <c r="C454" s="1079" t="s">
        <v>516</v>
      </c>
      <c r="D454" s="534" t="s">
        <v>1198</v>
      </c>
      <c r="E454" s="1224">
        <v>16062.75160321763</v>
      </c>
      <c r="F454" s="537">
        <v>0</v>
      </c>
      <c r="G454" s="1227">
        <v>745</v>
      </c>
      <c r="H454" s="559">
        <v>0.35817307692307693</v>
      </c>
      <c r="J454" s="1276"/>
      <c r="K454" s="547"/>
      <c r="L454" s="1277"/>
      <c r="M454" s="1278"/>
      <c r="N454" s="1279"/>
      <c r="O454" s="1051"/>
    </row>
    <row r="455" spans="2:15" ht="13" x14ac:dyDescent="0.3">
      <c r="B455" s="579">
        <f t="shared" si="15"/>
        <v>137</v>
      </c>
      <c r="C455" s="1079" t="s">
        <v>516</v>
      </c>
      <c r="D455" s="534" t="s">
        <v>1198</v>
      </c>
      <c r="E455" s="1224">
        <v>49439.201507861508</v>
      </c>
      <c r="F455" s="537">
        <v>0</v>
      </c>
      <c r="G455" s="1227">
        <v>1965.75</v>
      </c>
      <c r="H455" s="559">
        <v>0.94507211538461533</v>
      </c>
      <c r="J455" s="1281"/>
      <c r="K455" s="1280"/>
      <c r="L455" s="1282"/>
      <c r="M455" s="1278"/>
      <c r="N455" s="1283"/>
      <c r="O455" s="1051"/>
    </row>
    <row r="456" spans="2:15" ht="13" x14ac:dyDescent="0.3">
      <c r="B456" s="579">
        <f t="shared" si="15"/>
        <v>138</v>
      </c>
      <c r="C456" s="1079" t="s">
        <v>516</v>
      </c>
      <c r="D456" s="534" t="s">
        <v>1198</v>
      </c>
      <c r="E456" s="1224">
        <v>19167.888334677958</v>
      </c>
      <c r="F456" s="537">
        <v>0</v>
      </c>
      <c r="G456" s="1227">
        <v>871.81999999999994</v>
      </c>
      <c r="H456" s="559">
        <v>0.41914423076923074</v>
      </c>
      <c r="J456" s="1276"/>
      <c r="K456" s="547"/>
      <c r="L456" s="1277"/>
      <c r="M456" s="1278"/>
      <c r="N456" s="1279"/>
      <c r="O456" s="1051"/>
    </row>
    <row r="457" spans="2:15" ht="13" x14ac:dyDescent="0.3">
      <c r="B457" s="579">
        <f t="shared" si="15"/>
        <v>139</v>
      </c>
      <c r="C457" s="1079" t="s">
        <v>516</v>
      </c>
      <c r="D457" s="534" t="s">
        <v>1198</v>
      </c>
      <c r="E457" s="1224">
        <v>48859.772119101966</v>
      </c>
      <c r="F457" s="537">
        <v>0</v>
      </c>
      <c r="G457" s="1227">
        <v>2125.21</v>
      </c>
      <c r="H457" s="559">
        <v>1.0217355769230769</v>
      </c>
      <c r="J457" s="1276"/>
      <c r="K457" s="547"/>
      <c r="L457" s="1277"/>
      <c r="M457" s="1278"/>
      <c r="N457" s="1279"/>
      <c r="O457" s="1051"/>
    </row>
    <row r="458" spans="2:15" ht="13" x14ac:dyDescent="0.3">
      <c r="B458" s="579">
        <f t="shared" si="15"/>
        <v>140</v>
      </c>
      <c r="C458" s="1079" t="s">
        <v>516</v>
      </c>
      <c r="D458" s="534" t="s">
        <v>1198</v>
      </c>
      <c r="E458" s="1224">
        <v>46097.034565784321</v>
      </c>
      <c r="F458" s="537">
        <v>0</v>
      </c>
      <c r="G458" s="1227">
        <v>2095.5</v>
      </c>
      <c r="H458" s="559">
        <v>1.007451923076923</v>
      </c>
      <c r="J458" s="1281"/>
      <c r="K458" s="1280"/>
      <c r="L458" s="1282"/>
      <c r="M458" s="1278"/>
      <c r="N458" s="1283"/>
      <c r="O458" s="1051"/>
    </row>
    <row r="459" spans="2:15" ht="13" x14ac:dyDescent="0.3">
      <c r="B459" s="579">
        <f t="shared" si="15"/>
        <v>141</v>
      </c>
      <c r="C459" s="1079" t="s">
        <v>516</v>
      </c>
      <c r="D459" s="534" t="s">
        <v>1198</v>
      </c>
      <c r="E459" s="1224">
        <v>2603.2450721234436</v>
      </c>
      <c r="F459" s="537">
        <v>0</v>
      </c>
      <c r="G459" s="1227">
        <v>130.25</v>
      </c>
      <c r="H459" s="559">
        <v>6.2620192307692307E-2</v>
      </c>
      <c r="J459" s="1276"/>
      <c r="K459" s="547"/>
      <c r="L459" s="1277"/>
      <c r="M459" s="1278"/>
      <c r="N459" s="1279"/>
      <c r="O459" s="1051"/>
    </row>
    <row r="460" spans="2:15" ht="13" x14ac:dyDescent="0.3">
      <c r="B460" s="579">
        <f t="shared" si="15"/>
        <v>142</v>
      </c>
      <c r="C460" s="1079" t="s">
        <v>516</v>
      </c>
      <c r="D460" s="534" t="s">
        <v>1198</v>
      </c>
      <c r="E460" s="1224">
        <v>28046.582932525827</v>
      </c>
      <c r="F460" s="537">
        <v>0</v>
      </c>
      <c r="G460" s="1227">
        <v>1304.05</v>
      </c>
      <c r="H460" s="559">
        <v>0.62694711538461534</v>
      </c>
      <c r="J460" s="1276"/>
      <c r="K460" s="547"/>
      <c r="L460" s="1277"/>
      <c r="M460" s="1278"/>
      <c r="N460" s="1279"/>
      <c r="O460" s="1051"/>
    </row>
    <row r="461" spans="2:15" ht="13" x14ac:dyDescent="0.3">
      <c r="B461" s="579">
        <f t="shared" si="15"/>
        <v>143</v>
      </c>
      <c r="C461" s="1079" t="s">
        <v>516</v>
      </c>
      <c r="D461" s="534" t="s">
        <v>1198</v>
      </c>
      <c r="E461" s="1224">
        <v>20099.210501651254</v>
      </c>
      <c r="F461" s="537">
        <v>0</v>
      </c>
      <c r="G461" s="1227">
        <v>916.75</v>
      </c>
      <c r="H461" s="559">
        <v>0.44074519230769232</v>
      </c>
      <c r="J461" s="1281"/>
      <c r="K461" s="1280"/>
      <c r="L461" s="1282"/>
      <c r="M461" s="1278"/>
      <c r="N461" s="1283"/>
      <c r="O461" s="1051"/>
    </row>
    <row r="462" spans="2:15" ht="13" x14ac:dyDescent="0.3">
      <c r="B462" s="579">
        <f t="shared" si="15"/>
        <v>144</v>
      </c>
      <c r="C462" s="1079" t="s">
        <v>516</v>
      </c>
      <c r="D462" s="534" t="s">
        <v>1198</v>
      </c>
      <c r="E462" s="1224">
        <v>48244.297029861991</v>
      </c>
      <c r="F462" s="537">
        <v>0</v>
      </c>
      <c r="G462" s="1227">
        <v>2098.5</v>
      </c>
      <c r="H462" s="559">
        <v>1.0088942307692308</v>
      </c>
      <c r="J462" s="1276"/>
      <c r="K462" s="547"/>
      <c r="L462" s="1277"/>
      <c r="M462" s="1278"/>
      <c r="N462" s="1279"/>
      <c r="O462" s="1051"/>
    </row>
    <row r="463" spans="2:15" ht="13" x14ac:dyDescent="0.3">
      <c r="B463" s="579">
        <f t="shared" si="15"/>
        <v>145</v>
      </c>
      <c r="C463" s="1079" t="s">
        <v>516</v>
      </c>
      <c r="D463" s="534" t="s">
        <v>1198</v>
      </c>
      <c r="E463" s="1224">
        <v>29745.207837033799</v>
      </c>
      <c r="F463" s="537">
        <v>0</v>
      </c>
      <c r="G463" s="1227">
        <v>1386</v>
      </c>
      <c r="H463" s="559">
        <v>0.66634615384615381</v>
      </c>
      <c r="J463" s="1276"/>
      <c r="K463" s="547"/>
      <c r="L463" s="1277"/>
      <c r="M463" s="1278"/>
      <c r="N463" s="1279"/>
      <c r="O463" s="1051"/>
    </row>
    <row r="464" spans="2:15" ht="13" x14ac:dyDescent="0.3">
      <c r="B464" s="579">
        <f t="shared" si="15"/>
        <v>146</v>
      </c>
      <c r="C464" s="1079" t="s">
        <v>516</v>
      </c>
      <c r="D464" s="534" t="s">
        <v>1198</v>
      </c>
      <c r="E464" s="1224">
        <v>55351.126096969281</v>
      </c>
      <c r="F464" s="537">
        <v>0</v>
      </c>
      <c r="G464" s="1227">
        <v>2010.75</v>
      </c>
      <c r="H464" s="559">
        <v>0.96670673076923075</v>
      </c>
      <c r="J464" s="1281"/>
      <c r="K464" s="1280"/>
      <c r="L464" s="1282"/>
      <c r="M464" s="1278"/>
      <c r="N464" s="1283"/>
      <c r="O464" s="1051"/>
    </row>
    <row r="465" spans="2:15" ht="13" x14ac:dyDescent="0.3">
      <c r="B465" s="579">
        <f t="shared" si="15"/>
        <v>147</v>
      </c>
      <c r="C465" s="1079" t="s">
        <v>516</v>
      </c>
      <c r="D465" s="534" t="s">
        <v>1198</v>
      </c>
      <c r="E465" s="1224">
        <v>2668.2012831361208</v>
      </c>
      <c r="F465" s="537">
        <v>0</v>
      </c>
      <c r="G465" s="1227">
        <v>133.5</v>
      </c>
      <c r="H465" s="559">
        <v>6.4182692307692302E-2</v>
      </c>
      <c r="J465" s="1276"/>
      <c r="K465" s="547"/>
      <c r="L465" s="1277"/>
      <c r="M465" s="1278"/>
      <c r="N465" s="1279"/>
      <c r="O465" s="1051"/>
    </row>
    <row r="466" spans="2:15" ht="13" x14ac:dyDescent="0.3">
      <c r="B466" s="579">
        <f t="shared" si="15"/>
        <v>148</v>
      </c>
      <c r="C466" s="1079" t="s">
        <v>516</v>
      </c>
      <c r="D466" s="534" t="s">
        <v>1198</v>
      </c>
      <c r="E466" s="1224">
        <v>2811.6445835785771</v>
      </c>
      <c r="F466" s="537">
        <v>0</v>
      </c>
      <c r="G466" s="1227">
        <v>135.26</v>
      </c>
      <c r="H466" s="559">
        <v>6.5028846153846145E-2</v>
      </c>
      <c r="J466" s="1276"/>
      <c r="K466" s="547"/>
      <c r="L466" s="1277"/>
      <c r="M466" s="1278"/>
      <c r="N466" s="1279"/>
      <c r="O466" s="1051"/>
    </row>
    <row r="467" spans="2:15" ht="13" x14ac:dyDescent="0.3">
      <c r="B467" s="579">
        <f t="shared" si="15"/>
        <v>149</v>
      </c>
      <c r="C467" s="1079" t="s">
        <v>516</v>
      </c>
      <c r="D467" s="534" t="s">
        <v>1198</v>
      </c>
      <c r="E467" s="1224">
        <v>9671.230325045166</v>
      </c>
      <c r="F467" s="537">
        <v>0</v>
      </c>
      <c r="G467" s="1227">
        <v>478.25</v>
      </c>
      <c r="H467" s="559">
        <v>0.2299278846153846</v>
      </c>
      <c r="J467" s="1281"/>
      <c r="K467" s="1280"/>
      <c r="L467" s="1282"/>
      <c r="M467" s="1278"/>
      <c r="N467" s="1283"/>
      <c r="O467" s="1051"/>
    </row>
    <row r="468" spans="2:15" ht="13" x14ac:dyDescent="0.3">
      <c r="B468" s="579">
        <f t="shared" si="15"/>
        <v>150</v>
      </c>
      <c r="C468" s="1079" t="s">
        <v>516</v>
      </c>
      <c r="D468" s="534" t="s">
        <v>1198</v>
      </c>
      <c r="E468" s="1224">
        <v>18121.333849368162</v>
      </c>
      <c r="F468" s="537">
        <v>0</v>
      </c>
      <c r="G468" s="1227">
        <v>799.5</v>
      </c>
      <c r="H468" s="559">
        <v>0.38437500000000002</v>
      </c>
      <c r="J468" s="1276"/>
      <c r="K468" s="547"/>
      <c r="L468" s="1277"/>
      <c r="M468" s="1278"/>
      <c r="N468" s="1279"/>
      <c r="O468" s="1051"/>
    </row>
    <row r="469" spans="2:15" ht="13" x14ac:dyDescent="0.3">
      <c r="B469" s="579">
        <f t="shared" si="15"/>
        <v>151</v>
      </c>
      <c r="C469" s="1079" t="s">
        <v>516</v>
      </c>
      <c r="D469" s="534" t="s">
        <v>1198</v>
      </c>
      <c r="E469" s="1224">
        <v>1681.4964513270904</v>
      </c>
      <c r="F469" s="537">
        <v>0</v>
      </c>
      <c r="G469" s="1227">
        <v>68.25</v>
      </c>
      <c r="H469" s="559">
        <v>3.2812500000000001E-2</v>
      </c>
      <c r="J469" s="1276"/>
      <c r="K469" s="547"/>
      <c r="L469" s="1277"/>
      <c r="M469" s="1278"/>
      <c r="N469" s="1279"/>
      <c r="O469" s="1051"/>
    </row>
    <row r="470" spans="2:15" ht="13" x14ac:dyDescent="0.3">
      <c r="B470" s="579">
        <f t="shared" si="15"/>
        <v>152</v>
      </c>
      <c r="C470" s="1079" t="s">
        <v>516</v>
      </c>
      <c r="D470" s="534" t="s">
        <v>1198</v>
      </c>
      <c r="E470" s="1224">
        <v>7280.7318338830892</v>
      </c>
      <c r="F470" s="537">
        <v>0</v>
      </c>
      <c r="G470" s="1227">
        <v>281.75</v>
      </c>
      <c r="H470" s="559">
        <v>0.13545673076923076</v>
      </c>
      <c r="J470" s="1281"/>
      <c r="K470" s="1280"/>
      <c r="L470" s="1282"/>
      <c r="M470" s="1278"/>
      <c r="N470" s="1283"/>
      <c r="O470" s="1051"/>
    </row>
    <row r="471" spans="2:15" ht="13" x14ac:dyDescent="0.3">
      <c r="B471" s="579">
        <f t="shared" si="15"/>
        <v>153</v>
      </c>
      <c r="C471" s="1079" t="s">
        <v>516</v>
      </c>
      <c r="D471" s="534" t="s">
        <v>1198</v>
      </c>
      <c r="E471" s="1224">
        <v>19375.208573703956</v>
      </c>
      <c r="F471" s="537">
        <v>0</v>
      </c>
      <c r="G471" s="1227">
        <v>866.75</v>
      </c>
      <c r="H471" s="559">
        <v>0.41670673076923076</v>
      </c>
      <c r="J471" s="1276"/>
      <c r="K471" s="547"/>
      <c r="L471" s="1277"/>
      <c r="M471" s="1278"/>
      <c r="N471" s="1279"/>
      <c r="O471" s="1051"/>
    </row>
    <row r="472" spans="2:15" ht="13" x14ac:dyDescent="0.3">
      <c r="B472" s="579">
        <f t="shared" si="15"/>
        <v>154</v>
      </c>
      <c r="C472" s="1079" t="s">
        <v>516</v>
      </c>
      <c r="D472" s="534" t="s">
        <v>1198</v>
      </c>
      <c r="E472" s="1224">
        <v>43615.857204048538</v>
      </c>
      <c r="F472" s="537">
        <v>0</v>
      </c>
      <c r="G472" s="1227">
        <v>2002</v>
      </c>
      <c r="H472" s="559">
        <v>0.96250000000000002</v>
      </c>
      <c r="J472" s="1276"/>
      <c r="K472" s="547"/>
      <c r="L472" s="1277"/>
      <c r="M472" s="1278"/>
      <c r="N472" s="1279"/>
      <c r="O472" s="1051"/>
    </row>
    <row r="473" spans="2:15" ht="13" x14ac:dyDescent="0.3">
      <c r="B473" s="579">
        <f t="shared" si="15"/>
        <v>155</v>
      </c>
      <c r="C473" s="1079" t="s">
        <v>516</v>
      </c>
      <c r="D473" s="534" t="s">
        <v>1198</v>
      </c>
      <c r="E473" s="1224">
        <v>25299.015152795451</v>
      </c>
      <c r="F473" s="537">
        <v>0</v>
      </c>
      <c r="G473" s="1227">
        <v>1144.25</v>
      </c>
      <c r="H473" s="559">
        <v>0.55012019230769227</v>
      </c>
      <c r="J473" s="1281"/>
      <c r="K473" s="1280"/>
      <c r="L473" s="1282"/>
      <c r="M473" s="1278"/>
      <c r="N473" s="1283"/>
      <c r="O473" s="1051"/>
    </row>
    <row r="474" spans="2:15" ht="13" x14ac:dyDescent="0.3">
      <c r="B474" s="579">
        <f t="shared" si="15"/>
        <v>156</v>
      </c>
      <c r="C474" s="1079" t="s">
        <v>516</v>
      </c>
      <c r="D474" s="534" t="s">
        <v>1198</v>
      </c>
      <c r="E474" s="1224">
        <v>9809.6070410286356</v>
      </c>
      <c r="F474" s="537">
        <v>0</v>
      </c>
      <c r="G474" s="1227">
        <v>480.06</v>
      </c>
      <c r="H474" s="559">
        <v>0.23079807692307691</v>
      </c>
      <c r="J474" s="1276"/>
      <c r="K474" s="547"/>
      <c r="L474" s="1277"/>
      <c r="M474" s="1278"/>
      <c r="N474" s="1279"/>
      <c r="O474" s="1051"/>
    </row>
    <row r="475" spans="2:15" ht="13" x14ac:dyDescent="0.3">
      <c r="B475" s="579">
        <f t="shared" si="15"/>
        <v>157</v>
      </c>
      <c r="C475" s="1079" t="s">
        <v>516</v>
      </c>
      <c r="D475" s="534" t="s">
        <v>1198</v>
      </c>
      <c r="E475" s="1224">
        <v>8463.3445981063524</v>
      </c>
      <c r="F475" s="537">
        <v>0</v>
      </c>
      <c r="G475" s="1227">
        <v>413.64</v>
      </c>
      <c r="H475" s="559">
        <v>0.19886538461538461</v>
      </c>
      <c r="J475" s="1276"/>
      <c r="K475" s="547"/>
      <c r="L475" s="1277"/>
      <c r="M475" s="1278"/>
      <c r="N475" s="1279"/>
      <c r="O475" s="1051"/>
    </row>
    <row r="476" spans="2:15" ht="13" x14ac:dyDescent="0.3">
      <c r="B476" s="579">
        <f t="shared" si="15"/>
        <v>158</v>
      </c>
      <c r="C476" s="1079" t="s">
        <v>516</v>
      </c>
      <c r="D476" s="534" t="s">
        <v>1198</v>
      </c>
      <c r="E476" s="1224">
        <v>6861.754279588089</v>
      </c>
      <c r="F476" s="537">
        <v>0</v>
      </c>
      <c r="G476" s="1227">
        <v>260.25</v>
      </c>
      <c r="H476" s="559">
        <v>0.12512019230769231</v>
      </c>
      <c r="J476" s="1281"/>
      <c r="K476" s="1280"/>
      <c r="L476" s="1282"/>
      <c r="M476" s="1278"/>
      <c r="N476" s="1283"/>
      <c r="O476" s="1051"/>
    </row>
    <row r="477" spans="2:15" ht="13" x14ac:dyDescent="0.3">
      <c r="B477" s="579">
        <f t="shared" si="15"/>
        <v>159</v>
      </c>
      <c r="C477" s="1079" t="s">
        <v>516</v>
      </c>
      <c r="D477" s="534" t="s">
        <v>1198</v>
      </c>
      <c r="E477" s="1224">
        <v>38952.720768291074</v>
      </c>
      <c r="F477" s="537">
        <v>0</v>
      </c>
      <c r="G477" s="1227">
        <v>1835.5</v>
      </c>
      <c r="H477" s="559">
        <v>0.88245192307692311</v>
      </c>
      <c r="J477" s="1276"/>
      <c r="K477" s="547"/>
      <c r="L477" s="1277"/>
      <c r="M477" s="1278"/>
      <c r="N477" s="1279"/>
      <c r="O477" s="1051"/>
    </row>
    <row r="478" spans="2:15" ht="13" x14ac:dyDescent="0.3">
      <c r="B478" s="579">
        <f t="shared" si="15"/>
        <v>160</v>
      </c>
      <c r="C478" s="1079" t="s">
        <v>516</v>
      </c>
      <c r="D478" s="534" t="s">
        <v>1198</v>
      </c>
      <c r="E478" s="1224">
        <v>73403.946133613936</v>
      </c>
      <c r="F478" s="537">
        <v>0</v>
      </c>
      <c r="G478" s="1227">
        <v>2513.25</v>
      </c>
      <c r="H478" s="559">
        <v>1.2082932692307693</v>
      </c>
      <c r="J478" s="1276"/>
      <c r="K478" s="547"/>
      <c r="L478" s="1277"/>
      <c r="M478" s="1278"/>
      <c r="N478" s="1279"/>
      <c r="O478" s="1051"/>
    </row>
    <row r="479" spans="2:15" ht="13" x14ac:dyDescent="0.3">
      <c r="B479" s="579">
        <f t="shared" si="15"/>
        <v>161</v>
      </c>
      <c r="C479" s="1079" t="s">
        <v>516</v>
      </c>
      <c r="D479" s="534" t="s">
        <v>1198</v>
      </c>
      <c r="E479" s="1224">
        <v>30340.69639980833</v>
      </c>
      <c r="F479" s="537">
        <v>0</v>
      </c>
      <c r="G479" s="1227">
        <v>1437.7499999999998</v>
      </c>
      <c r="H479" s="559">
        <v>0.69122596153846139</v>
      </c>
      <c r="J479" s="1281"/>
      <c r="K479" s="1280"/>
      <c r="L479" s="1282"/>
      <c r="M479" s="1278"/>
      <c r="N479" s="1283"/>
      <c r="O479" s="1051"/>
    </row>
    <row r="480" spans="2:15" ht="13" x14ac:dyDescent="0.3">
      <c r="B480" s="579">
        <f t="shared" si="15"/>
        <v>162</v>
      </c>
      <c r="C480" s="1079" t="s">
        <v>516</v>
      </c>
      <c r="D480" s="534" t="s">
        <v>1198</v>
      </c>
      <c r="E480" s="1224">
        <v>44933.468961282604</v>
      </c>
      <c r="F480" s="537">
        <v>0</v>
      </c>
      <c r="G480" s="1227">
        <v>2050.25</v>
      </c>
      <c r="H480" s="559">
        <v>0.98569711538461535</v>
      </c>
      <c r="J480" s="1276"/>
      <c r="K480" s="547"/>
      <c r="L480" s="1277"/>
      <c r="M480" s="1278"/>
      <c r="N480" s="1279"/>
      <c r="O480" s="1051"/>
    </row>
    <row r="481" spans="2:15" ht="13" x14ac:dyDescent="0.3">
      <c r="B481" s="579">
        <f t="shared" si="15"/>
        <v>163</v>
      </c>
      <c r="C481" s="1079" t="s">
        <v>516</v>
      </c>
      <c r="D481" s="534" t="s">
        <v>1198</v>
      </c>
      <c r="E481" s="1224">
        <v>16153.970110005897</v>
      </c>
      <c r="F481" s="537">
        <v>0</v>
      </c>
      <c r="G481" s="1227">
        <v>768.8</v>
      </c>
      <c r="H481" s="559">
        <v>0.36961538461538457</v>
      </c>
      <c r="J481" s="1276"/>
      <c r="K481" s="547"/>
      <c r="L481" s="1277"/>
      <c r="M481" s="1278"/>
      <c r="N481" s="1279"/>
      <c r="O481" s="1051"/>
    </row>
    <row r="482" spans="2:15" ht="13" x14ac:dyDescent="0.3">
      <c r="B482" s="579">
        <f t="shared" si="15"/>
        <v>164</v>
      </c>
      <c r="C482" s="1079" t="s">
        <v>516</v>
      </c>
      <c r="D482" s="534" t="s">
        <v>1199</v>
      </c>
      <c r="E482" s="1224">
        <v>26147.003497671099</v>
      </c>
      <c r="F482" s="537">
        <v>0</v>
      </c>
      <c r="G482" s="1227">
        <v>1238.25</v>
      </c>
      <c r="H482" s="559">
        <v>0.59531250000000002</v>
      </c>
      <c r="J482" s="1281"/>
      <c r="K482" s="1280"/>
      <c r="L482" s="1282"/>
      <c r="M482" s="1278"/>
      <c r="N482" s="1283"/>
      <c r="O482" s="1051"/>
    </row>
    <row r="483" spans="2:15" ht="13" x14ac:dyDescent="0.3">
      <c r="B483" s="579">
        <f t="shared" si="15"/>
        <v>165</v>
      </c>
      <c r="C483" s="1079" t="s">
        <v>516</v>
      </c>
      <c r="D483" s="534" t="s">
        <v>1199</v>
      </c>
      <c r="E483" s="1224">
        <v>926.37550167310258</v>
      </c>
      <c r="F483" s="537">
        <v>0</v>
      </c>
      <c r="G483" s="1227">
        <v>36.179999999999993</v>
      </c>
      <c r="H483" s="559">
        <v>1.7394230769230766E-2</v>
      </c>
      <c r="J483" s="1276"/>
      <c r="K483" s="547"/>
      <c r="L483" s="1277"/>
      <c r="M483" s="1278"/>
      <c r="N483" s="1279"/>
      <c r="O483" s="1051"/>
    </row>
    <row r="484" spans="2:15" ht="13" x14ac:dyDescent="0.3">
      <c r="B484" s="579">
        <f t="shared" si="15"/>
        <v>166</v>
      </c>
      <c r="C484" s="1079" t="s">
        <v>516</v>
      </c>
      <c r="D484" s="534" t="s">
        <v>1199</v>
      </c>
      <c r="E484" s="1224">
        <v>272.81608625324384</v>
      </c>
      <c r="F484" s="537">
        <v>0</v>
      </c>
      <c r="G484" s="1227">
        <v>13</v>
      </c>
      <c r="H484" s="559">
        <v>6.2500000000000003E-3</v>
      </c>
      <c r="J484" s="1276"/>
      <c r="K484" s="547"/>
      <c r="L484" s="1277"/>
      <c r="M484" s="1278"/>
      <c r="N484" s="1279"/>
      <c r="O484" s="1051"/>
    </row>
    <row r="485" spans="2:15" ht="13" x14ac:dyDescent="0.3">
      <c r="B485" s="579">
        <f t="shared" si="15"/>
        <v>167</v>
      </c>
      <c r="C485" s="1079" t="s">
        <v>516</v>
      </c>
      <c r="D485" s="534" t="s">
        <v>1199</v>
      </c>
      <c r="E485" s="1224">
        <v>7419.3483881841412</v>
      </c>
      <c r="F485" s="537">
        <v>0</v>
      </c>
      <c r="G485" s="1227">
        <v>342.09</v>
      </c>
      <c r="H485" s="559">
        <v>0.16446634615384614</v>
      </c>
      <c r="J485" s="1281"/>
      <c r="K485" s="1280"/>
      <c r="L485" s="1282"/>
      <c r="M485" s="1278"/>
      <c r="N485" s="1283"/>
      <c r="O485" s="1051"/>
    </row>
    <row r="486" spans="2:15" ht="13" x14ac:dyDescent="0.3">
      <c r="B486" s="579">
        <f t="shared" si="15"/>
        <v>168</v>
      </c>
      <c r="C486" s="1079" t="s">
        <v>516</v>
      </c>
      <c r="D486" s="534" t="s">
        <v>1199</v>
      </c>
      <c r="E486" s="1224">
        <v>37728.725901021142</v>
      </c>
      <c r="F486" s="537">
        <v>0</v>
      </c>
      <c r="G486" s="1227">
        <v>1765.18</v>
      </c>
      <c r="H486" s="559">
        <v>0.84864423076923079</v>
      </c>
      <c r="J486" s="1276"/>
      <c r="K486" s="547"/>
      <c r="L486" s="1277"/>
      <c r="M486" s="1278"/>
      <c r="N486" s="1279"/>
      <c r="O486" s="1051"/>
    </row>
    <row r="487" spans="2:15" ht="13" x14ac:dyDescent="0.3">
      <c r="B487" s="579">
        <f t="shared" si="15"/>
        <v>169</v>
      </c>
      <c r="C487" s="1079" t="s">
        <v>516</v>
      </c>
      <c r="D487" s="534" t="s">
        <v>1199</v>
      </c>
      <c r="E487" s="1224">
        <v>2328.6401917515432</v>
      </c>
      <c r="F487" s="537">
        <v>0</v>
      </c>
      <c r="G487" s="1227">
        <v>111.50999999999999</v>
      </c>
      <c r="H487" s="559">
        <v>5.3610576923076921E-2</v>
      </c>
      <c r="J487" s="1276"/>
      <c r="K487" s="547"/>
      <c r="L487" s="1277"/>
      <c r="M487" s="1278"/>
      <c r="N487" s="1279"/>
      <c r="O487" s="1051"/>
    </row>
    <row r="488" spans="2:15" ht="13" x14ac:dyDescent="0.3">
      <c r="B488" s="579">
        <f t="shared" si="15"/>
        <v>170</v>
      </c>
      <c r="C488" s="1079" t="s">
        <v>516</v>
      </c>
      <c r="D488" s="534" t="s">
        <v>1199</v>
      </c>
      <c r="E488" s="1224">
        <v>7754.7722685903746</v>
      </c>
      <c r="F488" s="537">
        <v>0</v>
      </c>
      <c r="G488" s="1227">
        <v>387.75</v>
      </c>
      <c r="H488" s="559">
        <v>0.18641826923076923</v>
      </c>
      <c r="J488" s="1281"/>
      <c r="K488" s="1280"/>
      <c r="L488" s="1282"/>
      <c r="M488" s="1278"/>
      <c r="N488" s="1283"/>
      <c r="O488" s="1051"/>
    </row>
    <row r="489" spans="2:15" ht="13" x14ac:dyDescent="0.3">
      <c r="B489" s="579">
        <f t="shared" si="15"/>
        <v>171</v>
      </c>
      <c r="C489" s="1079" t="s">
        <v>516</v>
      </c>
      <c r="D489" s="534" t="s">
        <v>1199</v>
      </c>
      <c r="E489" s="1224">
        <v>45788.072846418334</v>
      </c>
      <c r="F489" s="537">
        <v>0</v>
      </c>
      <c r="G489" s="1227">
        <v>2072</v>
      </c>
      <c r="H489" s="559">
        <v>0.99615384615384617</v>
      </c>
      <c r="J489" s="1276"/>
      <c r="K489" s="547"/>
      <c r="L489" s="1277"/>
      <c r="M489" s="1278"/>
      <c r="N489" s="1279"/>
      <c r="O489" s="1051"/>
    </row>
    <row r="490" spans="2:15" ht="13" x14ac:dyDescent="0.3">
      <c r="B490" s="579">
        <f t="shared" si="15"/>
        <v>172</v>
      </c>
      <c r="C490" s="1079" t="s">
        <v>516</v>
      </c>
      <c r="D490" s="534" t="s">
        <v>1199</v>
      </c>
      <c r="E490" s="1224">
        <v>16153.890163900036</v>
      </c>
      <c r="F490" s="537">
        <v>0</v>
      </c>
      <c r="G490" s="1227">
        <v>722.75</v>
      </c>
      <c r="H490" s="559">
        <v>0.34747596153846155</v>
      </c>
      <c r="J490" s="1276"/>
      <c r="K490" s="547"/>
      <c r="L490" s="1277"/>
      <c r="M490" s="1278"/>
      <c r="N490" s="1279"/>
      <c r="O490" s="1051"/>
    </row>
    <row r="491" spans="2:15" ht="13" x14ac:dyDescent="0.3">
      <c r="B491" s="579">
        <f t="shared" si="15"/>
        <v>173</v>
      </c>
      <c r="C491" s="1079" t="s">
        <v>516</v>
      </c>
      <c r="D491" s="534" t="s">
        <v>1199</v>
      </c>
      <c r="E491" s="1224">
        <v>39150.847205142956</v>
      </c>
      <c r="F491" s="537">
        <v>0</v>
      </c>
      <c r="G491" s="1227">
        <v>1815.5</v>
      </c>
      <c r="H491" s="559">
        <v>0.87283653846153841</v>
      </c>
      <c r="J491" s="1281"/>
      <c r="K491" s="1280"/>
      <c r="L491" s="1282"/>
      <c r="M491" s="1278"/>
      <c r="N491" s="1283"/>
      <c r="O491" s="1051"/>
    </row>
    <row r="492" spans="2:15" ht="13" x14ac:dyDescent="0.3">
      <c r="B492" s="579">
        <f t="shared" si="15"/>
        <v>174</v>
      </c>
      <c r="C492" s="1079" t="s">
        <v>516</v>
      </c>
      <c r="D492" s="534" t="s">
        <v>1199</v>
      </c>
      <c r="E492" s="1224">
        <v>39957.693285289504</v>
      </c>
      <c r="F492" s="537">
        <v>0</v>
      </c>
      <c r="G492" s="1227">
        <v>1818</v>
      </c>
      <c r="H492" s="559">
        <v>0.87403846153846154</v>
      </c>
      <c r="J492" s="1276"/>
      <c r="K492" s="547"/>
      <c r="L492" s="1277"/>
      <c r="M492" s="1278"/>
      <c r="N492" s="1279"/>
      <c r="O492" s="1051"/>
    </row>
    <row r="493" spans="2:15" ht="13" x14ac:dyDescent="0.3">
      <c r="B493" s="579">
        <f t="shared" si="15"/>
        <v>175</v>
      </c>
      <c r="C493" s="1079" t="s">
        <v>516</v>
      </c>
      <c r="D493" s="534" t="s">
        <v>1199</v>
      </c>
      <c r="E493" s="1224">
        <v>48324.672846042755</v>
      </c>
      <c r="F493" s="537">
        <v>0</v>
      </c>
      <c r="G493" s="1227">
        <v>2157.25</v>
      </c>
      <c r="H493" s="559">
        <v>1.0371394230769231</v>
      </c>
      <c r="J493" s="1276"/>
      <c r="K493" s="547"/>
      <c r="L493" s="1277"/>
      <c r="M493" s="1278"/>
      <c r="N493" s="1279"/>
      <c r="O493" s="1051"/>
    </row>
    <row r="494" spans="2:15" ht="13" x14ac:dyDescent="0.3">
      <c r="B494" s="579">
        <f t="shared" si="15"/>
        <v>176</v>
      </c>
      <c r="C494" s="1079" t="s">
        <v>516</v>
      </c>
      <c r="D494" s="534" t="s">
        <v>1199</v>
      </c>
      <c r="E494" s="1224">
        <v>10227.98499952967</v>
      </c>
      <c r="F494" s="537">
        <v>0</v>
      </c>
      <c r="G494" s="1227">
        <v>451.5</v>
      </c>
      <c r="H494" s="559">
        <v>0.2170673076923077</v>
      </c>
      <c r="J494" s="1281"/>
      <c r="K494" s="1280"/>
      <c r="L494" s="1282"/>
      <c r="M494" s="1278"/>
      <c r="N494" s="1283"/>
      <c r="O494" s="1051"/>
    </row>
    <row r="495" spans="2:15" ht="13" x14ac:dyDescent="0.3">
      <c r="B495" s="579">
        <f t="shared" si="15"/>
        <v>177</v>
      </c>
      <c r="C495" s="1079" t="s">
        <v>516</v>
      </c>
      <c r="D495" s="534" t="s">
        <v>1199</v>
      </c>
      <c r="E495" s="1224">
        <v>25035.82257903531</v>
      </c>
      <c r="F495" s="537">
        <v>0</v>
      </c>
      <c r="G495" s="1227">
        <v>1194.2</v>
      </c>
      <c r="H495" s="559">
        <v>0.57413461538461541</v>
      </c>
      <c r="J495" s="1276"/>
      <c r="K495" s="547"/>
      <c r="L495" s="1277"/>
      <c r="M495" s="1278"/>
      <c r="N495" s="1279"/>
      <c r="O495" s="1051"/>
    </row>
    <row r="496" spans="2:15" ht="13" x14ac:dyDescent="0.3">
      <c r="B496" s="579">
        <f t="shared" si="15"/>
        <v>178</v>
      </c>
      <c r="C496" s="1079" t="s">
        <v>516</v>
      </c>
      <c r="D496" s="534" t="s">
        <v>1200</v>
      </c>
      <c r="E496" s="1224">
        <v>201.43420698192804</v>
      </c>
      <c r="F496" s="537">
        <v>0</v>
      </c>
      <c r="G496" s="1227">
        <v>7.5</v>
      </c>
      <c r="H496" s="559">
        <v>3.605769230769231E-3</v>
      </c>
      <c r="J496" s="1276"/>
      <c r="K496" s="547"/>
      <c r="L496" s="1277"/>
      <c r="M496" s="1278"/>
      <c r="N496" s="1279"/>
      <c r="O496" s="1051"/>
    </row>
    <row r="497" spans="2:15" ht="13" x14ac:dyDescent="0.3">
      <c r="B497" s="579">
        <f t="shared" si="15"/>
        <v>179</v>
      </c>
      <c r="C497" s="1079" t="s">
        <v>516</v>
      </c>
      <c r="D497" s="534" t="s">
        <v>1201</v>
      </c>
      <c r="E497" s="1224">
        <v>69891.893716580526</v>
      </c>
      <c r="F497" s="537">
        <v>0</v>
      </c>
      <c r="G497" s="1227">
        <v>1447.5759999999998</v>
      </c>
      <c r="H497" s="559">
        <v>0.69594999999999985</v>
      </c>
      <c r="J497" s="1281"/>
      <c r="K497" s="1280"/>
      <c r="L497" s="1282"/>
      <c r="M497" s="1278"/>
      <c r="N497" s="1283"/>
      <c r="O497" s="1051"/>
    </row>
    <row r="498" spans="2:15" ht="13" x14ac:dyDescent="0.3">
      <c r="B498" s="579">
        <f t="shared" si="15"/>
        <v>180</v>
      </c>
      <c r="C498" s="1079" t="s">
        <v>516</v>
      </c>
      <c r="D498" s="534" t="s">
        <v>1201</v>
      </c>
      <c r="E498" s="1224">
        <v>65816.421118486367</v>
      </c>
      <c r="F498" s="537">
        <v>0</v>
      </c>
      <c r="G498" s="1227">
        <v>1454.3999999999994</v>
      </c>
      <c r="H498" s="559">
        <v>0.69923076923076899</v>
      </c>
      <c r="J498" s="579"/>
      <c r="L498" s="741"/>
      <c r="M498" s="1278"/>
      <c r="N498" s="1236"/>
      <c r="O498" s="1051"/>
    </row>
    <row r="499" spans="2:15" ht="13" x14ac:dyDescent="0.3">
      <c r="B499" s="579">
        <f t="shared" si="15"/>
        <v>181</v>
      </c>
      <c r="C499" s="1079" t="s">
        <v>516</v>
      </c>
      <c r="D499" s="534" t="s">
        <v>1201</v>
      </c>
      <c r="E499" s="1224">
        <v>91938.521404181549</v>
      </c>
      <c r="F499" s="537">
        <v>0</v>
      </c>
      <c r="G499" s="1227">
        <v>2080</v>
      </c>
      <c r="H499" s="559">
        <v>1</v>
      </c>
      <c r="J499" s="1276"/>
      <c r="K499" s="547"/>
      <c r="L499" s="1277"/>
      <c r="M499" s="1278"/>
      <c r="N499" s="1279"/>
      <c r="O499" s="1051"/>
    </row>
    <row r="500" spans="2:15" ht="13" x14ac:dyDescent="0.3">
      <c r="B500" s="579">
        <f t="shared" si="15"/>
        <v>182</v>
      </c>
      <c r="C500" s="1079" t="s">
        <v>516</v>
      </c>
      <c r="D500" s="534" t="s">
        <v>1201</v>
      </c>
      <c r="E500" s="1224">
        <v>6482.1801622197017</v>
      </c>
      <c r="F500" s="537">
        <v>0</v>
      </c>
      <c r="G500" s="1227">
        <v>120</v>
      </c>
      <c r="H500" s="559">
        <v>5.7692307692307696E-2</v>
      </c>
      <c r="J500" s="1281"/>
      <c r="K500" s="1280"/>
      <c r="L500" s="1282"/>
      <c r="M500" s="1278"/>
      <c r="N500" s="1283"/>
      <c r="O500" s="1051"/>
    </row>
    <row r="501" spans="2:15" ht="13" x14ac:dyDescent="0.3">
      <c r="B501" s="579">
        <f t="shared" si="15"/>
        <v>183</v>
      </c>
      <c r="C501" s="1079" t="s">
        <v>516</v>
      </c>
      <c r="D501" s="534" t="s">
        <v>1201</v>
      </c>
      <c r="E501" s="1224">
        <v>91842.296272513588</v>
      </c>
      <c r="F501" s="537">
        <v>0</v>
      </c>
      <c r="G501" s="1227">
        <v>2080</v>
      </c>
      <c r="H501" s="559">
        <v>1</v>
      </c>
      <c r="J501" s="1276"/>
      <c r="K501" s="547"/>
      <c r="L501" s="1277"/>
      <c r="M501" s="1278"/>
      <c r="N501" s="1279"/>
      <c r="O501" s="1051"/>
    </row>
    <row r="502" spans="2:15" ht="13" x14ac:dyDescent="0.3">
      <c r="B502" s="579">
        <f t="shared" si="15"/>
        <v>184</v>
      </c>
      <c r="C502" s="1079" t="s">
        <v>516</v>
      </c>
      <c r="D502" s="534" t="s">
        <v>1201</v>
      </c>
      <c r="E502" s="1224">
        <v>100472.69825208141</v>
      </c>
      <c r="F502" s="537">
        <v>0</v>
      </c>
      <c r="G502" s="1227">
        <v>2044.0143999999998</v>
      </c>
      <c r="H502" s="559">
        <v>0.98269923076923071</v>
      </c>
      <c r="J502" s="1276"/>
      <c r="K502" s="547"/>
      <c r="L502" s="1277"/>
      <c r="M502" s="1278"/>
      <c r="N502" s="1279"/>
      <c r="O502" s="1051"/>
    </row>
    <row r="503" spans="2:15" ht="13" x14ac:dyDescent="0.3">
      <c r="B503" s="579">
        <f t="shared" si="15"/>
        <v>185</v>
      </c>
      <c r="C503" s="1079" t="s">
        <v>516</v>
      </c>
      <c r="D503" s="534" t="s">
        <v>1202</v>
      </c>
      <c r="E503" s="1224">
        <v>12224.858845218172</v>
      </c>
      <c r="F503" s="537">
        <v>0</v>
      </c>
      <c r="G503" s="1227">
        <v>496.03339199999999</v>
      </c>
      <c r="H503" s="559">
        <v>0.2384775923076923</v>
      </c>
      <c r="J503" s="579"/>
      <c r="L503" s="741"/>
      <c r="M503" s="1278"/>
      <c r="N503" s="1236"/>
      <c r="O503" s="1051"/>
    </row>
    <row r="504" spans="2:15" ht="13" x14ac:dyDescent="0.3">
      <c r="B504" s="579">
        <f t="shared" si="15"/>
        <v>186</v>
      </c>
      <c r="C504" s="1079" t="s">
        <v>516</v>
      </c>
      <c r="D504" s="534" t="s">
        <v>1202</v>
      </c>
      <c r="E504" s="1224">
        <v>15829.089122310188</v>
      </c>
      <c r="F504" s="537">
        <v>0</v>
      </c>
      <c r="G504" s="1227">
        <v>594.67059999999992</v>
      </c>
      <c r="H504" s="559">
        <v>0.2858993269230769</v>
      </c>
      <c r="J504" s="1281"/>
      <c r="K504" s="1280"/>
      <c r="L504" s="1282"/>
      <c r="M504" s="1278"/>
      <c r="N504" s="1283"/>
      <c r="O504" s="1051"/>
    </row>
    <row r="505" spans="2:15" ht="13" x14ac:dyDescent="0.3">
      <c r="B505" s="579">
        <f t="shared" si="15"/>
        <v>187</v>
      </c>
      <c r="C505" s="1079" t="s">
        <v>516</v>
      </c>
      <c r="D505" s="534" t="s">
        <v>1203</v>
      </c>
      <c r="E505" s="1224">
        <v>44836.024651500418</v>
      </c>
      <c r="F505" s="537">
        <v>0</v>
      </c>
      <c r="G505" s="1227">
        <v>1894</v>
      </c>
      <c r="H505" s="559">
        <v>0.91057692307692306</v>
      </c>
      <c r="J505" s="1276"/>
      <c r="K505" s="547"/>
      <c r="L505" s="1277"/>
      <c r="M505" s="1278"/>
      <c r="N505" s="1279"/>
      <c r="O505" s="1051"/>
    </row>
    <row r="506" spans="2:15" ht="13" x14ac:dyDescent="0.3">
      <c r="B506" s="579">
        <f t="shared" si="15"/>
        <v>188</v>
      </c>
      <c r="C506" s="1079" t="s">
        <v>516</v>
      </c>
      <c r="D506" s="534" t="s">
        <v>1203</v>
      </c>
      <c r="E506" s="1224">
        <v>25990.219190812975</v>
      </c>
      <c r="F506" s="537">
        <v>0</v>
      </c>
      <c r="G506" s="1227">
        <v>1049.25</v>
      </c>
      <c r="H506" s="559">
        <v>0.5044471153846154</v>
      </c>
      <c r="J506" s="1276"/>
      <c r="K506" s="547"/>
      <c r="L506" s="1277"/>
      <c r="M506" s="1278"/>
      <c r="N506" s="1279"/>
      <c r="O506" s="1051"/>
    </row>
    <row r="507" spans="2:15" ht="13" x14ac:dyDescent="0.3">
      <c r="B507" s="579">
        <f t="shared" si="15"/>
        <v>189</v>
      </c>
      <c r="C507" s="1079" t="s">
        <v>516</v>
      </c>
      <c r="D507" s="534" t="s">
        <v>1203</v>
      </c>
      <c r="E507" s="1224">
        <v>81632.259173749975</v>
      </c>
      <c r="F507" s="537">
        <v>0</v>
      </c>
      <c r="G507" s="1227">
        <v>2684.75</v>
      </c>
      <c r="H507" s="559">
        <v>1.2907451923076922</v>
      </c>
      <c r="J507" s="1281"/>
      <c r="K507" s="1280"/>
      <c r="L507" s="1282"/>
      <c r="M507" s="1278"/>
      <c r="N507" s="1283"/>
      <c r="O507" s="1051"/>
    </row>
    <row r="508" spans="2:15" ht="13" x14ac:dyDescent="0.3">
      <c r="B508" s="579">
        <f t="shared" si="15"/>
        <v>190</v>
      </c>
      <c r="C508" s="1079" t="s">
        <v>516</v>
      </c>
      <c r="D508" s="534" t="s">
        <v>1203</v>
      </c>
      <c r="E508" s="1224">
        <v>36769.252711521258</v>
      </c>
      <c r="F508" s="537">
        <v>0</v>
      </c>
      <c r="G508" s="1227">
        <v>1528.7499999999995</v>
      </c>
      <c r="H508" s="559">
        <v>0.73497596153846134</v>
      </c>
      <c r="J508" s="1276"/>
      <c r="K508" s="547"/>
      <c r="L508" s="1277"/>
      <c r="M508" s="1278"/>
      <c r="N508" s="1279"/>
      <c r="O508" s="1051"/>
    </row>
    <row r="509" spans="2:15" ht="13" x14ac:dyDescent="0.3">
      <c r="B509" s="579">
        <f t="shared" si="15"/>
        <v>191</v>
      </c>
      <c r="C509" s="1079" t="s">
        <v>516</v>
      </c>
      <c r="D509" s="534" t="s">
        <v>1203</v>
      </c>
      <c r="E509" s="1224">
        <v>56672.105583912846</v>
      </c>
      <c r="F509" s="537">
        <v>0</v>
      </c>
      <c r="G509" s="1227">
        <v>2176.2500000000005</v>
      </c>
      <c r="H509" s="559">
        <v>1.0462740384615388</v>
      </c>
      <c r="J509" s="1276"/>
      <c r="K509" s="547"/>
      <c r="L509" s="1277"/>
      <c r="M509" s="1278"/>
      <c r="N509" s="1279"/>
      <c r="O509" s="1051"/>
    </row>
    <row r="510" spans="2:15" ht="13" x14ac:dyDescent="0.3">
      <c r="B510" s="579">
        <f t="shared" si="15"/>
        <v>192</v>
      </c>
      <c r="C510" s="1079" t="s">
        <v>516</v>
      </c>
      <c r="D510" s="534" t="s">
        <v>1203</v>
      </c>
      <c r="E510" s="1224">
        <v>54944.790020663728</v>
      </c>
      <c r="F510" s="537">
        <v>0</v>
      </c>
      <c r="G510" s="1227">
        <v>2166.75</v>
      </c>
      <c r="H510" s="559">
        <v>1.0417067307692307</v>
      </c>
      <c r="J510" s="1281"/>
      <c r="K510" s="1280"/>
      <c r="L510" s="1282"/>
      <c r="M510" s="1278"/>
      <c r="N510" s="1283"/>
      <c r="O510" s="1051"/>
    </row>
    <row r="511" spans="2:15" ht="13" x14ac:dyDescent="0.3">
      <c r="B511" s="579">
        <f t="shared" si="15"/>
        <v>193</v>
      </c>
      <c r="C511" s="1079" t="s">
        <v>516</v>
      </c>
      <c r="D511" s="534" t="s">
        <v>1203</v>
      </c>
      <c r="E511" s="1224">
        <v>45341.683771075957</v>
      </c>
      <c r="F511" s="537">
        <v>0</v>
      </c>
      <c r="G511" s="1227">
        <v>1678.2500000000016</v>
      </c>
      <c r="H511" s="559">
        <v>0.80685096153846225</v>
      </c>
      <c r="J511" s="1276"/>
      <c r="K511" s="547"/>
      <c r="L511" s="1277"/>
      <c r="M511" s="1278"/>
      <c r="N511" s="1279"/>
      <c r="O511" s="1051"/>
    </row>
    <row r="512" spans="2:15" ht="13" x14ac:dyDescent="0.3">
      <c r="B512" s="579">
        <f t="shared" si="15"/>
        <v>194</v>
      </c>
      <c r="C512" s="1079" t="s">
        <v>516</v>
      </c>
      <c r="D512" s="534" t="s">
        <v>1204</v>
      </c>
      <c r="E512" s="1224">
        <v>2865.3184004015143</v>
      </c>
      <c r="F512" s="537">
        <v>0</v>
      </c>
      <c r="G512" s="1227">
        <v>132.5</v>
      </c>
      <c r="H512" s="559">
        <v>6.3701923076923073E-2</v>
      </c>
      <c r="J512" s="1276"/>
      <c r="K512" s="547"/>
      <c r="L512" s="1277"/>
      <c r="M512" s="537"/>
      <c r="N512" s="1279"/>
      <c r="O512" s="1051"/>
    </row>
    <row r="513" spans="2:15" ht="13" x14ac:dyDescent="0.3">
      <c r="B513" s="579">
        <f t="shared" ref="B513:B575" si="16">+B512+1</f>
        <v>195</v>
      </c>
      <c r="C513" s="1079" t="s">
        <v>516</v>
      </c>
      <c r="D513" s="534" t="s">
        <v>1204</v>
      </c>
      <c r="E513" s="1224">
        <v>55896.498444631754</v>
      </c>
      <c r="F513" s="537">
        <v>0</v>
      </c>
      <c r="G513" s="1227">
        <v>2491.25</v>
      </c>
      <c r="H513" s="559">
        <v>1.1977163461538463</v>
      </c>
      <c r="J513" s="1281"/>
      <c r="K513" s="1280"/>
      <c r="L513" s="1282"/>
      <c r="M513" s="537"/>
      <c r="N513" s="1283"/>
      <c r="O513" s="1051"/>
    </row>
    <row r="514" spans="2:15" ht="13" x14ac:dyDescent="0.3">
      <c r="B514" s="579">
        <f t="shared" si="16"/>
        <v>196</v>
      </c>
      <c r="C514" s="1079" t="s">
        <v>516</v>
      </c>
      <c r="D514" s="534" t="s">
        <v>1204</v>
      </c>
      <c r="E514" s="1224">
        <v>6752.2081280310176</v>
      </c>
      <c r="F514" s="537">
        <v>0</v>
      </c>
      <c r="G514" s="1227">
        <v>280.75</v>
      </c>
      <c r="H514" s="559">
        <v>0.13497596153846153</v>
      </c>
      <c r="J514" s="1276"/>
      <c r="K514" s="547"/>
      <c r="L514" s="1277"/>
      <c r="M514" s="537"/>
      <c r="N514" s="1279"/>
      <c r="O514" s="1051"/>
    </row>
    <row r="515" spans="2:15" ht="13" x14ac:dyDescent="0.3">
      <c r="B515" s="579">
        <f t="shared" si="16"/>
        <v>197</v>
      </c>
      <c r="C515" s="1079" t="s">
        <v>516</v>
      </c>
      <c r="D515" s="534" t="s">
        <v>1204</v>
      </c>
      <c r="E515" s="1224">
        <v>4986.6383531270576</v>
      </c>
      <c r="F515" s="537">
        <v>0</v>
      </c>
      <c r="G515" s="1227">
        <v>249.5</v>
      </c>
      <c r="H515" s="559">
        <v>0.11995192307692308</v>
      </c>
      <c r="J515" s="1276"/>
      <c r="K515" s="547"/>
      <c r="L515" s="1277"/>
      <c r="M515" s="1278"/>
      <c r="N515" s="1279"/>
      <c r="O515" s="1051"/>
    </row>
    <row r="516" spans="2:15" ht="13" x14ac:dyDescent="0.3">
      <c r="B516" s="579">
        <f t="shared" si="16"/>
        <v>198</v>
      </c>
      <c r="C516" s="1079" t="s">
        <v>516</v>
      </c>
      <c r="D516" s="534" t="s">
        <v>1204</v>
      </c>
      <c r="E516" s="1224">
        <v>2590.4536951855625</v>
      </c>
      <c r="F516" s="537">
        <v>0</v>
      </c>
      <c r="G516" s="1227">
        <v>103.36</v>
      </c>
      <c r="H516" s="559">
        <v>4.9692307692307695E-2</v>
      </c>
      <c r="J516" s="1281"/>
      <c r="K516" s="1280"/>
      <c r="L516" s="1282"/>
      <c r="M516" s="1278"/>
      <c r="N516" s="1283"/>
      <c r="O516" s="1051"/>
    </row>
    <row r="517" spans="2:15" ht="13" x14ac:dyDescent="0.3">
      <c r="B517" s="579">
        <f t="shared" si="16"/>
        <v>199</v>
      </c>
      <c r="C517" s="1079" t="s">
        <v>516</v>
      </c>
      <c r="D517" s="534" t="s">
        <v>1204</v>
      </c>
      <c r="E517" s="1224">
        <v>29791.796430224742</v>
      </c>
      <c r="F517" s="537">
        <v>0</v>
      </c>
      <c r="G517" s="1227">
        <v>1441.59</v>
      </c>
      <c r="H517" s="559">
        <v>0.69307211538461533</v>
      </c>
      <c r="J517" s="579"/>
      <c r="L517" s="741"/>
      <c r="M517" s="1278"/>
      <c r="N517" s="1236"/>
      <c r="O517" s="1051"/>
    </row>
    <row r="518" spans="2:15" ht="13" x14ac:dyDescent="0.3">
      <c r="B518" s="579">
        <f t="shared" si="16"/>
        <v>200</v>
      </c>
      <c r="C518" s="1079" t="s">
        <v>516</v>
      </c>
      <c r="D518" s="534" t="s">
        <v>1204</v>
      </c>
      <c r="E518" s="1224">
        <v>29632.533794084884</v>
      </c>
      <c r="F518" s="537">
        <v>0</v>
      </c>
      <c r="G518" s="1227">
        <v>1423.7142859999999</v>
      </c>
      <c r="H518" s="559">
        <v>0.68447802211538455</v>
      </c>
      <c r="J518" s="1276"/>
      <c r="K518" s="547"/>
      <c r="L518" s="1277"/>
      <c r="M518" s="1278"/>
      <c r="N518" s="1279"/>
      <c r="O518" s="1051"/>
    </row>
    <row r="519" spans="2:15" ht="13" x14ac:dyDescent="0.3">
      <c r="B519" s="579">
        <f t="shared" si="16"/>
        <v>201</v>
      </c>
      <c r="C519" s="1079" t="s">
        <v>516</v>
      </c>
      <c r="D519" s="534" t="s">
        <v>1204</v>
      </c>
      <c r="E519" s="1224">
        <v>44363.892930070535</v>
      </c>
      <c r="F519" s="537">
        <v>0</v>
      </c>
      <c r="G519" s="1227">
        <v>2106.5</v>
      </c>
      <c r="H519" s="559">
        <v>1.0127403846153846</v>
      </c>
      <c r="J519" s="1281"/>
      <c r="K519" s="1280"/>
      <c r="L519" s="1282"/>
      <c r="M519" s="1278"/>
      <c r="N519" s="1283"/>
      <c r="O519" s="1051"/>
    </row>
    <row r="520" spans="2:15" ht="13" x14ac:dyDescent="0.3">
      <c r="B520" s="579">
        <f t="shared" si="16"/>
        <v>202</v>
      </c>
      <c r="C520" s="1079" t="s">
        <v>516</v>
      </c>
      <c r="D520" s="534" t="s">
        <v>1204</v>
      </c>
      <c r="E520" s="1224">
        <v>8347.2728456583154</v>
      </c>
      <c r="F520" s="537">
        <v>0</v>
      </c>
      <c r="G520" s="1227">
        <v>384.02</v>
      </c>
      <c r="H520" s="559">
        <v>0.18462499999999998</v>
      </c>
      <c r="J520" s="1276"/>
      <c r="K520" s="547"/>
      <c r="L520" s="1277"/>
      <c r="M520" s="1278"/>
      <c r="N520" s="1279"/>
      <c r="O520" s="1051"/>
    </row>
    <row r="521" spans="2:15" ht="13" x14ac:dyDescent="0.3">
      <c r="B521" s="579">
        <f t="shared" si="16"/>
        <v>203</v>
      </c>
      <c r="C521" s="1079" t="s">
        <v>516</v>
      </c>
      <c r="D521" s="534" t="s">
        <v>1204</v>
      </c>
      <c r="E521" s="1224">
        <v>4097.2379254150173</v>
      </c>
      <c r="F521" s="537">
        <v>0</v>
      </c>
      <c r="G521" s="1227">
        <v>204</v>
      </c>
      <c r="H521" s="559">
        <v>9.8076923076923075E-2</v>
      </c>
      <c r="J521" s="579"/>
      <c r="L521" s="741"/>
      <c r="M521" s="1278"/>
      <c r="N521" s="1236"/>
      <c r="O521" s="1051"/>
    </row>
    <row r="522" spans="2:15" ht="13" x14ac:dyDescent="0.3">
      <c r="B522" s="579">
        <f t="shared" si="16"/>
        <v>204</v>
      </c>
      <c r="C522" s="1079" t="s">
        <v>516</v>
      </c>
      <c r="D522" s="534" t="s">
        <v>1204</v>
      </c>
      <c r="E522" s="1224">
        <v>51702.395818701982</v>
      </c>
      <c r="F522" s="537">
        <v>0</v>
      </c>
      <c r="G522" s="1227">
        <v>2302.75</v>
      </c>
      <c r="H522" s="559">
        <v>1.1070913461538461</v>
      </c>
      <c r="J522" s="1281"/>
      <c r="K522" s="1280"/>
      <c r="L522" s="1282"/>
      <c r="M522" s="1278"/>
      <c r="N522" s="1283"/>
      <c r="O522" s="1051"/>
    </row>
    <row r="523" spans="2:15" ht="13" x14ac:dyDescent="0.3">
      <c r="B523" s="579">
        <f t="shared" si="16"/>
        <v>205</v>
      </c>
      <c r="C523" s="1079" t="s">
        <v>516</v>
      </c>
      <c r="D523" s="534" t="s">
        <v>1204</v>
      </c>
      <c r="E523" s="1224">
        <v>14633.295243882963</v>
      </c>
      <c r="F523" s="537">
        <v>0</v>
      </c>
      <c r="G523" s="1227">
        <v>648.75</v>
      </c>
      <c r="H523" s="559">
        <v>0.31189903846153844</v>
      </c>
      <c r="J523" s="1276"/>
      <c r="K523" s="547"/>
      <c r="L523" s="1277"/>
      <c r="M523" s="1278"/>
      <c r="N523" s="1279"/>
      <c r="O523" s="1051"/>
    </row>
    <row r="524" spans="2:15" ht="13" x14ac:dyDescent="0.3">
      <c r="B524" s="579">
        <f t="shared" si="16"/>
        <v>206</v>
      </c>
      <c r="C524" s="1079" t="s">
        <v>516</v>
      </c>
      <c r="D524" s="534" t="s">
        <v>1204</v>
      </c>
      <c r="E524" s="1224">
        <v>21627.260396039936</v>
      </c>
      <c r="F524" s="537">
        <v>0</v>
      </c>
      <c r="G524" s="1227">
        <v>1038.73</v>
      </c>
      <c r="H524" s="559">
        <v>0.49938942307692308</v>
      </c>
      <c r="J524" s="1276"/>
      <c r="K524" s="547"/>
      <c r="L524" s="1277"/>
      <c r="M524" s="1278"/>
      <c r="N524" s="1279"/>
      <c r="O524" s="1051"/>
    </row>
    <row r="525" spans="2:15" ht="13" x14ac:dyDescent="0.3">
      <c r="B525" s="579">
        <f t="shared" si="16"/>
        <v>207</v>
      </c>
      <c r="C525" s="1079" t="s">
        <v>516</v>
      </c>
      <c r="D525" s="534" t="s">
        <v>1204</v>
      </c>
      <c r="E525" s="1224">
        <v>3362.982909390948</v>
      </c>
      <c r="F525" s="537">
        <v>0</v>
      </c>
      <c r="G525" s="1227">
        <v>120</v>
      </c>
      <c r="H525" s="559">
        <v>5.7692307692307696E-2</v>
      </c>
      <c r="J525" s="1281"/>
      <c r="K525" s="1280"/>
      <c r="L525" s="1282"/>
      <c r="M525" s="1278"/>
      <c r="N525" s="1283"/>
      <c r="O525" s="1051"/>
    </row>
    <row r="526" spans="2:15" ht="13" x14ac:dyDescent="0.3">
      <c r="B526" s="579">
        <f t="shared" si="16"/>
        <v>208</v>
      </c>
      <c r="C526" s="1079" t="s">
        <v>516</v>
      </c>
      <c r="D526" s="534" t="s">
        <v>1204</v>
      </c>
      <c r="E526" s="1224">
        <v>3670.0259222162558</v>
      </c>
      <c r="F526" s="537">
        <v>0</v>
      </c>
      <c r="G526" s="1227">
        <v>182</v>
      </c>
      <c r="H526" s="559">
        <v>8.7499999999999994E-2</v>
      </c>
      <c r="J526" s="579"/>
      <c r="L526" s="741"/>
      <c r="M526" s="1278"/>
      <c r="N526" s="1236"/>
      <c r="O526" s="1051"/>
    </row>
    <row r="527" spans="2:15" ht="13" x14ac:dyDescent="0.3">
      <c r="B527" s="579">
        <f t="shared" si="16"/>
        <v>209</v>
      </c>
      <c r="C527" s="1079" t="s">
        <v>516</v>
      </c>
      <c r="D527" s="534" t="s">
        <v>1204</v>
      </c>
      <c r="E527" s="1224">
        <v>17092.527399559687</v>
      </c>
      <c r="F527" s="537">
        <v>0</v>
      </c>
      <c r="G527" s="1227">
        <v>789.25</v>
      </c>
      <c r="H527" s="559">
        <v>0.3794471153846154</v>
      </c>
      <c r="J527" s="579"/>
      <c r="L527" s="741"/>
      <c r="M527" s="1278"/>
      <c r="N527" s="1236"/>
      <c r="O527" s="1051"/>
    </row>
    <row r="528" spans="2:15" ht="13" x14ac:dyDescent="0.3">
      <c r="B528" s="579">
        <f t="shared" si="16"/>
        <v>210</v>
      </c>
      <c r="C528" s="1079" t="s">
        <v>516</v>
      </c>
      <c r="D528" s="534" t="s">
        <v>1204</v>
      </c>
      <c r="E528" s="1224">
        <v>45797.206689013037</v>
      </c>
      <c r="F528" s="537">
        <v>0</v>
      </c>
      <c r="G528" s="1227">
        <v>2070</v>
      </c>
      <c r="H528" s="559">
        <v>0.99519230769230771</v>
      </c>
      <c r="J528" s="1281"/>
      <c r="K528" s="1280"/>
      <c r="L528" s="1282"/>
      <c r="M528" s="1278"/>
      <c r="N528" s="1283"/>
      <c r="O528" s="1051"/>
    </row>
    <row r="529" spans="2:15" ht="13" x14ac:dyDescent="0.3">
      <c r="B529" s="579">
        <f t="shared" si="16"/>
        <v>211</v>
      </c>
      <c r="C529" s="1079" t="s">
        <v>516</v>
      </c>
      <c r="D529" s="534" t="s">
        <v>1204</v>
      </c>
      <c r="E529" s="1224">
        <v>11159.237213660341</v>
      </c>
      <c r="F529" s="537">
        <v>0</v>
      </c>
      <c r="G529" s="1227">
        <v>490</v>
      </c>
      <c r="H529" s="559">
        <v>0.23557692307692307</v>
      </c>
      <c r="J529" s="1276"/>
      <c r="K529" s="547"/>
      <c r="L529" s="1277"/>
      <c r="M529" s="1278"/>
      <c r="N529" s="1279"/>
      <c r="O529" s="1051"/>
    </row>
    <row r="530" spans="2:15" ht="13" x14ac:dyDescent="0.3">
      <c r="B530" s="579">
        <f t="shared" si="16"/>
        <v>212</v>
      </c>
      <c r="C530" s="1079" t="s">
        <v>516</v>
      </c>
      <c r="D530" s="534" t="s">
        <v>1204</v>
      </c>
      <c r="E530" s="1224">
        <v>26081.487663917389</v>
      </c>
      <c r="F530" s="537">
        <v>0</v>
      </c>
      <c r="G530" s="1227">
        <v>1213</v>
      </c>
      <c r="H530" s="559">
        <v>0.58317307692307696</v>
      </c>
      <c r="J530" s="579"/>
      <c r="L530" s="741"/>
      <c r="M530" s="1278"/>
      <c r="N530" s="1236"/>
      <c r="O530" s="1051"/>
    </row>
    <row r="531" spans="2:15" ht="13" x14ac:dyDescent="0.3">
      <c r="B531" s="579">
        <f t="shared" si="16"/>
        <v>213</v>
      </c>
      <c r="C531" s="1079" t="s">
        <v>516</v>
      </c>
      <c r="D531" s="534" t="s">
        <v>1204</v>
      </c>
      <c r="E531" s="1224">
        <v>16918.844484575024</v>
      </c>
      <c r="F531" s="537">
        <v>0</v>
      </c>
      <c r="G531" s="1227">
        <v>784.75</v>
      </c>
      <c r="H531" s="559">
        <v>0.37728365384615387</v>
      </c>
      <c r="J531" s="1281"/>
      <c r="K531" s="1280"/>
      <c r="L531" s="1282"/>
      <c r="M531" s="1278"/>
      <c r="N531" s="1283"/>
      <c r="O531" s="1051"/>
    </row>
    <row r="532" spans="2:15" ht="13" x14ac:dyDescent="0.3">
      <c r="B532" s="579">
        <f t="shared" si="16"/>
        <v>214</v>
      </c>
      <c r="C532" s="1079" t="s">
        <v>516</v>
      </c>
      <c r="D532" s="534" t="s">
        <v>1204</v>
      </c>
      <c r="E532" s="1224">
        <v>7332.5568970079721</v>
      </c>
      <c r="F532" s="537">
        <v>0</v>
      </c>
      <c r="G532" s="1227">
        <v>336.5</v>
      </c>
      <c r="H532" s="559">
        <v>0.16177884615384616</v>
      </c>
      <c r="J532" s="1276"/>
      <c r="K532" s="547"/>
      <c r="L532" s="1277"/>
      <c r="M532" s="1278"/>
      <c r="N532" s="1279"/>
      <c r="O532" s="1051"/>
    </row>
    <row r="533" spans="2:15" ht="13" x14ac:dyDescent="0.3">
      <c r="B533" s="579">
        <f t="shared" si="16"/>
        <v>215</v>
      </c>
      <c r="C533" s="1079" t="s">
        <v>516</v>
      </c>
      <c r="D533" s="534" t="s">
        <v>1204</v>
      </c>
      <c r="E533" s="1224">
        <v>784.47116376848498</v>
      </c>
      <c r="F533" s="537">
        <v>0</v>
      </c>
      <c r="G533" s="1227">
        <v>39.25</v>
      </c>
      <c r="H533" s="559">
        <v>1.8870192307692307E-2</v>
      </c>
      <c r="J533" s="579"/>
      <c r="L533" s="741"/>
      <c r="M533" s="1278"/>
      <c r="N533" s="1236"/>
      <c r="O533" s="1051"/>
    </row>
    <row r="534" spans="2:15" ht="13" x14ac:dyDescent="0.3">
      <c r="B534" s="579">
        <f t="shared" si="16"/>
        <v>216</v>
      </c>
      <c r="C534" s="1079" t="s">
        <v>516</v>
      </c>
      <c r="D534" s="534" t="s">
        <v>1204</v>
      </c>
      <c r="E534" s="1224">
        <v>3990.8396517762526</v>
      </c>
      <c r="F534" s="537">
        <v>0</v>
      </c>
      <c r="G534" s="1227">
        <v>194.43</v>
      </c>
      <c r="H534" s="559">
        <v>9.3475961538461536E-2</v>
      </c>
      <c r="J534" s="1281"/>
      <c r="K534" s="1280"/>
      <c r="L534" s="1282"/>
      <c r="M534" s="1278"/>
      <c r="N534" s="1283"/>
      <c r="O534" s="1051"/>
    </row>
    <row r="535" spans="2:15" ht="13" x14ac:dyDescent="0.3">
      <c r="B535" s="579">
        <f t="shared" si="16"/>
        <v>217</v>
      </c>
      <c r="C535" s="1079" t="s">
        <v>516</v>
      </c>
      <c r="D535" t="s">
        <v>1204</v>
      </c>
      <c r="E535" s="555">
        <v>26149.152049266137</v>
      </c>
      <c r="F535">
        <v>0</v>
      </c>
      <c r="G535" s="555">
        <v>1203.25</v>
      </c>
      <c r="H535" s="559">
        <v>0.57848557692307689</v>
      </c>
      <c r="J535" s="1276"/>
      <c r="K535" s="547"/>
      <c r="L535" s="1277"/>
      <c r="M535" s="1278"/>
      <c r="N535" s="1279"/>
      <c r="O535" s="1051"/>
    </row>
    <row r="536" spans="2:15" ht="13" x14ac:dyDescent="0.3">
      <c r="B536" s="579">
        <f t="shared" si="16"/>
        <v>218</v>
      </c>
      <c r="C536" s="1079" t="s">
        <v>516</v>
      </c>
      <c r="D536" s="1101" t="s">
        <v>1204</v>
      </c>
      <c r="E536" s="1226">
        <v>32887.139763716972</v>
      </c>
      <c r="F536" s="1099">
        <v>0</v>
      </c>
      <c r="G536" s="1226">
        <v>1485.82</v>
      </c>
      <c r="H536" s="1223">
        <v>0.71433653846153844</v>
      </c>
      <c r="J536" s="1276"/>
      <c r="K536" s="547"/>
      <c r="L536" s="1277"/>
      <c r="M536" s="1278"/>
      <c r="N536" s="1279"/>
      <c r="O536" s="1051"/>
    </row>
    <row r="537" spans="2:15" ht="13" x14ac:dyDescent="0.3">
      <c r="B537" s="579">
        <f t="shared" si="16"/>
        <v>219</v>
      </c>
      <c r="C537" s="1079" t="s">
        <v>516</v>
      </c>
      <c r="D537" t="s">
        <v>1204</v>
      </c>
      <c r="E537" s="555">
        <v>1752.3187078573737</v>
      </c>
      <c r="F537">
        <v>0</v>
      </c>
      <c r="G537" s="555">
        <v>83.5</v>
      </c>
      <c r="H537" s="559">
        <v>4.0144230769230772E-2</v>
      </c>
      <c r="J537" s="1281"/>
      <c r="K537" s="1280"/>
      <c r="L537" s="1282"/>
      <c r="M537" s="1278"/>
      <c r="N537" s="1283"/>
      <c r="O537" s="1051"/>
    </row>
    <row r="538" spans="2:15" ht="13" x14ac:dyDescent="0.3">
      <c r="B538" s="579">
        <f t="shared" si="16"/>
        <v>220</v>
      </c>
      <c r="C538" s="1079" t="s">
        <v>516</v>
      </c>
      <c r="D538" t="s">
        <v>1204</v>
      </c>
      <c r="E538" s="555">
        <v>3344.625284832442</v>
      </c>
      <c r="F538">
        <v>0</v>
      </c>
      <c r="G538" s="555">
        <v>119.25</v>
      </c>
      <c r="H538" s="559">
        <v>5.7331730769230767E-2</v>
      </c>
      <c r="J538" s="579"/>
      <c r="L538" s="741"/>
      <c r="M538" s="1278"/>
      <c r="N538" s="1236"/>
      <c r="O538" s="1051"/>
    </row>
    <row r="539" spans="2:15" ht="13" x14ac:dyDescent="0.3">
      <c r="B539" s="579">
        <f t="shared" si="16"/>
        <v>221</v>
      </c>
      <c r="C539" s="1079" t="s">
        <v>516</v>
      </c>
      <c r="D539" s="1098" t="s">
        <v>1204</v>
      </c>
      <c r="E539" s="1226">
        <v>3195.0960870812592</v>
      </c>
      <c r="F539" s="1099">
        <v>0</v>
      </c>
      <c r="G539" s="1226">
        <v>112.25</v>
      </c>
      <c r="H539" s="1223">
        <v>5.3966346153846156E-2</v>
      </c>
      <c r="J539" s="1276"/>
      <c r="K539" s="547"/>
      <c r="L539" s="1277"/>
      <c r="M539" s="1278"/>
      <c r="N539" s="1279"/>
      <c r="O539" s="1051"/>
    </row>
    <row r="540" spans="2:15" ht="13" x14ac:dyDescent="0.3">
      <c r="B540" s="579">
        <f t="shared" si="16"/>
        <v>222</v>
      </c>
      <c r="C540" s="1079" t="s">
        <v>516</v>
      </c>
      <c r="D540" t="s">
        <v>1204</v>
      </c>
      <c r="E540" s="555">
        <v>41079.287184213783</v>
      </c>
      <c r="F540">
        <v>0</v>
      </c>
      <c r="G540" s="555">
        <v>1945.99</v>
      </c>
      <c r="H540" s="559">
        <v>0.93557211538461538</v>
      </c>
      <c r="J540" s="1281"/>
      <c r="K540" s="1280"/>
      <c r="L540" s="1282"/>
      <c r="M540" s="1278"/>
      <c r="N540" s="1283"/>
      <c r="O540" s="1051"/>
    </row>
    <row r="541" spans="2:15" ht="13" x14ac:dyDescent="0.3">
      <c r="B541" s="579">
        <f t="shared" si="16"/>
        <v>223</v>
      </c>
      <c r="C541" s="1079" t="s">
        <v>516</v>
      </c>
      <c r="D541" t="s">
        <v>1204</v>
      </c>
      <c r="E541" s="555">
        <v>46904.370315829248</v>
      </c>
      <c r="F541">
        <v>0</v>
      </c>
      <c r="G541" s="555">
        <v>2206.75</v>
      </c>
      <c r="H541" s="559">
        <v>1.0609375000000001</v>
      </c>
      <c r="J541" s="1276"/>
      <c r="K541" s="547"/>
      <c r="L541" s="1277"/>
      <c r="M541" s="1278"/>
      <c r="N541" s="1279"/>
      <c r="O541" s="1051"/>
    </row>
    <row r="542" spans="2:15" ht="13" x14ac:dyDescent="0.3">
      <c r="B542" s="579">
        <f t="shared" si="16"/>
        <v>224</v>
      </c>
      <c r="C542" s="1079" t="s">
        <v>516</v>
      </c>
      <c r="D542" t="s">
        <v>1204</v>
      </c>
      <c r="E542" s="555">
        <v>36650.602697159164</v>
      </c>
      <c r="F542">
        <v>0</v>
      </c>
      <c r="G542" s="555">
        <v>1782.92</v>
      </c>
      <c r="H542" s="559">
        <v>0.85717307692307698</v>
      </c>
      <c r="J542" s="579"/>
      <c r="L542" s="741"/>
      <c r="M542" s="1278"/>
      <c r="N542" s="1236"/>
      <c r="O542" s="1051"/>
    </row>
    <row r="543" spans="2:15" ht="13" x14ac:dyDescent="0.3">
      <c r="B543" s="579">
        <f t="shared" si="16"/>
        <v>225</v>
      </c>
      <c r="C543" s="1079" t="s">
        <v>516</v>
      </c>
      <c r="D543" t="s">
        <v>1204</v>
      </c>
      <c r="E543" s="555">
        <v>6728.6040402753333</v>
      </c>
      <c r="F543">
        <v>0</v>
      </c>
      <c r="G543" s="555">
        <v>280.5</v>
      </c>
      <c r="H543" s="559">
        <v>0.13485576923076922</v>
      </c>
      <c r="J543" s="1281"/>
      <c r="K543" s="1280"/>
      <c r="L543" s="1282"/>
      <c r="M543" s="1278"/>
      <c r="N543" s="1283"/>
      <c r="O543" s="1051"/>
    </row>
    <row r="544" spans="2:15" ht="13" x14ac:dyDescent="0.3">
      <c r="B544" s="579">
        <f t="shared" si="16"/>
        <v>226</v>
      </c>
      <c r="C544" s="1079" t="s">
        <v>516</v>
      </c>
      <c r="D544" t="s">
        <v>1204</v>
      </c>
      <c r="E544" s="555">
        <v>25768.92836978762</v>
      </c>
      <c r="F544">
        <v>0</v>
      </c>
      <c r="G544" s="555">
        <v>1272.8</v>
      </c>
      <c r="H544" s="559">
        <v>0.6119230769230769</v>
      </c>
      <c r="J544" s="579"/>
      <c r="L544" s="741"/>
      <c r="M544" s="1278"/>
      <c r="N544" s="1236"/>
      <c r="O544" s="1051"/>
    </row>
    <row r="545" spans="2:15" ht="13" x14ac:dyDescent="0.3">
      <c r="B545" s="579">
        <f t="shared" si="16"/>
        <v>227</v>
      </c>
      <c r="C545" s="1079" t="s">
        <v>516</v>
      </c>
      <c r="D545" t="s">
        <v>1204</v>
      </c>
      <c r="E545" s="555">
        <v>6542.3496001439062</v>
      </c>
      <c r="F545">
        <v>0</v>
      </c>
      <c r="G545" s="555">
        <v>270.5</v>
      </c>
      <c r="H545" s="559">
        <v>0.13004807692307693</v>
      </c>
      <c r="J545" s="579"/>
      <c r="L545" s="741"/>
      <c r="M545" s="1278"/>
      <c r="N545" s="1236"/>
      <c r="O545" s="1051"/>
    </row>
    <row r="546" spans="2:15" ht="13" x14ac:dyDescent="0.3">
      <c r="B546" s="579">
        <f t="shared" si="16"/>
        <v>228</v>
      </c>
      <c r="C546" s="1079" t="s">
        <v>516</v>
      </c>
      <c r="D546" t="s">
        <v>1204</v>
      </c>
      <c r="E546" s="555">
        <v>1941.1913829557732</v>
      </c>
      <c r="F546">
        <v>0</v>
      </c>
      <c r="G546" s="555">
        <v>92.5</v>
      </c>
      <c r="H546" s="559">
        <v>4.4471153846153848E-2</v>
      </c>
      <c r="J546" s="1281"/>
      <c r="K546" s="1280"/>
      <c r="L546" s="1282"/>
      <c r="M546" s="1278"/>
      <c r="N546" s="1283"/>
      <c r="O546" s="1051"/>
    </row>
    <row r="547" spans="2:15" ht="13" x14ac:dyDescent="0.3">
      <c r="B547" s="579">
        <f t="shared" si="16"/>
        <v>229</v>
      </c>
      <c r="C547" s="1079" t="s">
        <v>516</v>
      </c>
      <c r="D547" t="s">
        <v>1204</v>
      </c>
      <c r="E547" s="555">
        <v>6948.9455012935668</v>
      </c>
      <c r="F547">
        <v>0</v>
      </c>
      <c r="G547" s="555">
        <v>287.5</v>
      </c>
      <c r="H547" s="559">
        <v>0.13822115384615385</v>
      </c>
      <c r="J547" s="579"/>
      <c r="L547" s="741"/>
      <c r="M547" s="1278"/>
      <c r="N547" s="1236"/>
      <c r="O547" s="1051"/>
    </row>
    <row r="548" spans="2:15" ht="13" x14ac:dyDescent="0.3">
      <c r="B548" s="579">
        <f t="shared" si="16"/>
        <v>230</v>
      </c>
      <c r="C548" s="1079" t="s">
        <v>516</v>
      </c>
      <c r="D548" t="s">
        <v>1204</v>
      </c>
      <c r="E548" s="555">
        <v>11851.290679052634</v>
      </c>
      <c r="F548">
        <v>0</v>
      </c>
      <c r="G548" s="555">
        <v>569</v>
      </c>
      <c r="H548" s="559">
        <v>0.27355769230769234</v>
      </c>
      <c r="J548" s="579"/>
      <c r="L548" s="741"/>
      <c r="M548" s="1278"/>
      <c r="N548" s="1236"/>
      <c r="O548" s="1051"/>
    </row>
    <row r="549" spans="2:15" ht="13" x14ac:dyDescent="0.3">
      <c r="B549" s="579">
        <f t="shared" si="16"/>
        <v>231</v>
      </c>
      <c r="C549" s="1079" t="s">
        <v>516</v>
      </c>
      <c r="D549" t="s">
        <v>1204</v>
      </c>
      <c r="E549" s="555">
        <v>12769.901415193914</v>
      </c>
      <c r="F549">
        <v>0</v>
      </c>
      <c r="G549" s="555">
        <v>541.75</v>
      </c>
      <c r="H549" s="559">
        <v>0.26045673076923076</v>
      </c>
      <c r="J549" s="1281"/>
      <c r="K549" s="1280"/>
      <c r="L549" s="1282"/>
      <c r="M549" s="1278"/>
      <c r="N549" s="1283"/>
      <c r="O549" s="1051"/>
    </row>
    <row r="550" spans="2:15" ht="13" x14ac:dyDescent="0.3">
      <c r="B550" s="579">
        <f t="shared" si="16"/>
        <v>232</v>
      </c>
      <c r="C550" s="1079" t="s">
        <v>516</v>
      </c>
      <c r="D550" t="s">
        <v>1204</v>
      </c>
      <c r="E550" s="555">
        <v>43942.47701954675</v>
      </c>
      <c r="F550">
        <v>0</v>
      </c>
      <c r="G550" s="555">
        <v>2044.5</v>
      </c>
      <c r="H550" s="559">
        <v>0.98293269230769231</v>
      </c>
      <c r="J550" s="1276"/>
      <c r="K550" s="547"/>
      <c r="L550" s="1277"/>
      <c r="M550" s="1278"/>
      <c r="N550" s="1279"/>
      <c r="O550" s="1051"/>
    </row>
    <row r="551" spans="2:15" ht="13" x14ac:dyDescent="0.3">
      <c r="B551" s="579">
        <f t="shared" si="16"/>
        <v>233</v>
      </c>
      <c r="C551" s="1079" t="s">
        <v>516</v>
      </c>
      <c r="D551" t="s">
        <v>1204</v>
      </c>
      <c r="E551" s="555">
        <v>40729.313112540731</v>
      </c>
      <c r="F551">
        <v>0</v>
      </c>
      <c r="G551" s="555">
        <v>1707.58</v>
      </c>
      <c r="H551" s="559">
        <v>0.820951923076923</v>
      </c>
      <c r="J551" s="579"/>
      <c r="L551" s="741"/>
      <c r="M551" s="1278"/>
      <c r="N551" s="1236"/>
      <c r="O551" s="1051"/>
    </row>
    <row r="552" spans="2:15" ht="13" x14ac:dyDescent="0.3">
      <c r="B552" s="579">
        <f t="shared" si="16"/>
        <v>234</v>
      </c>
      <c r="C552" s="1079" t="s">
        <v>516</v>
      </c>
      <c r="D552" t="s">
        <v>1204</v>
      </c>
      <c r="E552" s="555">
        <v>47270.463521096695</v>
      </c>
      <c r="F552">
        <v>0</v>
      </c>
      <c r="G552" s="555">
        <v>2175.25</v>
      </c>
      <c r="H552" s="559">
        <v>1.0457932692307692</v>
      </c>
      <c r="J552" s="1281"/>
      <c r="K552" s="1280"/>
      <c r="L552" s="1282"/>
      <c r="M552" s="1278"/>
      <c r="N552" s="1283"/>
      <c r="O552" s="1051"/>
    </row>
    <row r="553" spans="2:15" ht="13" x14ac:dyDescent="0.3">
      <c r="B553" s="579">
        <f t="shared" si="16"/>
        <v>235</v>
      </c>
      <c r="C553" s="1079" t="s">
        <v>516</v>
      </c>
      <c r="D553" t="s">
        <v>1204</v>
      </c>
      <c r="E553" s="555">
        <v>8220.418362182174</v>
      </c>
      <c r="F553">
        <v>0</v>
      </c>
      <c r="G553" s="555">
        <v>379.54</v>
      </c>
      <c r="H553" s="559">
        <v>0.18247115384615387</v>
      </c>
      <c r="J553" s="1276"/>
      <c r="K553" s="547"/>
      <c r="L553" s="1277"/>
      <c r="M553" s="1278"/>
      <c r="N553" s="1279"/>
      <c r="O553" s="1051"/>
    </row>
    <row r="554" spans="2:15" ht="13" x14ac:dyDescent="0.3">
      <c r="B554" s="579">
        <f t="shared" si="16"/>
        <v>236</v>
      </c>
      <c r="C554" s="1079" t="s">
        <v>516</v>
      </c>
      <c r="D554" t="s">
        <v>1204</v>
      </c>
      <c r="E554" s="555">
        <v>2429.7020628240361</v>
      </c>
      <c r="F554">
        <v>0</v>
      </c>
      <c r="G554" s="555">
        <v>110.25</v>
      </c>
      <c r="H554" s="559">
        <v>5.3004807692307691E-2</v>
      </c>
      <c r="J554" s="1276"/>
      <c r="K554" s="547"/>
      <c r="L554" s="1277"/>
      <c r="M554" s="1278"/>
      <c r="N554" s="1279"/>
      <c r="O554" s="1051"/>
    </row>
    <row r="555" spans="2:15" ht="13" x14ac:dyDescent="0.3">
      <c r="B555" s="579">
        <f t="shared" si="16"/>
        <v>237</v>
      </c>
      <c r="C555" s="1079" t="s">
        <v>516</v>
      </c>
      <c r="D555" t="s">
        <v>1204</v>
      </c>
      <c r="E555" s="555">
        <v>26866.378544741641</v>
      </c>
      <c r="F555">
        <v>0</v>
      </c>
      <c r="G555" s="555">
        <v>1274</v>
      </c>
      <c r="H555" s="559">
        <v>0.61250000000000004</v>
      </c>
      <c r="J555" s="1281"/>
      <c r="K555" s="1280"/>
      <c r="L555" s="1282"/>
      <c r="M555" s="1278"/>
      <c r="N555" s="1283"/>
      <c r="O555" s="1051"/>
    </row>
    <row r="556" spans="2:15" ht="13" x14ac:dyDescent="0.3">
      <c r="B556" s="579">
        <f t="shared" si="16"/>
        <v>238</v>
      </c>
      <c r="C556" s="1079" t="s">
        <v>516</v>
      </c>
      <c r="D556" t="s">
        <v>1204</v>
      </c>
      <c r="E556" s="555">
        <v>13097.010900590523</v>
      </c>
      <c r="F556">
        <v>0</v>
      </c>
      <c r="G556" s="555">
        <v>611.75</v>
      </c>
      <c r="H556" s="559">
        <v>0.29411057692307691</v>
      </c>
      <c r="J556" s="1276"/>
      <c r="K556" s="547"/>
      <c r="L556" s="1277"/>
      <c r="M556" s="1278"/>
      <c r="N556" s="1279"/>
      <c r="O556" s="1051"/>
    </row>
    <row r="557" spans="2:15" ht="13" x14ac:dyDescent="0.3">
      <c r="B557" s="579">
        <f t="shared" si="16"/>
        <v>239</v>
      </c>
      <c r="C557" s="1079" t="s">
        <v>516</v>
      </c>
      <c r="D557" t="s">
        <v>1204</v>
      </c>
      <c r="E557" s="555">
        <v>42794.980582323253</v>
      </c>
      <c r="F557">
        <v>0</v>
      </c>
      <c r="G557" s="555">
        <v>2023.5</v>
      </c>
      <c r="H557" s="559">
        <v>0.9728365384615385</v>
      </c>
      <c r="J557" s="1276"/>
      <c r="K557" s="547"/>
      <c r="L557" s="1277"/>
      <c r="M557" s="1278"/>
      <c r="N557" s="1279"/>
      <c r="O557" s="1051"/>
    </row>
    <row r="558" spans="2:15" ht="13" x14ac:dyDescent="0.3">
      <c r="B558" s="579">
        <f t="shared" si="16"/>
        <v>240</v>
      </c>
      <c r="C558" s="1079" t="s">
        <v>516</v>
      </c>
      <c r="D558" t="s">
        <v>1204</v>
      </c>
      <c r="E558" s="555">
        <v>45531.225994810971</v>
      </c>
      <c r="F558">
        <v>0</v>
      </c>
      <c r="G558" s="555">
        <v>2034.75</v>
      </c>
      <c r="H558" s="559">
        <v>0.97824519230769236</v>
      </c>
      <c r="J558" s="1281"/>
      <c r="K558" s="1280"/>
      <c r="L558" s="1282"/>
      <c r="M558" s="1278"/>
      <c r="N558" s="1283"/>
      <c r="O558" s="1051"/>
    </row>
    <row r="559" spans="2:15" ht="13" x14ac:dyDescent="0.3">
      <c r="B559" s="579">
        <f t="shared" si="16"/>
        <v>241</v>
      </c>
      <c r="C559" s="1079" t="s">
        <v>516</v>
      </c>
      <c r="D559" t="s">
        <v>1204</v>
      </c>
      <c r="E559" s="555">
        <v>18282.345306573749</v>
      </c>
      <c r="F559">
        <v>0</v>
      </c>
      <c r="G559" s="555">
        <v>885.93</v>
      </c>
      <c r="H559" s="559">
        <v>0.42592788461538461</v>
      </c>
      <c r="J559" s="1276"/>
      <c r="K559" s="547"/>
      <c r="L559" s="1277"/>
      <c r="M559" s="1278"/>
      <c r="N559" s="1279"/>
      <c r="O559" s="1051"/>
    </row>
    <row r="560" spans="2:15" ht="13" x14ac:dyDescent="0.3">
      <c r="B560" s="579">
        <f t="shared" si="16"/>
        <v>242</v>
      </c>
      <c r="C560" s="1079" t="s">
        <v>516</v>
      </c>
      <c r="D560" t="s">
        <v>1204</v>
      </c>
      <c r="E560" s="555">
        <v>8586.3816550275969</v>
      </c>
      <c r="F560">
        <v>0</v>
      </c>
      <c r="G560" s="555">
        <v>410.44</v>
      </c>
      <c r="H560" s="559">
        <v>0.19732692307692307</v>
      </c>
      <c r="J560" s="579"/>
      <c r="L560" s="741"/>
      <c r="M560" s="1278"/>
      <c r="N560" s="1236"/>
      <c r="O560" s="1051"/>
    </row>
    <row r="561" spans="2:15" ht="13" x14ac:dyDescent="0.3">
      <c r="B561" s="579">
        <f t="shared" si="16"/>
        <v>243</v>
      </c>
      <c r="C561" s="1079" t="s">
        <v>516</v>
      </c>
      <c r="D561" t="s">
        <v>1204</v>
      </c>
      <c r="E561" s="555">
        <v>9933.6933905893111</v>
      </c>
      <c r="F561">
        <v>0</v>
      </c>
      <c r="G561" s="555">
        <v>428.75</v>
      </c>
      <c r="H561" s="559">
        <v>0.20612980769230768</v>
      </c>
      <c r="J561" s="1281"/>
      <c r="K561" s="1280"/>
      <c r="L561" s="1282"/>
      <c r="M561" s="1278"/>
      <c r="N561" s="1283"/>
      <c r="O561" s="1051"/>
    </row>
    <row r="562" spans="2:15" ht="13" x14ac:dyDescent="0.3">
      <c r="B562" s="579">
        <f t="shared" si="16"/>
        <v>244</v>
      </c>
      <c r="C562" s="1079" t="s">
        <v>516</v>
      </c>
      <c r="D562" t="s">
        <v>1204</v>
      </c>
      <c r="E562" s="555">
        <v>5198.9951968223477</v>
      </c>
      <c r="F562">
        <v>0</v>
      </c>
      <c r="G562" s="555">
        <v>253.75</v>
      </c>
      <c r="H562" s="559">
        <v>0.1219951923076923</v>
      </c>
      <c r="J562" s="1276"/>
      <c r="K562" s="547"/>
      <c r="L562" s="1277"/>
      <c r="M562" s="1278"/>
      <c r="N562" s="1279"/>
      <c r="O562" s="1051"/>
    </row>
    <row r="563" spans="2:15" ht="13" x14ac:dyDescent="0.3">
      <c r="B563" s="579">
        <f t="shared" si="16"/>
        <v>245</v>
      </c>
      <c r="C563" s="1079" t="s">
        <v>516</v>
      </c>
      <c r="D563" t="s">
        <v>1204</v>
      </c>
      <c r="E563" s="555">
        <v>46201.823924042619</v>
      </c>
      <c r="F563">
        <v>0</v>
      </c>
      <c r="G563" s="555">
        <v>2159.25</v>
      </c>
      <c r="H563" s="559">
        <v>1.0381009615384615</v>
      </c>
      <c r="J563" s="1276"/>
      <c r="K563" s="547"/>
      <c r="L563" s="1277"/>
      <c r="M563" s="1278"/>
      <c r="N563" s="1279"/>
      <c r="O563" s="1051"/>
    </row>
    <row r="564" spans="2:15" ht="13" x14ac:dyDescent="0.3">
      <c r="B564" s="579">
        <f t="shared" si="16"/>
        <v>246</v>
      </c>
      <c r="C564" s="1079" t="s">
        <v>516</v>
      </c>
      <c r="D564" t="s">
        <v>1204</v>
      </c>
      <c r="E564" s="555">
        <v>22350.96252609025</v>
      </c>
      <c r="F564">
        <v>0</v>
      </c>
      <c r="G564" s="555">
        <v>999</v>
      </c>
      <c r="H564" s="559">
        <v>0.48028846153846155</v>
      </c>
      <c r="J564" s="1281"/>
      <c r="K564" s="1280"/>
      <c r="L564" s="1282"/>
      <c r="M564" s="1278"/>
      <c r="N564" s="1283"/>
      <c r="O564" s="1051"/>
    </row>
    <row r="565" spans="2:15" ht="13" x14ac:dyDescent="0.3">
      <c r="B565" s="579">
        <f t="shared" si="16"/>
        <v>247</v>
      </c>
      <c r="C565" s="1079" t="s">
        <v>516</v>
      </c>
      <c r="D565" t="s">
        <v>1204</v>
      </c>
      <c r="E565" s="555">
        <v>6710.236422453595</v>
      </c>
      <c r="F565">
        <v>0</v>
      </c>
      <c r="G565" s="555">
        <v>319</v>
      </c>
      <c r="H565" s="559">
        <v>0.15336538461538463</v>
      </c>
      <c r="J565" s="1276"/>
      <c r="K565" s="547"/>
      <c r="L565" s="1277"/>
      <c r="M565" s="1278"/>
      <c r="N565" s="1279"/>
      <c r="O565" s="1051"/>
    </row>
    <row r="566" spans="2:15" ht="13" x14ac:dyDescent="0.3">
      <c r="B566" s="579">
        <f t="shared" si="16"/>
        <v>248</v>
      </c>
      <c r="C566" s="1079" t="s">
        <v>516</v>
      </c>
      <c r="D566" t="s">
        <v>1204</v>
      </c>
      <c r="E566" s="555">
        <v>47156.660239402489</v>
      </c>
      <c r="F566">
        <v>0</v>
      </c>
      <c r="G566" s="555">
        <v>2178.75</v>
      </c>
      <c r="H566" s="559">
        <v>1.0474759615384615</v>
      </c>
      <c r="J566" s="1276"/>
      <c r="K566" s="547"/>
      <c r="L566" s="1277"/>
      <c r="M566" s="1278"/>
      <c r="N566" s="1279"/>
      <c r="O566" s="1051"/>
    </row>
    <row r="567" spans="2:15" ht="13" x14ac:dyDescent="0.3">
      <c r="B567" s="579">
        <f t="shared" si="16"/>
        <v>249</v>
      </c>
      <c r="C567" s="1079" t="s">
        <v>516</v>
      </c>
      <c r="D567" t="s">
        <v>1204</v>
      </c>
      <c r="E567" s="555">
        <v>47707.169124366592</v>
      </c>
      <c r="F567">
        <v>0</v>
      </c>
      <c r="G567" s="555">
        <v>2182.5</v>
      </c>
      <c r="H567" s="559">
        <v>1.0492788461538463</v>
      </c>
      <c r="J567" s="1281"/>
      <c r="K567" s="1280"/>
      <c r="L567" s="1282"/>
      <c r="M567" s="1278"/>
      <c r="N567" s="1283"/>
      <c r="O567" s="1051"/>
    </row>
    <row r="568" spans="2:15" ht="13" x14ac:dyDescent="0.3">
      <c r="B568" s="579">
        <f t="shared" si="16"/>
        <v>250</v>
      </c>
      <c r="C568" s="1079" t="s">
        <v>516</v>
      </c>
      <c r="D568" t="s">
        <v>1204</v>
      </c>
      <c r="E568" s="555">
        <v>3525.1236053418224</v>
      </c>
      <c r="F568">
        <v>0</v>
      </c>
      <c r="G568" s="555">
        <v>170.75</v>
      </c>
      <c r="H568" s="559">
        <v>8.2091346153846154E-2</v>
      </c>
      <c r="J568" s="1276"/>
      <c r="K568" s="547"/>
      <c r="L568" s="1277"/>
      <c r="M568" s="1278"/>
      <c r="N568" s="1279"/>
      <c r="O568" s="1051"/>
    </row>
    <row r="569" spans="2:15" ht="13" x14ac:dyDescent="0.3">
      <c r="B569" s="579">
        <f t="shared" si="16"/>
        <v>251</v>
      </c>
      <c r="C569" s="1079" t="s">
        <v>516</v>
      </c>
      <c r="D569" t="s">
        <v>1204</v>
      </c>
      <c r="E569" s="555">
        <v>40207.814670741252</v>
      </c>
      <c r="F569">
        <v>0</v>
      </c>
      <c r="G569" s="555">
        <v>1950.04</v>
      </c>
      <c r="H569" s="559">
        <v>0.93751923076923072</v>
      </c>
      <c r="J569" s="1276"/>
      <c r="K569" s="547"/>
      <c r="L569" s="1277"/>
      <c r="M569" s="1278"/>
      <c r="N569" s="1279"/>
      <c r="O569" s="1051"/>
    </row>
    <row r="570" spans="2:15" ht="13" x14ac:dyDescent="0.3">
      <c r="B570" s="579">
        <f t="shared" si="16"/>
        <v>252</v>
      </c>
      <c r="C570" s="1079" t="s">
        <v>516</v>
      </c>
      <c r="D570" t="s">
        <v>1204</v>
      </c>
      <c r="E570" s="555">
        <v>28659.829524064902</v>
      </c>
      <c r="F570">
        <v>0</v>
      </c>
      <c r="G570" s="555">
        <v>1338.25</v>
      </c>
      <c r="H570" s="559">
        <v>0.64338942307692304</v>
      </c>
      <c r="J570" s="1281"/>
      <c r="K570" s="1280"/>
      <c r="L570" s="1282"/>
      <c r="M570" s="1278"/>
      <c r="N570" s="1283"/>
      <c r="O570" s="1051"/>
    </row>
    <row r="571" spans="2:15" ht="13" x14ac:dyDescent="0.3">
      <c r="B571" s="579">
        <f t="shared" si="16"/>
        <v>253</v>
      </c>
      <c r="C571" s="1079" t="s">
        <v>516</v>
      </c>
      <c r="D571" t="s">
        <v>1204</v>
      </c>
      <c r="E571" s="555">
        <v>25771.506631701664</v>
      </c>
      <c r="F571">
        <v>0</v>
      </c>
      <c r="G571" s="555">
        <v>1165.97</v>
      </c>
      <c r="H571" s="559">
        <v>0.56056249999999996</v>
      </c>
      <c r="J571" s="579"/>
      <c r="L571" s="741"/>
      <c r="M571" s="1278"/>
      <c r="N571" s="1236"/>
      <c r="O571" s="1051"/>
    </row>
    <row r="572" spans="2:15" ht="13" x14ac:dyDescent="0.3">
      <c r="B572" s="579">
        <f t="shared" si="16"/>
        <v>254</v>
      </c>
      <c r="C572" s="1079" t="s">
        <v>516</v>
      </c>
      <c r="D572" t="s">
        <v>1204</v>
      </c>
      <c r="E572" s="555">
        <v>53581.688929194301</v>
      </c>
      <c r="F572">
        <v>0</v>
      </c>
      <c r="G572" s="555">
        <v>2326.25</v>
      </c>
      <c r="H572" s="559">
        <v>1.1183894230769231</v>
      </c>
      <c r="J572" s="1281"/>
      <c r="K572" s="1280"/>
      <c r="L572" s="1282"/>
      <c r="M572" s="1278"/>
      <c r="N572" s="1283"/>
      <c r="O572" s="1051"/>
    </row>
    <row r="573" spans="2:15" ht="13" x14ac:dyDescent="0.3">
      <c r="B573" s="579">
        <f t="shared" si="16"/>
        <v>255</v>
      </c>
      <c r="C573" s="1079" t="s">
        <v>516</v>
      </c>
      <c r="D573" t="s">
        <v>1204</v>
      </c>
      <c r="E573" s="555">
        <v>38835.839561521192</v>
      </c>
      <c r="F573">
        <v>0</v>
      </c>
      <c r="G573" s="555">
        <v>1850.75</v>
      </c>
      <c r="H573" s="559">
        <v>0.88978365384615388</v>
      </c>
      <c r="J573" s="1276"/>
      <c r="K573" s="547"/>
      <c r="L573" s="1277"/>
      <c r="M573" s="1278"/>
      <c r="N573" s="1279"/>
      <c r="O573" s="1051"/>
    </row>
    <row r="574" spans="2:15" ht="13" x14ac:dyDescent="0.3">
      <c r="B574" s="579">
        <f t="shared" si="16"/>
        <v>256</v>
      </c>
      <c r="C574" s="1079" t="s">
        <v>516</v>
      </c>
      <c r="D574" t="s">
        <v>1204</v>
      </c>
      <c r="E574" s="555">
        <v>39973.952324569153</v>
      </c>
      <c r="F574">
        <v>0</v>
      </c>
      <c r="G574" s="555">
        <v>1890</v>
      </c>
      <c r="H574" s="559">
        <v>0.90865384615384615</v>
      </c>
      <c r="J574" s="1276"/>
      <c r="K574" s="547"/>
      <c r="L574" s="1277"/>
      <c r="M574" s="1278"/>
      <c r="N574" s="1279"/>
      <c r="O574" s="1051"/>
    </row>
    <row r="575" spans="2:15" ht="13" x14ac:dyDescent="0.3">
      <c r="B575" s="579">
        <f t="shared" si="16"/>
        <v>257</v>
      </c>
      <c r="C575" s="1079" t="s">
        <v>516</v>
      </c>
      <c r="D575" t="s">
        <v>1204</v>
      </c>
      <c r="E575" s="555">
        <v>5796.0926749773407</v>
      </c>
      <c r="F575">
        <v>0</v>
      </c>
      <c r="G575" s="555">
        <v>290</v>
      </c>
      <c r="H575" s="559">
        <v>0.13942307692307693</v>
      </c>
      <c r="J575" s="1281"/>
      <c r="K575" s="1280"/>
      <c r="L575" s="1282"/>
      <c r="M575" s="1278"/>
      <c r="N575" s="1283"/>
      <c r="O575" s="1051"/>
    </row>
    <row r="576" spans="2:15" ht="13" x14ac:dyDescent="0.3">
      <c r="B576" s="579">
        <f t="shared" ref="B576:B639" si="17">+B575+1</f>
        <v>258</v>
      </c>
      <c r="C576" s="1079" t="s">
        <v>516</v>
      </c>
      <c r="D576" t="s">
        <v>1204</v>
      </c>
      <c r="E576" s="555">
        <v>45014.144575360369</v>
      </c>
      <c r="F576">
        <v>0</v>
      </c>
      <c r="G576" s="555">
        <v>2113.25</v>
      </c>
      <c r="H576" s="559">
        <v>1.015985576923077</v>
      </c>
      <c r="J576" s="1276"/>
      <c r="K576" s="547"/>
      <c r="L576" s="1277"/>
      <c r="M576" s="1278"/>
      <c r="N576" s="1279"/>
      <c r="O576" s="1051"/>
    </row>
    <row r="577" spans="2:15" ht="13" x14ac:dyDescent="0.3">
      <c r="B577" s="579">
        <f t="shared" si="17"/>
        <v>259</v>
      </c>
      <c r="C577" s="1079" t="s">
        <v>516</v>
      </c>
      <c r="D577" t="s">
        <v>1204</v>
      </c>
      <c r="E577" s="555">
        <v>7052.6256073330333</v>
      </c>
      <c r="F577">
        <v>0</v>
      </c>
      <c r="G577" s="555">
        <v>344.5</v>
      </c>
      <c r="H577" s="559">
        <v>0.16562499999999999</v>
      </c>
      <c r="J577" s="1276"/>
      <c r="K577" s="547"/>
      <c r="L577" s="1277"/>
      <c r="M577" s="1278"/>
      <c r="N577" s="1279"/>
      <c r="O577" s="1051"/>
    </row>
    <row r="578" spans="2:15" ht="13" x14ac:dyDescent="0.3">
      <c r="B578" s="579">
        <f t="shared" si="17"/>
        <v>260</v>
      </c>
      <c r="C578" s="1079" t="s">
        <v>516</v>
      </c>
      <c r="D578" t="s">
        <v>1204</v>
      </c>
      <c r="E578" s="555">
        <v>12423.624850916949</v>
      </c>
      <c r="F578">
        <v>0</v>
      </c>
      <c r="G578" s="555">
        <v>591.5</v>
      </c>
      <c r="H578" s="559">
        <v>0.28437499999999999</v>
      </c>
      <c r="J578" s="1281"/>
      <c r="K578" s="1280"/>
      <c r="L578" s="1282"/>
      <c r="M578" s="1278"/>
      <c r="N578" s="1283"/>
      <c r="O578" s="1051"/>
    </row>
    <row r="579" spans="2:15" ht="13" x14ac:dyDescent="0.3">
      <c r="B579" s="579">
        <f t="shared" si="17"/>
        <v>261</v>
      </c>
      <c r="C579" s="1079" t="s">
        <v>516</v>
      </c>
      <c r="D579" t="s">
        <v>1204</v>
      </c>
      <c r="E579" s="555">
        <v>6583.0621545540062</v>
      </c>
      <c r="F579">
        <v>0</v>
      </c>
      <c r="G579" s="555">
        <v>325.5</v>
      </c>
      <c r="H579" s="559">
        <v>0.15649038461538461</v>
      </c>
      <c r="J579" s="579"/>
      <c r="L579" s="741"/>
      <c r="M579" s="1278"/>
      <c r="N579" s="1236"/>
      <c r="O579" s="1051"/>
    </row>
    <row r="580" spans="2:15" ht="13" x14ac:dyDescent="0.3">
      <c r="B580" s="579">
        <f t="shared" si="17"/>
        <v>262</v>
      </c>
      <c r="C580" s="1079" t="s">
        <v>516</v>
      </c>
      <c r="D580" t="s">
        <v>1204</v>
      </c>
      <c r="E580" s="555">
        <v>1915.3488042359604</v>
      </c>
      <c r="F580">
        <v>0</v>
      </c>
      <c r="G580" s="555">
        <v>112.5</v>
      </c>
      <c r="H580" s="559">
        <v>5.4086538461538464E-2</v>
      </c>
      <c r="J580" s="1276"/>
      <c r="K580" s="547"/>
      <c r="L580" s="1277"/>
      <c r="M580" s="1278"/>
      <c r="N580" s="1279"/>
      <c r="O580" s="1051"/>
    </row>
    <row r="581" spans="2:15" ht="13" x14ac:dyDescent="0.3">
      <c r="B581" s="579">
        <f t="shared" si="17"/>
        <v>263</v>
      </c>
      <c r="C581" s="1079" t="s">
        <v>516</v>
      </c>
      <c r="D581" t="s">
        <v>1204</v>
      </c>
      <c r="E581" s="555">
        <v>47809.839910819508</v>
      </c>
      <c r="F581">
        <v>0</v>
      </c>
      <c r="G581" s="555">
        <v>2221</v>
      </c>
      <c r="H581" s="559">
        <v>1.0677884615384616</v>
      </c>
      <c r="J581" s="1281"/>
      <c r="K581" s="1280"/>
      <c r="L581" s="1282"/>
      <c r="M581" s="1278"/>
      <c r="N581" s="1283"/>
      <c r="O581" s="1051"/>
    </row>
    <row r="582" spans="2:15" ht="13" x14ac:dyDescent="0.3">
      <c r="B582" s="579">
        <f t="shared" si="17"/>
        <v>264</v>
      </c>
      <c r="C582" s="1079" t="s">
        <v>516</v>
      </c>
      <c r="D582" t="s">
        <v>1204</v>
      </c>
      <c r="E582" s="555">
        <v>4018.7908090381684</v>
      </c>
      <c r="F582">
        <v>0</v>
      </c>
      <c r="G582" s="555">
        <v>195.42000000000002</v>
      </c>
      <c r="H582" s="559">
        <v>9.3951923076923086E-2</v>
      </c>
      <c r="J582" s="579"/>
      <c r="L582" s="741"/>
      <c r="M582" s="1278"/>
      <c r="N582" s="1236"/>
      <c r="O582" s="1051"/>
    </row>
    <row r="583" spans="2:15" ht="13" x14ac:dyDescent="0.3">
      <c r="B583" s="579">
        <f t="shared" si="17"/>
        <v>265</v>
      </c>
      <c r="C583" s="1079" t="s">
        <v>516</v>
      </c>
      <c r="D583" t="s">
        <v>1204</v>
      </c>
      <c r="E583" s="555">
        <v>11539.810657352</v>
      </c>
      <c r="F583">
        <v>0</v>
      </c>
      <c r="G583" s="555">
        <v>568.75</v>
      </c>
      <c r="H583" s="559">
        <v>0.2734375</v>
      </c>
      <c r="J583" s="1276"/>
      <c r="K583" s="547"/>
      <c r="L583" s="1277"/>
      <c r="M583" s="1278"/>
      <c r="N583" s="1279"/>
      <c r="O583" s="1051"/>
    </row>
    <row r="584" spans="2:15" ht="13" x14ac:dyDescent="0.3">
      <c r="B584" s="579">
        <f t="shared" si="17"/>
        <v>266</v>
      </c>
      <c r="C584" s="1079" t="s">
        <v>516</v>
      </c>
      <c r="D584" t="s">
        <v>1204</v>
      </c>
      <c r="E584" s="555">
        <v>5558.6427473046924</v>
      </c>
      <c r="F584">
        <v>0</v>
      </c>
      <c r="G584" s="555">
        <v>243.75</v>
      </c>
      <c r="H584" s="559">
        <v>0.1171875</v>
      </c>
      <c r="J584" s="1281"/>
      <c r="K584" s="1280"/>
      <c r="L584" s="1282"/>
      <c r="M584" s="1278"/>
      <c r="N584" s="1283"/>
      <c r="O584" s="1051"/>
    </row>
    <row r="585" spans="2:15" ht="13" x14ac:dyDescent="0.3">
      <c r="B585" s="579">
        <f t="shared" si="17"/>
        <v>267</v>
      </c>
      <c r="C585" s="1079" t="s">
        <v>516</v>
      </c>
      <c r="D585" t="s">
        <v>1204</v>
      </c>
      <c r="E585" s="555">
        <v>13953.853276690363</v>
      </c>
      <c r="F585">
        <v>0</v>
      </c>
      <c r="G585" s="555">
        <v>612</v>
      </c>
      <c r="H585" s="559">
        <v>0.29423076923076924</v>
      </c>
      <c r="J585" s="1276"/>
      <c r="K585" s="547"/>
      <c r="L585" s="1277"/>
      <c r="M585" s="1278"/>
      <c r="N585" s="1279"/>
      <c r="O585" s="1051"/>
    </row>
    <row r="586" spans="2:15" ht="13" x14ac:dyDescent="0.3">
      <c r="B586" s="579">
        <f t="shared" si="17"/>
        <v>268</v>
      </c>
      <c r="C586" s="1079" t="s">
        <v>516</v>
      </c>
      <c r="D586" t="s">
        <v>1204</v>
      </c>
      <c r="E586" s="555">
        <v>9023.9366856722227</v>
      </c>
      <c r="F586">
        <v>0</v>
      </c>
      <c r="G586" s="555">
        <v>380</v>
      </c>
      <c r="H586" s="559">
        <v>0.18269230769230768</v>
      </c>
      <c r="J586" s="1276"/>
      <c r="K586" s="547"/>
      <c r="L586" s="1277"/>
      <c r="M586" s="1278"/>
      <c r="N586" s="1279"/>
      <c r="O586" s="1051"/>
    </row>
    <row r="587" spans="2:15" ht="13" x14ac:dyDescent="0.3">
      <c r="B587" s="579">
        <f t="shared" si="17"/>
        <v>269</v>
      </c>
      <c r="C587" s="1079" t="s">
        <v>516</v>
      </c>
      <c r="D587" t="s">
        <v>1204</v>
      </c>
      <c r="E587" s="555">
        <v>33972.468110369737</v>
      </c>
      <c r="F587">
        <v>0</v>
      </c>
      <c r="G587" s="555">
        <v>1586.75</v>
      </c>
      <c r="H587" s="559">
        <v>0.76286057692307696</v>
      </c>
      <c r="J587" s="1281"/>
      <c r="K587" s="1280"/>
      <c r="L587" s="1282"/>
      <c r="M587" s="1278"/>
      <c r="N587" s="1283"/>
      <c r="O587" s="1051"/>
    </row>
    <row r="588" spans="2:15" ht="13" x14ac:dyDescent="0.3">
      <c r="B588" s="579">
        <f t="shared" si="17"/>
        <v>270</v>
      </c>
      <c r="C588" s="1079" t="s">
        <v>516</v>
      </c>
      <c r="D588" t="s">
        <v>1204</v>
      </c>
      <c r="E588" s="555">
        <v>47850.632411335457</v>
      </c>
      <c r="F588">
        <v>0</v>
      </c>
      <c r="G588" s="555">
        <v>2200.5</v>
      </c>
      <c r="H588" s="559">
        <v>1.0579326923076924</v>
      </c>
      <c r="J588" s="579"/>
      <c r="L588" s="741"/>
      <c r="M588" s="1278"/>
      <c r="N588" s="1236"/>
      <c r="O588" s="1051"/>
    </row>
    <row r="589" spans="2:15" ht="13" x14ac:dyDescent="0.3">
      <c r="B589" s="579">
        <f t="shared" si="17"/>
        <v>271</v>
      </c>
      <c r="C589" s="1079" t="s">
        <v>516</v>
      </c>
      <c r="D589" t="s">
        <v>1204</v>
      </c>
      <c r="E589" s="555">
        <v>3017.9654962813051</v>
      </c>
      <c r="F589">
        <v>0</v>
      </c>
      <c r="G589" s="555">
        <v>151</v>
      </c>
      <c r="H589" s="559">
        <v>7.2596153846153852E-2</v>
      </c>
      <c r="J589" s="1276"/>
      <c r="K589" s="547"/>
      <c r="L589" s="1277"/>
      <c r="M589" s="1278"/>
      <c r="N589" s="1279"/>
      <c r="O589" s="1051"/>
    </row>
    <row r="590" spans="2:15" ht="13" x14ac:dyDescent="0.3">
      <c r="B590" s="579">
        <f t="shared" si="17"/>
        <v>272</v>
      </c>
      <c r="C590" s="1079" t="s">
        <v>516</v>
      </c>
      <c r="D590" t="s">
        <v>1204</v>
      </c>
      <c r="E590" s="555">
        <v>46959.283297293056</v>
      </c>
      <c r="F590">
        <v>0</v>
      </c>
      <c r="G590" s="555">
        <v>2207</v>
      </c>
      <c r="H590" s="559">
        <v>1.0610576923076922</v>
      </c>
      <c r="J590" s="1281"/>
      <c r="K590" s="1280"/>
      <c r="L590" s="1282"/>
      <c r="M590" s="1278"/>
      <c r="N590" s="1283"/>
      <c r="O590" s="1051"/>
    </row>
    <row r="591" spans="2:15" ht="13" x14ac:dyDescent="0.3">
      <c r="B591" s="579">
        <f t="shared" si="17"/>
        <v>273</v>
      </c>
      <c r="C591" s="1079" t="s">
        <v>516</v>
      </c>
      <c r="D591" t="s">
        <v>1205</v>
      </c>
      <c r="E591" s="555">
        <v>43395.175972080433</v>
      </c>
      <c r="F591">
        <v>0</v>
      </c>
      <c r="G591" s="555">
        <v>1906.5</v>
      </c>
      <c r="H591" s="559">
        <v>0.91658653846153848</v>
      </c>
      <c r="J591" s="1276"/>
      <c r="K591" s="547"/>
      <c r="L591" s="1277"/>
      <c r="M591" s="1278"/>
      <c r="N591" s="1279"/>
      <c r="O591" s="1051"/>
    </row>
    <row r="592" spans="2:15" ht="13" x14ac:dyDescent="0.3">
      <c r="B592" s="579">
        <f t="shared" si="17"/>
        <v>274</v>
      </c>
      <c r="C592" s="1079" t="s">
        <v>516</v>
      </c>
      <c r="D592" t="s">
        <v>1205</v>
      </c>
      <c r="E592" s="555">
        <v>51963.239975602432</v>
      </c>
      <c r="F592">
        <v>0</v>
      </c>
      <c r="G592" s="555">
        <v>2185.25</v>
      </c>
      <c r="H592" s="559">
        <v>1.0506009615384615</v>
      </c>
      <c r="J592" s="1276"/>
      <c r="K592" s="547"/>
      <c r="L592" s="1277"/>
      <c r="M592" s="1278"/>
      <c r="N592" s="1279"/>
      <c r="O592" s="1051"/>
    </row>
    <row r="593" spans="2:15" ht="13" x14ac:dyDescent="0.3">
      <c r="B593" s="579">
        <f t="shared" si="17"/>
        <v>275</v>
      </c>
      <c r="C593" s="1079" t="s">
        <v>516</v>
      </c>
      <c r="D593" t="s">
        <v>1205</v>
      </c>
      <c r="E593" s="555">
        <v>11080.57024549237</v>
      </c>
      <c r="F593">
        <v>0</v>
      </c>
      <c r="G593" s="555">
        <v>492.25</v>
      </c>
      <c r="H593" s="559">
        <v>0.23665865384615384</v>
      </c>
      <c r="J593" s="1281"/>
      <c r="K593" s="1280"/>
      <c r="L593" s="1282"/>
      <c r="M593" s="1278"/>
      <c r="N593" s="1283"/>
      <c r="O593" s="1051"/>
    </row>
    <row r="594" spans="2:15" ht="13" x14ac:dyDescent="0.3">
      <c r="B594" s="579">
        <f t="shared" si="17"/>
        <v>276</v>
      </c>
      <c r="C594" s="1079" t="s">
        <v>516</v>
      </c>
      <c r="D594" t="s">
        <v>1205</v>
      </c>
      <c r="E594" s="555">
        <v>36678.983564740098</v>
      </c>
      <c r="F594">
        <v>0</v>
      </c>
      <c r="G594" s="555">
        <v>1611.9</v>
      </c>
      <c r="H594" s="559">
        <v>0.77495192307692307</v>
      </c>
      <c r="J594" s="1276"/>
      <c r="K594" s="547"/>
      <c r="L594" s="1277"/>
      <c r="M594" s="1278"/>
      <c r="N594" s="1279"/>
      <c r="O594" s="1051"/>
    </row>
    <row r="595" spans="2:15" ht="13" x14ac:dyDescent="0.3">
      <c r="B595" s="579">
        <f t="shared" si="17"/>
        <v>277</v>
      </c>
      <c r="C595" s="1079" t="s">
        <v>516</v>
      </c>
      <c r="D595" t="s">
        <v>1205</v>
      </c>
      <c r="E595" s="555">
        <v>49883.701856452884</v>
      </c>
      <c r="F595">
        <v>0</v>
      </c>
      <c r="G595" s="555">
        <v>2172.25</v>
      </c>
      <c r="H595" s="559">
        <v>1.0443509615384616</v>
      </c>
      <c r="J595" s="1276"/>
      <c r="K595" s="547"/>
      <c r="L595" s="1277"/>
      <c r="M595" s="1278"/>
      <c r="N595" s="1279"/>
      <c r="O595" s="1051"/>
    </row>
    <row r="596" spans="2:15" ht="13" x14ac:dyDescent="0.3">
      <c r="B596" s="579">
        <f t="shared" si="17"/>
        <v>278</v>
      </c>
      <c r="C596" s="1079" t="s">
        <v>516</v>
      </c>
      <c r="D596" t="s">
        <v>1206</v>
      </c>
      <c r="E596" s="555">
        <v>1807.0418173197459</v>
      </c>
      <c r="F596">
        <v>0</v>
      </c>
      <c r="G596" s="555">
        <v>66.25</v>
      </c>
      <c r="H596" s="559">
        <v>3.1850961538461536E-2</v>
      </c>
      <c r="J596" s="1281"/>
      <c r="K596" s="1280"/>
      <c r="L596" s="1282"/>
      <c r="M596" s="1278"/>
      <c r="N596" s="1283"/>
      <c r="O596" s="1051"/>
    </row>
    <row r="597" spans="2:15" ht="13" x14ac:dyDescent="0.3">
      <c r="B597" s="579">
        <f t="shared" si="17"/>
        <v>279</v>
      </c>
      <c r="C597" s="1079" t="s">
        <v>516</v>
      </c>
      <c r="D597" t="s">
        <v>1207</v>
      </c>
      <c r="E597" s="555">
        <v>39954.005771156655</v>
      </c>
      <c r="F597">
        <v>1</v>
      </c>
      <c r="G597" s="555">
        <v>1594.75</v>
      </c>
      <c r="H597" s="559">
        <v>0.76670673076923079</v>
      </c>
      <c r="J597" s="1276"/>
      <c r="K597" s="547"/>
      <c r="L597" s="1277"/>
      <c r="M597" s="537"/>
      <c r="N597" s="1279"/>
      <c r="O597" s="1051"/>
    </row>
    <row r="598" spans="2:15" ht="13" x14ac:dyDescent="0.3">
      <c r="B598" s="579">
        <f t="shared" si="17"/>
        <v>280</v>
      </c>
      <c r="C598" s="1079" t="s">
        <v>516</v>
      </c>
      <c r="D598" t="s">
        <v>1208</v>
      </c>
      <c r="E598" s="555">
        <v>140130.18391659684</v>
      </c>
      <c r="F598">
        <v>0</v>
      </c>
      <c r="G598" s="555">
        <v>2080.0000000000005</v>
      </c>
      <c r="H598" s="559">
        <v>1.0000000000000002</v>
      </c>
      <c r="J598" s="1276"/>
      <c r="K598" s="547"/>
      <c r="L598" s="1277"/>
      <c r="M598" s="1278"/>
      <c r="N598" s="1279"/>
      <c r="O598" s="1051"/>
    </row>
    <row r="599" spans="2:15" ht="13" x14ac:dyDescent="0.3">
      <c r="B599" s="579">
        <f t="shared" si="17"/>
        <v>281</v>
      </c>
      <c r="C599" s="1079" t="s">
        <v>516</v>
      </c>
      <c r="D599" t="s">
        <v>1209</v>
      </c>
      <c r="E599" s="555">
        <v>69209.503736734303</v>
      </c>
      <c r="F599">
        <v>0</v>
      </c>
      <c r="G599" s="555">
        <v>1854.25</v>
      </c>
      <c r="H599" s="559">
        <v>0.89146634615384612</v>
      </c>
      <c r="J599" s="1281"/>
      <c r="K599" s="1280"/>
      <c r="L599" s="1282"/>
      <c r="M599" s="1278"/>
      <c r="N599" s="1283"/>
      <c r="O599" s="1051"/>
    </row>
    <row r="600" spans="2:15" ht="13" x14ac:dyDescent="0.3">
      <c r="B600" s="579">
        <f t="shared" si="17"/>
        <v>282</v>
      </c>
      <c r="C600" s="1079" t="s">
        <v>516</v>
      </c>
      <c r="D600" t="s">
        <v>1210</v>
      </c>
      <c r="E600" s="555">
        <v>65824.995338340057</v>
      </c>
      <c r="F600">
        <v>0</v>
      </c>
      <c r="G600" s="555">
        <v>2080</v>
      </c>
      <c r="H600" s="559">
        <v>1</v>
      </c>
      <c r="J600" s="1276"/>
      <c r="K600" s="547"/>
      <c r="L600" s="1277"/>
      <c r="M600" s="1278"/>
      <c r="N600" s="1279"/>
      <c r="O600" s="1051"/>
    </row>
    <row r="601" spans="2:15" ht="13" x14ac:dyDescent="0.3">
      <c r="B601" s="579">
        <f t="shared" si="17"/>
        <v>283</v>
      </c>
      <c r="C601" s="1079" t="s">
        <v>516</v>
      </c>
      <c r="D601" t="s">
        <v>1211</v>
      </c>
      <c r="E601" s="555">
        <v>7255.1091069543954</v>
      </c>
      <c r="F601">
        <v>27</v>
      </c>
      <c r="G601" s="555">
        <v>57</v>
      </c>
      <c r="H601" s="559">
        <v>2.7403846153846154E-2</v>
      </c>
      <c r="J601" s="1276"/>
      <c r="K601" s="547"/>
      <c r="L601" s="1277"/>
      <c r="M601" s="537"/>
      <c r="N601" s="1279"/>
      <c r="O601" s="1051"/>
    </row>
    <row r="602" spans="2:15" ht="13" x14ac:dyDescent="0.3">
      <c r="B602" s="579">
        <f t="shared" si="17"/>
        <v>284</v>
      </c>
      <c r="C602" s="1079" t="s">
        <v>516</v>
      </c>
      <c r="D602" t="s">
        <v>1211</v>
      </c>
      <c r="E602" s="555">
        <v>88495.742287877307</v>
      </c>
      <c r="F602">
        <v>1524</v>
      </c>
      <c r="G602" s="555">
        <v>744</v>
      </c>
      <c r="H602" s="559">
        <v>0.3576923076923077</v>
      </c>
      <c r="J602" s="1281"/>
      <c r="K602" s="1280"/>
      <c r="L602" s="1282"/>
      <c r="M602" s="537"/>
      <c r="N602" s="1283"/>
      <c r="O602" s="1051"/>
    </row>
    <row r="603" spans="2:15" ht="13" x14ac:dyDescent="0.3">
      <c r="B603" s="579">
        <f t="shared" si="17"/>
        <v>285</v>
      </c>
      <c r="C603" s="1079" t="s">
        <v>516</v>
      </c>
      <c r="D603" t="s">
        <v>1211</v>
      </c>
      <c r="E603" s="555">
        <v>159056.47511936055</v>
      </c>
      <c r="F603">
        <v>1814</v>
      </c>
      <c r="G603" s="555">
        <v>1345.5</v>
      </c>
      <c r="H603" s="559">
        <v>0.64687499999999998</v>
      </c>
      <c r="J603" s="1276"/>
      <c r="K603" s="547"/>
      <c r="L603" s="1277"/>
      <c r="M603" s="537"/>
      <c r="N603" s="1279"/>
      <c r="O603" s="1051"/>
    </row>
    <row r="604" spans="2:15" ht="13" x14ac:dyDescent="0.3">
      <c r="B604" s="579">
        <f t="shared" si="17"/>
        <v>286</v>
      </c>
      <c r="C604" s="1079" t="s">
        <v>516</v>
      </c>
      <c r="D604" t="s">
        <v>1211</v>
      </c>
      <c r="E604" s="555">
        <v>4596.9010870509946</v>
      </c>
      <c r="F604">
        <v>68</v>
      </c>
      <c r="G604" s="555">
        <v>40</v>
      </c>
      <c r="H604" s="559">
        <v>1.9230769230769232E-2</v>
      </c>
      <c r="J604" s="1285"/>
      <c r="K604" s="1284"/>
      <c r="L604" s="1286"/>
      <c r="M604" s="1287"/>
      <c r="N604" s="1288"/>
      <c r="O604" s="1051"/>
    </row>
    <row r="605" spans="2:15" ht="13" x14ac:dyDescent="0.3">
      <c r="B605" s="579">
        <f t="shared" si="17"/>
        <v>287</v>
      </c>
      <c r="C605" s="1079" t="s">
        <v>516</v>
      </c>
      <c r="D605" t="s">
        <v>1212</v>
      </c>
      <c r="E605" s="555">
        <v>54083.37073000332</v>
      </c>
      <c r="F605">
        <v>0</v>
      </c>
      <c r="G605" s="555">
        <v>2135.5</v>
      </c>
      <c r="H605" s="559">
        <v>1.0266826923076924</v>
      </c>
      <c r="J605" s="1281"/>
      <c r="K605" s="1280"/>
      <c r="L605" s="1282"/>
      <c r="M605" s="1278"/>
      <c r="N605" s="1283"/>
      <c r="O605" s="1051"/>
    </row>
    <row r="606" spans="2:15" ht="13" x14ac:dyDescent="0.3">
      <c r="B606" s="579">
        <f t="shared" si="17"/>
        <v>288</v>
      </c>
      <c r="C606" s="1079" t="s">
        <v>516</v>
      </c>
      <c r="D606" t="s">
        <v>1212</v>
      </c>
      <c r="E606" s="555">
        <v>2462.1002222245129</v>
      </c>
      <c r="F606">
        <v>0</v>
      </c>
      <c r="G606" s="555">
        <v>104</v>
      </c>
      <c r="H606" s="559">
        <v>0.05</v>
      </c>
      <c r="J606" s="1276"/>
      <c r="K606" s="547"/>
      <c r="L606" s="1277"/>
      <c r="M606" s="1278"/>
      <c r="N606" s="1279"/>
      <c r="O606" s="1051"/>
    </row>
    <row r="607" spans="2:15" ht="13" x14ac:dyDescent="0.3">
      <c r="B607" s="579">
        <f t="shared" si="17"/>
        <v>289</v>
      </c>
      <c r="C607" s="1079" t="s">
        <v>516</v>
      </c>
      <c r="D607" t="s">
        <v>1212</v>
      </c>
      <c r="E607" s="555">
        <v>50778.728491364927</v>
      </c>
      <c r="F607">
        <v>0</v>
      </c>
      <c r="G607" s="555">
        <v>2080.75</v>
      </c>
      <c r="H607" s="559">
        <v>1.000360576923077</v>
      </c>
      <c r="J607" s="1276"/>
      <c r="K607" s="547"/>
      <c r="L607" s="1277"/>
      <c r="M607" s="1278"/>
      <c r="N607" s="1279"/>
      <c r="O607" s="1051"/>
    </row>
    <row r="608" spans="2:15" ht="13" x14ac:dyDescent="0.3">
      <c r="B608" s="579">
        <f t="shared" si="17"/>
        <v>290</v>
      </c>
      <c r="C608" s="1079" t="s">
        <v>516</v>
      </c>
      <c r="D608" t="s">
        <v>1213</v>
      </c>
      <c r="E608" s="555">
        <v>103632.62804584666</v>
      </c>
      <c r="F608">
        <v>0</v>
      </c>
      <c r="G608" s="555">
        <v>1651.6499999999994</v>
      </c>
      <c r="H608" s="559">
        <v>0.79406249999999967</v>
      </c>
      <c r="J608" s="1281"/>
      <c r="K608" s="1280"/>
      <c r="L608" s="1282"/>
      <c r="M608" s="1278"/>
      <c r="N608" s="1283"/>
      <c r="O608" s="1051"/>
    </row>
    <row r="609" spans="2:15" ht="13" x14ac:dyDescent="0.3">
      <c r="B609" s="579">
        <f t="shared" si="17"/>
        <v>291</v>
      </c>
      <c r="C609" s="1079" t="s">
        <v>516</v>
      </c>
      <c r="D609" t="s">
        <v>1214</v>
      </c>
      <c r="E609" s="555">
        <v>40364.469065177378</v>
      </c>
      <c r="F609">
        <v>0</v>
      </c>
      <c r="G609" s="555">
        <v>1120</v>
      </c>
      <c r="H609" s="559">
        <v>0.53846153846153844</v>
      </c>
      <c r="J609" s="579"/>
      <c r="L609" s="741"/>
      <c r="M609" s="1278"/>
      <c r="N609" s="1236"/>
      <c r="O609" s="1051"/>
    </row>
    <row r="610" spans="2:15" ht="13" x14ac:dyDescent="0.3">
      <c r="B610" s="579">
        <f t="shared" si="17"/>
        <v>292</v>
      </c>
      <c r="C610" s="1079" t="s">
        <v>516</v>
      </c>
      <c r="D610" t="s">
        <v>1214</v>
      </c>
      <c r="E610" s="555">
        <v>77532.383026841504</v>
      </c>
      <c r="F610">
        <v>0</v>
      </c>
      <c r="G610" s="555">
        <v>2080</v>
      </c>
      <c r="H610" s="559">
        <v>1</v>
      </c>
      <c r="J610" s="1276"/>
      <c r="K610" s="547"/>
      <c r="L610" s="1277"/>
      <c r="M610" s="1278"/>
      <c r="N610" s="1279"/>
      <c r="O610" s="1051"/>
    </row>
    <row r="611" spans="2:15" ht="13" x14ac:dyDescent="0.3">
      <c r="B611" s="579">
        <f t="shared" si="17"/>
        <v>293</v>
      </c>
      <c r="C611" s="1079" t="s">
        <v>516</v>
      </c>
      <c r="D611" t="s">
        <v>1214</v>
      </c>
      <c r="E611" s="555">
        <v>1427.1179357382139</v>
      </c>
      <c r="F611">
        <v>0</v>
      </c>
      <c r="G611" s="555">
        <v>40</v>
      </c>
      <c r="H611" s="559">
        <v>1.9230769230769232E-2</v>
      </c>
      <c r="J611" s="1281"/>
      <c r="K611" s="1280"/>
      <c r="L611" s="1282"/>
      <c r="M611" s="1278"/>
      <c r="N611" s="1283"/>
      <c r="O611" s="1051"/>
    </row>
    <row r="612" spans="2:15" ht="13" x14ac:dyDescent="0.3">
      <c r="B612" s="579">
        <f t="shared" si="17"/>
        <v>294</v>
      </c>
      <c r="C612" s="1079" t="s">
        <v>516</v>
      </c>
      <c r="D612" t="s">
        <v>1215</v>
      </c>
      <c r="E612" s="555">
        <v>87899.993900258749</v>
      </c>
      <c r="F612">
        <v>0</v>
      </c>
      <c r="G612" s="555">
        <v>2080</v>
      </c>
      <c r="H612" s="559">
        <v>1</v>
      </c>
      <c r="J612" s="1276"/>
      <c r="K612" s="547"/>
      <c r="L612" s="1277"/>
      <c r="M612" s="1278"/>
      <c r="N612" s="1279"/>
      <c r="O612" s="1051"/>
    </row>
    <row r="613" spans="2:15" ht="13" x14ac:dyDescent="0.3">
      <c r="B613" s="579">
        <f t="shared" si="17"/>
        <v>295</v>
      </c>
      <c r="C613" s="1079" t="s">
        <v>516</v>
      </c>
      <c r="D613" t="s">
        <v>1215</v>
      </c>
      <c r="E613" s="555">
        <v>39972.982978035579</v>
      </c>
      <c r="F613">
        <v>0</v>
      </c>
      <c r="G613" s="555">
        <v>1000</v>
      </c>
      <c r="H613" s="559">
        <v>0.48076923076923078</v>
      </c>
      <c r="J613" s="579"/>
      <c r="L613" s="741"/>
      <c r="M613" s="1278"/>
      <c r="N613" s="1236"/>
      <c r="O613" s="1051"/>
    </row>
    <row r="614" spans="2:15" ht="13" x14ac:dyDescent="0.3">
      <c r="B614" s="579">
        <f t="shared" si="17"/>
        <v>296</v>
      </c>
      <c r="C614" s="1079" t="s">
        <v>516</v>
      </c>
      <c r="D614" t="s">
        <v>1215</v>
      </c>
      <c r="E614" s="555">
        <v>83102.238215493329</v>
      </c>
      <c r="F614">
        <v>0</v>
      </c>
      <c r="G614" s="555">
        <v>2080.0000000000009</v>
      </c>
      <c r="H614" s="559">
        <v>1.0000000000000004</v>
      </c>
      <c r="J614" s="1281"/>
      <c r="K614" s="1280"/>
      <c r="L614" s="1282"/>
      <c r="M614" s="1278"/>
      <c r="N614" s="1283"/>
      <c r="O614" s="1051"/>
    </row>
    <row r="615" spans="2:15" ht="13" x14ac:dyDescent="0.3">
      <c r="B615" s="579">
        <f t="shared" si="17"/>
        <v>297</v>
      </c>
      <c r="C615" s="1079" t="s">
        <v>516</v>
      </c>
      <c r="D615" t="s">
        <v>1215</v>
      </c>
      <c r="E615" s="555">
        <v>69347.330823239943</v>
      </c>
      <c r="F615">
        <v>0</v>
      </c>
      <c r="G615" s="555">
        <v>1600</v>
      </c>
      <c r="H615" s="559">
        <v>0.76923076923076927</v>
      </c>
      <c r="J615" s="1276"/>
      <c r="K615" s="547"/>
      <c r="L615" s="1277"/>
      <c r="M615" s="1278"/>
      <c r="N615" s="1279"/>
      <c r="O615" s="1051"/>
    </row>
    <row r="616" spans="2:15" ht="13" x14ac:dyDescent="0.3">
      <c r="B616" s="579">
        <f t="shared" si="17"/>
        <v>298</v>
      </c>
      <c r="C616" s="1079" t="s">
        <v>516</v>
      </c>
      <c r="D616" t="s">
        <v>1216</v>
      </c>
      <c r="E616" s="555">
        <v>4675.6180215351251</v>
      </c>
      <c r="F616">
        <v>0</v>
      </c>
      <c r="G616" s="555">
        <v>176</v>
      </c>
      <c r="H616" s="559">
        <v>8.461538461538462E-2</v>
      </c>
      <c r="J616" s="1276"/>
      <c r="K616" s="547"/>
      <c r="L616" s="1277"/>
      <c r="M616" s="537"/>
      <c r="N616" s="1279"/>
      <c r="O616" s="1051"/>
    </row>
    <row r="617" spans="2:15" ht="13" x14ac:dyDescent="0.3">
      <c r="B617" s="579">
        <f t="shared" si="17"/>
        <v>299</v>
      </c>
      <c r="C617" s="1079" t="s">
        <v>516</v>
      </c>
      <c r="D617" t="s">
        <v>1216</v>
      </c>
      <c r="E617" s="555">
        <v>184.01594916729783</v>
      </c>
      <c r="F617">
        <v>0</v>
      </c>
      <c r="G617" s="555">
        <v>6.6510889999999998</v>
      </c>
      <c r="H617" s="559">
        <v>3.1976389423076924E-3</v>
      </c>
      <c r="J617" s="1281"/>
      <c r="K617" s="1280"/>
      <c r="L617" s="1282"/>
      <c r="M617" s="1278"/>
      <c r="N617" s="1283"/>
      <c r="O617" s="1051"/>
    </row>
    <row r="618" spans="2:15" ht="13" x14ac:dyDescent="0.3">
      <c r="B618" s="579">
        <f t="shared" si="17"/>
        <v>300</v>
      </c>
      <c r="C618" s="1079" t="s">
        <v>516</v>
      </c>
      <c r="D618" t="s">
        <v>1217</v>
      </c>
      <c r="E618" s="555">
        <v>45932.835257607498</v>
      </c>
      <c r="F618">
        <v>0</v>
      </c>
      <c r="G618" s="555">
        <v>1688</v>
      </c>
      <c r="H618" s="559">
        <v>0.81153846153846154</v>
      </c>
      <c r="J618" s="1276"/>
      <c r="K618" s="547"/>
      <c r="L618" s="1277"/>
      <c r="M618" s="1278"/>
      <c r="N618" s="1279"/>
      <c r="O618" s="1051"/>
    </row>
    <row r="619" spans="2:15" ht="13" x14ac:dyDescent="0.3">
      <c r="B619" s="579">
        <f t="shared" si="17"/>
        <v>301</v>
      </c>
      <c r="C619" s="1079" t="s">
        <v>516</v>
      </c>
      <c r="D619" t="s">
        <v>1217</v>
      </c>
      <c r="E619" s="555">
        <v>59912.681011966182</v>
      </c>
      <c r="F619">
        <v>0</v>
      </c>
      <c r="G619" s="555">
        <v>2080</v>
      </c>
      <c r="H619" s="559">
        <v>1</v>
      </c>
      <c r="J619" s="1276"/>
      <c r="K619" s="547"/>
      <c r="L619" s="1277"/>
      <c r="M619" s="1278"/>
      <c r="N619" s="1279"/>
      <c r="O619" s="1051"/>
    </row>
    <row r="620" spans="2:15" ht="13" x14ac:dyDescent="0.3">
      <c r="B620" s="579">
        <f t="shared" si="17"/>
        <v>302</v>
      </c>
      <c r="C620" s="1079" t="s">
        <v>516</v>
      </c>
      <c r="D620" t="s">
        <v>1217</v>
      </c>
      <c r="E620" s="555">
        <v>1232.5391073339313</v>
      </c>
      <c r="F620">
        <v>0</v>
      </c>
      <c r="G620" s="555">
        <v>33.600000000000009</v>
      </c>
      <c r="H620" s="559">
        <v>1.6153846153846158E-2</v>
      </c>
      <c r="J620" s="1281"/>
      <c r="K620" s="1280"/>
      <c r="L620" s="1282"/>
      <c r="M620" s="1278"/>
      <c r="N620" s="1283"/>
      <c r="O620" s="1051"/>
    </row>
    <row r="621" spans="2:15" ht="13" x14ac:dyDescent="0.3">
      <c r="B621" s="579">
        <f t="shared" si="17"/>
        <v>303</v>
      </c>
      <c r="C621" s="1079" t="s">
        <v>516</v>
      </c>
      <c r="D621" t="s">
        <v>1217</v>
      </c>
      <c r="E621" s="555">
        <v>4112.4576653184486</v>
      </c>
      <c r="F621">
        <v>0</v>
      </c>
      <c r="G621" s="555">
        <v>171.19</v>
      </c>
      <c r="H621" s="559">
        <v>8.2302884615384611E-2</v>
      </c>
      <c r="J621" s="1276"/>
      <c r="K621" s="547"/>
      <c r="L621" s="1277"/>
      <c r="M621" s="1278"/>
      <c r="N621" s="1279"/>
      <c r="O621" s="1051"/>
    </row>
    <row r="622" spans="2:15" ht="13" x14ac:dyDescent="0.3">
      <c r="B622" s="579">
        <f t="shared" si="17"/>
        <v>304</v>
      </c>
      <c r="C622" s="1079" t="s">
        <v>516</v>
      </c>
      <c r="D622" t="s">
        <v>1217</v>
      </c>
      <c r="E622" s="555">
        <v>43011.404684154266</v>
      </c>
      <c r="F622">
        <v>0</v>
      </c>
      <c r="G622" s="555">
        <v>1320</v>
      </c>
      <c r="H622" s="559">
        <v>0.63461538461538458</v>
      </c>
      <c r="J622" s="1276"/>
      <c r="K622" s="547"/>
      <c r="L622" s="1277"/>
      <c r="M622" s="1278"/>
      <c r="N622" s="1279"/>
      <c r="O622" s="1051"/>
    </row>
    <row r="623" spans="2:15" ht="13" x14ac:dyDescent="0.3">
      <c r="B623" s="579">
        <f t="shared" si="17"/>
        <v>305</v>
      </c>
      <c r="C623" s="1079" t="s">
        <v>516</v>
      </c>
      <c r="D623" t="s">
        <v>1217</v>
      </c>
      <c r="E623" s="555">
        <v>8495.7727372965328</v>
      </c>
      <c r="F623">
        <v>0</v>
      </c>
      <c r="G623" s="555">
        <v>274.78876899999995</v>
      </c>
      <c r="H623" s="559">
        <v>0.13210998509615382</v>
      </c>
      <c r="J623" s="1281"/>
      <c r="K623" s="1280"/>
      <c r="L623" s="1282"/>
      <c r="M623" s="1278"/>
      <c r="N623" s="1283"/>
      <c r="O623" s="1051"/>
    </row>
    <row r="624" spans="2:15" ht="13" x14ac:dyDescent="0.3">
      <c r="B624" s="579">
        <f t="shared" si="17"/>
        <v>306</v>
      </c>
      <c r="C624" s="1079" t="s">
        <v>516</v>
      </c>
      <c r="D624" t="s">
        <v>1217</v>
      </c>
      <c r="E624" s="555">
        <v>72396.954977442496</v>
      </c>
      <c r="F624">
        <v>0</v>
      </c>
      <c r="G624" s="555">
        <v>2006.76</v>
      </c>
      <c r="H624" s="559">
        <v>0.96478846153846154</v>
      </c>
      <c r="J624" s="1276"/>
      <c r="K624" s="547"/>
      <c r="L624" s="1277"/>
      <c r="M624" s="1278"/>
      <c r="N624" s="1279"/>
      <c r="O624" s="1051"/>
    </row>
    <row r="625" spans="2:15" ht="13" x14ac:dyDescent="0.3">
      <c r="B625" s="579">
        <f t="shared" si="17"/>
        <v>307</v>
      </c>
      <c r="C625" s="1079" t="s">
        <v>516</v>
      </c>
      <c r="D625" t="s">
        <v>1217</v>
      </c>
      <c r="E625" s="555">
        <v>3510.3535622838626</v>
      </c>
      <c r="F625">
        <v>0</v>
      </c>
      <c r="G625" s="555">
        <v>110.60960000000001</v>
      </c>
      <c r="H625" s="559">
        <v>5.3177692307692315E-2</v>
      </c>
      <c r="J625" s="579"/>
      <c r="L625" s="741"/>
      <c r="M625" s="1278"/>
      <c r="N625" s="1236"/>
      <c r="O625" s="1051"/>
    </row>
    <row r="626" spans="2:15" ht="13" x14ac:dyDescent="0.3">
      <c r="B626" s="579">
        <f t="shared" si="17"/>
        <v>308</v>
      </c>
      <c r="C626" s="1079" t="s">
        <v>516</v>
      </c>
      <c r="D626" t="s">
        <v>1218</v>
      </c>
      <c r="E626" s="555">
        <v>87532.451671822535</v>
      </c>
      <c r="F626">
        <v>0</v>
      </c>
      <c r="G626" s="555">
        <v>2080</v>
      </c>
      <c r="H626" s="559">
        <v>1</v>
      </c>
      <c r="J626" s="1281"/>
      <c r="K626" s="1280"/>
      <c r="L626" s="1282"/>
      <c r="M626" s="1278"/>
      <c r="N626" s="1283"/>
      <c r="O626" s="1051"/>
    </row>
    <row r="627" spans="2:15" ht="13" x14ac:dyDescent="0.3">
      <c r="B627" s="579">
        <f t="shared" si="17"/>
        <v>309</v>
      </c>
      <c r="C627" s="1079" t="s">
        <v>516</v>
      </c>
      <c r="D627" t="s">
        <v>1219</v>
      </c>
      <c r="E627" s="555">
        <v>71662.400163521437</v>
      </c>
      <c r="F627">
        <v>0</v>
      </c>
      <c r="G627" s="555">
        <v>1107.3334069999999</v>
      </c>
      <c r="H627" s="559">
        <v>0.53237183028846147</v>
      </c>
      <c r="J627" s="1276"/>
      <c r="K627" s="547"/>
      <c r="L627" s="1277"/>
      <c r="M627" s="1278"/>
      <c r="N627" s="1279"/>
      <c r="O627" s="1051"/>
    </row>
    <row r="628" spans="2:15" ht="13" x14ac:dyDescent="0.3">
      <c r="B628" s="579">
        <f t="shared" si="17"/>
        <v>310</v>
      </c>
      <c r="C628" s="1079" t="s">
        <v>516</v>
      </c>
      <c r="D628" t="s">
        <v>1220</v>
      </c>
      <c r="E628" s="555">
        <v>41205.022422207869</v>
      </c>
      <c r="F628">
        <v>0</v>
      </c>
      <c r="G628" s="555">
        <v>1858</v>
      </c>
      <c r="H628" s="559">
        <v>0.89326923076923082</v>
      </c>
      <c r="J628" s="1276"/>
      <c r="K628" s="547"/>
      <c r="L628" s="1277"/>
      <c r="M628" s="1278"/>
      <c r="N628" s="1279"/>
      <c r="O628" s="1051"/>
    </row>
    <row r="629" spans="2:15" ht="13" x14ac:dyDescent="0.3">
      <c r="B629" s="579">
        <f t="shared" si="17"/>
        <v>311</v>
      </c>
      <c r="C629" s="1079" t="s">
        <v>516</v>
      </c>
      <c r="D629" t="s">
        <v>1221</v>
      </c>
      <c r="E629" s="555">
        <v>23016.114126860062</v>
      </c>
      <c r="F629">
        <v>0</v>
      </c>
      <c r="G629" s="555">
        <v>960.75</v>
      </c>
      <c r="H629" s="559">
        <v>0.46189903846153846</v>
      </c>
      <c r="J629" s="1281"/>
      <c r="K629" s="1280"/>
      <c r="L629" s="1282"/>
      <c r="M629" s="1278"/>
      <c r="N629" s="1283"/>
      <c r="O629" s="1051"/>
    </row>
    <row r="630" spans="2:15" ht="13" x14ac:dyDescent="0.3">
      <c r="B630" s="579">
        <f t="shared" si="17"/>
        <v>312</v>
      </c>
      <c r="C630" s="1079" t="s">
        <v>516</v>
      </c>
      <c r="D630" t="s">
        <v>1221</v>
      </c>
      <c r="E630" s="555">
        <v>36140.04687859954</v>
      </c>
      <c r="F630">
        <v>0</v>
      </c>
      <c r="G630" s="555">
        <v>1521.25</v>
      </c>
      <c r="H630" s="559">
        <v>0.73137019230769229</v>
      </c>
      <c r="J630" s="579"/>
      <c r="L630" s="741"/>
      <c r="M630" s="1278"/>
      <c r="N630" s="1236"/>
      <c r="O630" s="1051"/>
    </row>
    <row r="631" spans="2:15" ht="13" x14ac:dyDescent="0.3">
      <c r="B631" s="579">
        <f t="shared" si="17"/>
        <v>313</v>
      </c>
      <c r="C631" s="1079" t="s">
        <v>516</v>
      </c>
      <c r="D631" t="s">
        <v>1221</v>
      </c>
      <c r="E631" s="555">
        <v>31599.188011757637</v>
      </c>
      <c r="F631">
        <v>0</v>
      </c>
      <c r="G631" s="555">
        <v>1340.25</v>
      </c>
      <c r="H631" s="559">
        <v>0.6443509615384615</v>
      </c>
      <c r="J631" s="1276"/>
      <c r="K631" s="547"/>
      <c r="L631" s="1277"/>
      <c r="M631" s="1278"/>
      <c r="N631" s="1279"/>
      <c r="O631" s="1051"/>
    </row>
    <row r="632" spans="2:15" ht="13" x14ac:dyDescent="0.3">
      <c r="B632" s="579">
        <f t="shared" si="17"/>
        <v>314</v>
      </c>
      <c r="C632" s="1079" t="s">
        <v>516</v>
      </c>
      <c r="D632" t="s">
        <v>1221</v>
      </c>
      <c r="E632" s="555">
        <v>52916.987025269947</v>
      </c>
      <c r="F632">
        <v>0</v>
      </c>
      <c r="G632" s="555">
        <v>2084.5</v>
      </c>
      <c r="H632" s="559">
        <v>1.0021634615384616</v>
      </c>
      <c r="J632" s="1281"/>
      <c r="K632" s="1280"/>
      <c r="L632" s="1282"/>
      <c r="M632" s="1278"/>
      <c r="N632" s="1283"/>
      <c r="O632" s="1051"/>
    </row>
    <row r="633" spans="2:15" ht="13" x14ac:dyDescent="0.3">
      <c r="B633" s="579">
        <f t="shared" si="17"/>
        <v>315</v>
      </c>
      <c r="C633" s="1079" t="s">
        <v>516</v>
      </c>
      <c r="D633" t="s">
        <v>1221</v>
      </c>
      <c r="E633" s="555">
        <v>51879.456456659296</v>
      </c>
      <c r="F633">
        <v>0</v>
      </c>
      <c r="G633" s="555">
        <v>2110.75</v>
      </c>
      <c r="H633" s="559">
        <v>1.0147836538461539</v>
      </c>
      <c r="J633" s="579"/>
      <c r="L633" s="741"/>
      <c r="M633" s="1278"/>
      <c r="N633" s="1236"/>
      <c r="O633" s="1051"/>
    </row>
    <row r="634" spans="2:15" ht="13" x14ac:dyDescent="0.3">
      <c r="B634" s="579">
        <f t="shared" si="17"/>
        <v>316</v>
      </c>
      <c r="C634" s="1079" t="s">
        <v>516</v>
      </c>
      <c r="D634" t="s">
        <v>1222</v>
      </c>
      <c r="E634" s="555">
        <v>105975.02896106971</v>
      </c>
      <c r="F634">
        <v>0</v>
      </c>
      <c r="G634" s="555">
        <v>2080</v>
      </c>
      <c r="H634" s="559">
        <v>1</v>
      </c>
      <c r="J634" s="1276"/>
      <c r="K634" s="547"/>
      <c r="L634" s="1277"/>
      <c r="M634" s="537"/>
      <c r="N634" s="1279"/>
      <c r="O634" s="1051"/>
    </row>
    <row r="635" spans="2:15" ht="13" x14ac:dyDescent="0.3">
      <c r="B635" s="579">
        <f t="shared" si="17"/>
        <v>317</v>
      </c>
      <c r="C635" s="1079" t="s">
        <v>516</v>
      </c>
      <c r="D635" t="s">
        <v>1222</v>
      </c>
      <c r="E635" s="555">
        <v>86529.717645788216</v>
      </c>
      <c r="F635">
        <v>0</v>
      </c>
      <c r="G635" s="555">
        <v>2079.9999999999991</v>
      </c>
      <c r="H635" s="559">
        <v>0.99999999999999956</v>
      </c>
      <c r="J635" s="1281"/>
      <c r="K635" s="1280"/>
      <c r="L635" s="1282"/>
      <c r="M635" s="1278"/>
      <c r="N635" s="1283"/>
      <c r="O635" s="1051"/>
    </row>
    <row r="636" spans="2:15" ht="13" x14ac:dyDescent="0.3">
      <c r="B636" s="579">
        <f t="shared" si="17"/>
        <v>318</v>
      </c>
      <c r="C636" s="1079" t="s">
        <v>516</v>
      </c>
      <c r="D636" t="s">
        <v>1222</v>
      </c>
      <c r="E636" s="555">
        <v>89750.876163380424</v>
      </c>
      <c r="F636">
        <v>0</v>
      </c>
      <c r="G636" s="555">
        <v>2080</v>
      </c>
      <c r="H636" s="559">
        <v>1</v>
      </c>
      <c r="J636" s="1276"/>
      <c r="K636" s="547"/>
      <c r="L636" s="1277"/>
      <c r="M636" s="1278"/>
      <c r="N636" s="1279"/>
      <c r="O636" s="1051"/>
    </row>
    <row r="637" spans="2:15" ht="13" x14ac:dyDescent="0.3">
      <c r="B637" s="579">
        <f t="shared" si="17"/>
        <v>319</v>
      </c>
      <c r="C637" s="1079" t="s">
        <v>516</v>
      </c>
      <c r="D637" t="s">
        <v>1222</v>
      </c>
      <c r="E637" s="555">
        <v>68706.802623075535</v>
      </c>
      <c r="F637">
        <v>0</v>
      </c>
      <c r="G637" s="555">
        <v>2080</v>
      </c>
      <c r="H637" s="559">
        <v>1</v>
      </c>
      <c r="J637" s="1276"/>
      <c r="K637" s="547"/>
      <c r="L637" s="1277"/>
      <c r="M637" s="1278"/>
      <c r="N637" s="1279"/>
      <c r="O637" s="1051"/>
    </row>
    <row r="638" spans="2:15" ht="13" x14ac:dyDescent="0.3">
      <c r="B638" s="579">
        <f t="shared" si="17"/>
        <v>320</v>
      </c>
      <c r="C638" s="1079" t="s">
        <v>516</v>
      </c>
      <c r="D638" t="s">
        <v>1223</v>
      </c>
      <c r="E638" s="555">
        <v>83.87345831221522</v>
      </c>
      <c r="F638">
        <v>0</v>
      </c>
      <c r="G638" s="555">
        <v>1.44</v>
      </c>
      <c r="H638" s="559">
        <v>6.9230769230769226E-4</v>
      </c>
      <c r="J638" s="1281"/>
      <c r="K638" s="1280"/>
      <c r="L638" s="1282"/>
      <c r="M638" s="1278"/>
      <c r="N638" s="1283"/>
      <c r="O638" s="1051"/>
    </row>
    <row r="639" spans="2:15" ht="13" x14ac:dyDescent="0.3">
      <c r="B639" s="579">
        <f t="shared" si="17"/>
        <v>321</v>
      </c>
      <c r="C639" s="1079" t="s">
        <v>516</v>
      </c>
      <c r="D639" t="s">
        <v>1224</v>
      </c>
      <c r="E639" s="555">
        <v>61553.694753937511</v>
      </c>
      <c r="F639">
        <v>0</v>
      </c>
      <c r="G639" s="555">
        <v>2315.75</v>
      </c>
      <c r="H639" s="559">
        <v>1.1133413461538462</v>
      </c>
      <c r="J639" s="1276"/>
      <c r="K639" s="547"/>
      <c r="L639" s="1277"/>
      <c r="M639" s="1278"/>
      <c r="N639" s="1279"/>
      <c r="O639" s="1051"/>
    </row>
    <row r="640" spans="2:15" ht="13" x14ac:dyDescent="0.3">
      <c r="B640" s="579">
        <f t="shared" ref="B640:B673" si="18">+B639+1</f>
        <v>322</v>
      </c>
      <c r="C640" s="1079" t="s">
        <v>516</v>
      </c>
      <c r="D640" t="s">
        <v>1224</v>
      </c>
      <c r="E640" s="555">
        <v>53776.597535285269</v>
      </c>
      <c r="F640">
        <v>0</v>
      </c>
      <c r="G640" s="555">
        <v>2160</v>
      </c>
      <c r="H640" s="559">
        <v>1.0384615384615385</v>
      </c>
      <c r="J640" s="1276"/>
      <c r="K640" s="547"/>
      <c r="L640" s="1277"/>
      <c r="M640" s="1278"/>
      <c r="N640" s="1279"/>
      <c r="O640" s="1051"/>
    </row>
    <row r="641" spans="2:15" ht="13" x14ac:dyDescent="0.3">
      <c r="B641" s="579">
        <f t="shared" si="18"/>
        <v>323</v>
      </c>
      <c r="C641" s="1079" t="s">
        <v>516</v>
      </c>
      <c r="D641" t="s">
        <v>1224</v>
      </c>
      <c r="E641" s="555">
        <v>52128.7983675789</v>
      </c>
      <c r="F641">
        <v>0</v>
      </c>
      <c r="G641" s="555">
        <v>1755.38</v>
      </c>
      <c r="H641" s="559">
        <v>0.84393269230769241</v>
      </c>
      <c r="J641" s="1281"/>
      <c r="K641" s="1280"/>
      <c r="L641" s="1282"/>
      <c r="M641" s="1278"/>
      <c r="N641" s="1283"/>
      <c r="O641" s="1051"/>
    </row>
    <row r="642" spans="2:15" ht="13" x14ac:dyDescent="0.3">
      <c r="B642" s="579">
        <f t="shared" si="18"/>
        <v>324</v>
      </c>
      <c r="C642" s="1079" t="s">
        <v>516</v>
      </c>
      <c r="D642" t="s">
        <v>1224</v>
      </c>
      <c r="E642" s="555">
        <v>41371.100463872426</v>
      </c>
      <c r="F642">
        <v>0</v>
      </c>
      <c r="G642" s="555">
        <v>1636.35</v>
      </c>
      <c r="H642" s="559">
        <v>0.7867067307692307</v>
      </c>
      <c r="J642" s="1276"/>
      <c r="K642" s="547"/>
      <c r="L642" s="1277"/>
      <c r="M642" s="1278"/>
      <c r="N642" s="1279"/>
      <c r="O642" s="1051"/>
    </row>
    <row r="643" spans="2:15" ht="13" x14ac:dyDescent="0.3">
      <c r="B643" s="579">
        <f t="shared" si="18"/>
        <v>325</v>
      </c>
      <c r="C643" s="1079" t="s">
        <v>516</v>
      </c>
      <c r="D643" t="s">
        <v>1224</v>
      </c>
      <c r="E643" s="555">
        <v>57623.22440535012</v>
      </c>
      <c r="F643">
        <v>0</v>
      </c>
      <c r="G643" s="555">
        <v>2114</v>
      </c>
      <c r="H643" s="559">
        <v>1.0163461538461538</v>
      </c>
      <c r="J643" s="1276"/>
      <c r="K643" s="547"/>
      <c r="L643" s="1277"/>
      <c r="M643" s="1278"/>
      <c r="N643" s="1279"/>
      <c r="O643" s="1051"/>
    </row>
    <row r="644" spans="2:15" ht="13" x14ac:dyDescent="0.3">
      <c r="B644" s="579">
        <f t="shared" si="18"/>
        <v>326</v>
      </c>
      <c r="C644" s="1079" t="s">
        <v>516</v>
      </c>
      <c r="D644" t="s">
        <v>1224</v>
      </c>
      <c r="E644" s="555">
        <v>57697.934041277935</v>
      </c>
      <c r="F644">
        <v>0</v>
      </c>
      <c r="G644" s="555">
        <v>1934.7499999999998</v>
      </c>
      <c r="H644" s="559">
        <v>0.93016826923076912</v>
      </c>
      <c r="J644" s="1281"/>
      <c r="K644" s="1280"/>
      <c r="L644" s="1282"/>
      <c r="M644" s="1278"/>
      <c r="N644" s="1283"/>
      <c r="O644" s="1051"/>
    </row>
    <row r="645" spans="2:15" ht="13" x14ac:dyDescent="0.3">
      <c r="B645" s="579">
        <f t="shared" si="18"/>
        <v>327</v>
      </c>
      <c r="C645" s="1079" t="s">
        <v>516</v>
      </c>
      <c r="D645" t="s">
        <v>1224</v>
      </c>
      <c r="E645" s="555">
        <v>59747.23254588525</v>
      </c>
      <c r="F645">
        <v>0</v>
      </c>
      <c r="G645" s="555">
        <v>2200.75</v>
      </c>
      <c r="H645" s="559">
        <v>1.0580528846153847</v>
      </c>
      <c r="J645" s="1276"/>
      <c r="K645" s="547"/>
      <c r="L645" s="1277"/>
      <c r="M645" s="1278"/>
      <c r="N645" s="1279"/>
      <c r="O645" s="1051"/>
    </row>
    <row r="646" spans="2:15" ht="13" x14ac:dyDescent="0.3">
      <c r="B646" s="579">
        <f t="shared" si="18"/>
        <v>328</v>
      </c>
      <c r="C646" s="1079" t="s">
        <v>516</v>
      </c>
      <c r="D646" t="s">
        <v>1224</v>
      </c>
      <c r="E646" s="555">
        <v>53669.509726483411</v>
      </c>
      <c r="F646">
        <v>0</v>
      </c>
      <c r="G646" s="555">
        <v>1928.75</v>
      </c>
      <c r="H646" s="559">
        <v>0.92728365384615385</v>
      </c>
      <c r="J646" s="1276"/>
      <c r="K646" s="547"/>
      <c r="L646" s="1277"/>
      <c r="M646" s="1278"/>
      <c r="N646" s="1279"/>
      <c r="O646" s="1051"/>
    </row>
    <row r="647" spans="2:15" ht="13" x14ac:dyDescent="0.3">
      <c r="B647" s="579">
        <f t="shared" si="18"/>
        <v>329</v>
      </c>
      <c r="C647" s="1079" t="s">
        <v>516</v>
      </c>
      <c r="D647" t="s">
        <v>1224</v>
      </c>
      <c r="E647" s="555">
        <v>54176.967633440981</v>
      </c>
      <c r="F647">
        <v>0</v>
      </c>
      <c r="G647" s="555">
        <v>2176.75</v>
      </c>
      <c r="H647" s="559">
        <v>1.046514423076923</v>
      </c>
      <c r="J647" s="1281"/>
      <c r="K647" s="1280"/>
      <c r="L647" s="1282"/>
      <c r="M647" s="1278"/>
      <c r="N647" s="1283"/>
      <c r="O647" s="1051"/>
    </row>
    <row r="648" spans="2:15" ht="13" x14ac:dyDescent="0.3">
      <c r="B648" s="579">
        <f t="shared" si="18"/>
        <v>330</v>
      </c>
      <c r="C648" s="1079" t="s">
        <v>516</v>
      </c>
      <c r="D648" t="s">
        <v>1224</v>
      </c>
      <c r="E648" s="555">
        <v>21107.650680991443</v>
      </c>
      <c r="F648">
        <v>0</v>
      </c>
      <c r="G648" s="555">
        <v>767.2600000000001</v>
      </c>
      <c r="H648" s="559">
        <v>0.36887500000000006</v>
      </c>
      <c r="J648" s="579"/>
      <c r="L648" s="741"/>
      <c r="M648" s="1278"/>
      <c r="N648" s="1236"/>
      <c r="O648" s="1051"/>
    </row>
    <row r="649" spans="2:15" ht="13" x14ac:dyDescent="0.3">
      <c r="B649" s="579">
        <f t="shared" si="18"/>
        <v>331</v>
      </c>
      <c r="C649" s="1079" t="s">
        <v>516</v>
      </c>
      <c r="D649" t="s">
        <v>1224</v>
      </c>
      <c r="E649" s="555">
        <v>61327.167462978214</v>
      </c>
      <c r="F649">
        <v>0</v>
      </c>
      <c r="G649" s="555">
        <v>2154.75</v>
      </c>
      <c r="H649" s="559">
        <v>1.0359375</v>
      </c>
      <c r="J649" s="1276"/>
      <c r="K649" s="547"/>
      <c r="L649" s="1277"/>
      <c r="M649" s="1278"/>
      <c r="N649" s="1279"/>
      <c r="O649" s="1051"/>
    </row>
    <row r="650" spans="2:15" ht="13" x14ac:dyDescent="0.3">
      <c r="B650" s="579">
        <f t="shared" si="18"/>
        <v>332</v>
      </c>
      <c r="C650" s="1079" t="s">
        <v>516</v>
      </c>
      <c r="D650" t="s">
        <v>1224</v>
      </c>
      <c r="E650" s="555">
        <v>55145.664604904567</v>
      </c>
      <c r="F650">
        <v>0</v>
      </c>
      <c r="G650" s="555">
        <v>1963.75</v>
      </c>
      <c r="H650" s="559">
        <v>0.94411057692307687</v>
      </c>
      <c r="J650" s="1281"/>
      <c r="K650" s="1280"/>
      <c r="L650" s="1282"/>
      <c r="M650" s="1278"/>
      <c r="N650" s="1283"/>
      <c r="O650" s="1051"/>
    </row>
    <row r="651" spans="2:15" ht="13" x14ac:dyDescent="0.3">
      <c r="B651" s="579">
        <f t="shared" si="18"/>
        <v>333</v>
      </c>
      <c r="C651" s="1079" t="s">
        <v>516</v>
      </c>
      <c r="D651" t="s">
        <v>1224</v>
      </c>
      <c r="E651" s="555">
        <v>48709.273574817198</v>
      </c>
      <c r="F651">
        <v>0</v>
      </c>
      <c r="G651" s="555">
        <v>1931.25</v>
      </c>
      <c r="H651" s="559">
        <v>0.92848557692307687</v>
      </c>
      <c r="J651" s="1276"/>
      <c r="K651" s="547"/>
      <c r="L651" s="1277"/>
      <c r="M651" s="1278"/>
      <c r="N651" s="1279"/>
      <c r="O651" s="1051"/>
    </row>
    <row r="652" spans="2:15" ht="13" x14ac:dyDescent="0.3">
      <c r="B652" s="579">
        <f t="shared" si="18"/>
        <v>334</v>
      </c>
      <c r="C652" s="1079" t="s">
        <v>516</v>
      </c>
      <c r="D652" t="s">
        <v>1224</v>
      </c>
      <c r="E652" s="555">
        <v>1215.0409034134395</v>
      </c>
      <c r="F652">
        <v>0</v>
      </c>
      <c r="G652" s="555">
        <v>43.5</v>
      </c>
      <c r="H652" s="559">
        <v>2.0913461538461537E-2</v>
      </c>
      <c r="J652" s="1276"/>
      <c r="K652" s="547"/>
      <c r="L652" s="1277"/>
      <c r="M652" s="1278"/>
      <c r="N652" s="1279"/>
      <c r="O652" s="1051"/>
    </row>
    <row r="653" spans="2:15" ht="13" x14ac:dyDescent="0.3">
      <c r="B653" s="579">
        <f t="shared" si="18"/>
        <v>335</v>
      </c>
      <c r="C653" s="1079" t="s">
        <v>516</v>
      </c>
      <c r="D653" t="s">
        <v>1224</v>
      </c>
      <c r="E653" s="555">
        <v>57134.873617693578</v>
      </c>
      <c r="F653">
        <v>0</v>
      </c>
      <c r="G653" s="555">
        <v>2098</v>
      </c>
      <c r="H653" s="559">
        <v>1.0086538461538461</v>
      </c>
      <c r="J653" s="1281"/>
      <c r="K653" s="1280"/>
      <c r="L653" s="1282"/>
      <c r="M653" s="1278"/>
      <c r="N653" s="1283"/>
      <c r="O653" s="1051"/>
    </row>
    <row r="654" spans="2:15" ht="13" x14ac:dyDescent="0.3">
      <c r="B654" s="579">
        <f t="shared" si="18"/>
        <v>336</v>
      </c>
      <c r="C654" s="1079" t="s">
        <v>516</v>
      </c>
      <c r="D654" t="s">
        <v>1225</v>
      </c>
      <c r="E654" s="555">
        <v>12114.503239339234</v>
      </c>
      <c r="F654">
        <v>0</v>
      </c>
      <c r="G654" s="555">
        <v>470.94</v>
      </c>
      <c r="H654" s="559">
        <v>0.22641346153846154</v>
      </c>
      <c r="J654" s="1276"/>
      <c r="K654" s="547"/>
      <c r="L654" s="1277"/>
      <c r="M654" s="1278"/>
      <c r="N654" s="1279"/>
      <c r="O654" s="1051"/>
    </row>
    <row r="655" spans="2:15" ht="13" x14ac:dyDescent="0.3">
      <c r="B655" s="579">
        <f t="shared" si="18"/>
        <v>337</v>
      </c>
      <c r="C655" s="1079" t="s">
        <v>516</v>
      </c>
      <c r="D655" t="s">
        <v>1226</v>
      </c>
      <c r="E655" s="555">
        <v>49531.869037818506</v>
      </c>
      <c r="F655">
        <v>0</v>
      </c>
      <c r="G655" s="555">
        <v>2085</v>
      </c>
      <c r="H655" s="559">
        <v>1.0024038461538463</v>
      </c>
      <c r="J655" s="1276"/>
      <c r="K655" s="547"/>
      <c r="L655" s="1277"/>
      <c r="M655" s="1278"/>
      <c r="N655" s="1279"/>
      <c r="O655" s="1051"/>
    </row>
    <row r="656" spans="2:15" ht="13" x14ac:dyDescent="0.3">
      <c r="B656" s="579">
        <f t="shared" si="18"/>
        <v>338</v>
      </c>
      <c r="C656" s="1079" t="s">
        <v>516</v>
      </c>
      <c r="D656" t="s">
        <v>1226</v>
      </c>
      <c r="E656" s="555">
        <v>53026.263358719763</v>
      </c>
      <c r="F656">
        <v>0</v>
      </c>
      <c r="G656" s="555">
        <v>2100.25</v>
      </c>
      <c r="H656" s="559">
        <v>1.0097355769230769</v>
      </c>
      <c r="J656" s="1281"/>
      <c r="K656" s="1280"/>
      <c r="L656" s="1282"/>
      <c r="M656" s="1278"/>
      <c r="N656" s="1283"/>
      <c r="O656" s="1051"/>
    </row>
    <row r="657" spans="2:15" ht="13" x14ac:dyDescent="0.3">
      <c r="B657" s="579">
        <f t="shared" si="18"/>
        <v>339</v>
      </c>
      <c r="C657" s="1079" t="s">
        <v>516</v>
      </c>
      <c r="D657" t="s">
        <v>1227</v>
      </c>
      <c r="E657" s="555">
        <v>78799.668710435668</v>
      </c>
      <c r="F657">
        <v>0</v>
      </c>
      <c r="G657" s="555">
        <v>2283.2499999999995</v>
      </c>
      <c r="H657" s="559">
        <v>1.0977163461538459</v>
      </c>
      <c r="J657" s="579"/>
      <c r="L657" s="741"/>
      <c r="M657" s="1278"/>
      <c r="N657" s="1236"/>
      <c r="O657" s="1051"/>
    </row>
    <row r="658" spans="2:15" ht="13" x14ac:dyDescent="0.3">
      <c r="B658" s="579">
        <f t="shared" si="18"/>
        <v>340</v>
      </c>
      <c r="C658" s="1079" t="s">
        <v>516</v>
      </c>
      <c r="D658" t="s">
        <v>1228</v>
      </c>
      <c r="E658" s="555">
        <v>136530.4006416433</v>
      </c>
      <c r="F658">
        <v>0</v>
      </c>
      <c r="G658" s="555">
        <v>2081.0000000000005</v>
      </c>
      <c r="H658" s="559">
        <v>1.0004807692307693</v>
      </c>
      <c r="J658" s="1276"/>
      <c r="K658" s="547"/>
      <c r="L658" s="1277"/>
      <c r="M658" s="1278"/>
      <c r="N658" s="1279"/>
      <c r="O658" s="1051"/>
    </row>
    <row r="659" spans="2:15" ht="13" x14ac:dyDescent="0.3">
      <c r="B659" s="579">
        <f t="shared" si="18"/>
        <v>341</v>
      </c>
      <c r="C659" s="1079" t="s">
        <v>516</v>
      </c>
      <c r="D659" t="s">
        <v>1229</v>
      </c>
      <c r="E659" s="555">
        <v>113218.34601740951</v>
      </c>
      <c r="F659">
        <v>0</v>
      </c>
      <c r="G659" s="555">
        <v>2080</v>
      </c>
      <c r="H659" s="559">
        <v>1</v>
      </c>
      <c r="J659" s="1281"/>
      <c r="K659" s="1280"/>
      <c r="L659" s="1282"/>
      <c r="M659" s="1278"/>
      <c r="N659" s="1283"/>
      <c r="O659" s="1051"/>
    </row>
    <row r="660" spans="2:15" ht="13" x14ac:dyDescent="0.3">
      <c r="B660" s="579">
        <f t="shared" si="18"/>
        <v>342</v>
      </c>
      <c r="C660" s="1079" t="s">
        <v>516</v>
      </c>
      <c r="D660" t="s">
        <v>1230</v>
      </c>
      <c r="E660" s="555">
        <v>64740.516419062093</v>
      </c>
      <c r="F660">
        <v>0</v>
      </c>
      <c r="G660" s="555">
        <v>2368.5</v>
      </c>
      <c r="H660" s="559">
        <v>1.1387019230769231</v>
      </c>
      <c r="J660" s="1276"/>
      <c r="K660" s="547"/>
      <c r="L660" s="1277"/>
      <c r="M660" s="1278"/>
      <c r="N660" s="1279"/>
      <c r="O660" s="1051"/>
    </row>
    <row r="661" spans="2:15" ht="13" x14ac:dyDescent="0.3">
      <c r="B661" s="579">
        <f t="shared" si="18"/>
        <v>343</v>
      </c>
      <c r="C661" s="1079" t="s">
        <v>516</v>
      </c>
      <c r="D661" t="s">
        <v>1230</v>
      </c>
      <c r="E661" s="555">
        <v>54998.973493911537</v>
      </c>
      <c r="F661">
        <v>0</v>
      </c>
      <c r="G661" s="555">
        <v>2202.5</v>
      </c>
      <c r="H661" s="559">
        <v>1.0588942307692308</v>
      </c>
      <c r="J661" s="1276"/>
      <c r="K661" s="547"/>
      <c r="L661" s="1277"/>
      <c r="M661" s="1278"/>
      <c r="N661" s="1279"/>
      <c r="O661" s="1051"/>
    </row>
    <row r="662" spans="2:15" ht="13" x14ac:dyDescent="0.3">
      <c r="B662" s="579">
        <f t="shared" si="18"/>
        <v>344</v>
      </c>
      <c r="C662" s="1079" t="s">
        <v>516</v>
      </c>
      <c r="D662" t="s">
        <v>1230</v>
      </c>
      <c r="E662" s="555">
        <v>1651.0569715202264</v>
      </c>
      <c r="F662">
        <v>0</v>
      </c>
      <c r="G662" s="555">
        <v>72.37</v>
      </c>
      <c r="H662" s="559">
        <v>3.4793269230769232E-2</v>
      </c>
      <c r="J662" s="1281"/>
      <c r="K662" s="1280"/>
      <c r="L662" s="1282"/>
      <c r="M662" s="1278"/>
      <c r="N662" s="1283"/>
      <c r="O662" s="1051"/>
    </row>
    <row r="663" spans="2:15" ht="13" x14ac:dyDescent="0.3">
      <c r="B663" s="579">
        <f t="shared" si="18"/>
        <v>345</v>
      </c>
      <c r="C663" s="1079" t="s">
        <v>516</v>
      </c>
      <c r="D663" t="s">
        <v>1230</v>
      </c>
      <c r="E663" s="555">
        <v>52262.228418262217</v>
      </c>
      <c r="F663">
        <v>0</v>
      </c>
      <c r="G663" s="555">
        <v>2234.5</v>
      </c>
      <c r="H663" s="559">
        <v>1.0742788461538462</v>
      </c>
      <c r="J663" s="579"/>
      <c r="L663" s="741"/>
      <c r="M663" s="1278"/>
      <c r="N663" s="1236"/>
      <c r="O663" s="1051"/>
    </row>
    <row r="664" spans="2:15" ht="13" x14ac:dyDescent="0.3">
      <c r="B664" s="579">
        <f t="shared" si="18"/>
        <v>346</v>
      </c>
      <c r="C664" s="1079" t="s">
        <v>516</v>
      </c>
      <c r="D664" t="s">
        <v>1230</v>
      </c>
      <c r="E664" s="555">
        <v>51861.208757996341</v>
      </c>
      <c r="F664">
        <v>0</v>
      </c>
      <c r="G664" s="555">
        <v>2121.5</v>
      </c>
      <c r="H664" s="559">
        <v>1.0199519230769232</v>
      </c>
      <c r="J664" s="1276"/>
      <c r="K664" s="547"/>
      <c r="L664" s="1277"/>
      <c r="M664" s="1278"/>
      <c r="N664" s="1279"/>
      <c r="O664" s="1051"/>
    </row>
    <row r="665" spans="2:15" ht="13" x14ac:dyDescent="0.3">
      <c r="B665" s="579">
        <f t="shared" si="18"/>
        <v>347</v>
      </c>
      <c r="C665" s="1079" t="s">
        <v>516</v>
      </c>
      <c r="D665" t="s">
        <v>1230</v>
      </c>
      <c r="E665" s="555">
        <v>73246.022594747308</v>
      </c>
      <c r="F665">
        <v>0</v>
      </c>
      <c r="G665" s="555">
        <v>2696.25</v>
      </c>
      <c r="H665" s="559">
        <v>1.2962740384615385</v>
      </c>
      <c r="J665" s="1281"/>
      <c r="K665" s="1280"/>
      <c r="L665" s="1282"/>
      <c r="M665" s="1278"/>
      <c r="N665" s="1283"/>
      <c r="O665" s="1051"/>
    </row>
    <row r="666" spans="2:15" ht="13" x14ac:dyDescent="0.3">
      <c r="B666" s="579">
        <f t="shared" si="18"/>
        <v>348</v>
      </c>
      <c r="C666" s="1079" t="s">
        <v>516</v>
      </c>
      <c r="D666" t="s">
        <v>1230</v>
      </c>
      <c r="E666" s="555">
        <v>63387.908253987051</v>
      </c>
      <c r="F666">
        <v>0</v>
      </c>
      <c r="G666" s="555">
        <v>2359</v>
      </c>
      <c r="H666" s="559">
        <v>1.1341346153846155</v>
      </c>
      <c r="J666" s="579"/>
      <c r="L666" s="741"/>
      <c r="M666" s="1278"/>
      <c r="N666" s="1236"/>
      <c r="O666" s="1051"/>
    </row>
    <row r="667" spans="2:15" ht="13" x14ac:dyDescent="0.3">
      <c r="B667" s="579">
        <f t="shared" si="18"/>
        <v>349</v>
      </c>
      <c r="C667" s="1079" t="s">
        <v>516</v>
      </c>
      <c r="D667" t="s">
        <v>1230</v>
      </c>
      <c r="E667" s="555">
        <v>48140.686876665204</v>
      </c>
      <c r="F667">
        <v>0</v>
      </c>
      <c r="G667" s="555">
        <v>2084.75</v>
      </c>
      <c r="H667" s="559">
        <v>1.0022836538461539</v>
      </c>
      <c r="J667" s="1276"/>
      <c r="K667" s="547"/>
      <c r="L667" s="1277"/>
      <c r="M667" s="1278"/>
      <c r="N667" s="1279"/>
      <c r="O667" s="1051"/>
    </row>
    <row r="668" spans="2:15" ht="13" x14ac:dyDescent="0.3">
      <c r="B668" s="579">
        <f t="shared" si="18"/>
        <v>350</v>
      </c>
      <c r="C668" s="1079" t="s">
        <v>516</v>
      </c>
      <c r="D668" t="s">
        <v>1231</v>
      </c>
      <c r="E668" s="555">
        <v>24810.384553768396</v>
      </c>
      <c r="F668">
        <v>0</v>
      </c>
      <c r="G668" s="555">
        <v>480</v>
      </c>
      <c r="H668" s="559">
        <v>0.23076923076923078</v>
      </c>
      <c r="J668" s="1281"/>
      <c r="K668" s="1280"/>
      <c r="L668" s="1282"/>
      <c r="M668" s="1278"/>
      <c r="N668" s="1283"/>
      <c r="O668" s="1051"/>
    </row>
    <row r="669" spans="2:15" ht="13" x14ac:dyDescent="0.3">
      <c r="B669" s="579">
        <f t="shared" si="18"/>
        <v>351</v>
      </c>
      <c r="C669" s="1079" t="s">
        <v>516</v>
      </c>
      <c r="D669" t="s">
        <v>1232</v>
      </c>
      <c r="E669" s="555">
        <v>100997.78427538143</v>
      </c>
      <c r="F669">
        <v>137</v>
      </c>
      <c r="G669" s="555">
        <v>2080</v>
      </c>
      <c r="H669" s="559">
        <v>1</v>
      </c>
      <c r="J669" s="1276"/>
      <c r="K669" s="547"/>
      <c r="L669" s="1277"/>
      <c r="M669" s="1278"/>
      <c r="N669" s="1279"/>
      <c r="O669" s="1051"/>
    </row>
    <row r="670" spans="2:15" ht="13" x14ac:dyDescent="0.3">
      <c r="B670" s="579">
        <f t="shared" si="18"/>
        <v>352</v>
      </c>
      <c r="C670" s="1079" t="s">
        <v>516</v>
      </c>
      <c r="D670" t="s">
        <v>1233</v>
      </c>
      <c r="E670" s="555">
        <v>53987.265517494205</v>
      </c>
      <c r="F670">
        <v>0</v>
      </c>
      <c r="G670" s="555">
        <v>1392</v>
      </c>
      <c r="H670" s="559">
        <v>0.66923076923076918</v>
      </c>
      <c r="J670" s="1276"/>
      <c r="K670" s="547"/>
      <c r="L670" s="1277"/>
      <c r="M670" s="537"/>
      <c r="N670" s="1279"/>
      <c r="O670" s="1051"/>
    </row>
    <row r="671" spans="2:15" ht="13" x14ac:dyDescent="0.3">
      <c r="B671" s="579">
        <f t="shared" si="18"/>
        <v>353</v>
      </c>
      <c r="C671" s="1079" t="s">
        <v>516</v>
      </c>
      <c r="D671" t="s">
        <v>1234</v>
      </c>
      <c r="E671" s="555">
        <v>82579.300743788321</v>
      </c>
      <c r="F671">
        <v>0</v>
      </c>
      <c r="G671" s="555">
        <v>2080</v>
      </c>
      <c r="H671" s="559">
        <v>1</v>
      </c>
      <c r="J671" s="1281"/>
      <c r="K671" s="1280"/>
      <c r="L671" s="1282"/>
      <c r="M671" s="537"/>
      <c r="N671" s="1283"/>
      <c r="O671" s="1051"/>
    </row>
    <row r="672" spans="2:15" ht="13" x14ac:dyDescent="0.3">
      <c r="B672" s="579">
        <f t="shared" si="18"/>
        <v>354</v>
      </c>
      <c r="C672" s="1079" t="s">
        <v>516</v>
      </c>
      <c r="D672" t="s">
        <v>1235</v>
      </c>
      <c r="E672" s="555">
        <v>3459.2180343220371</v>
      </c>
      <c r="F672">
        <v>0</v>
      </c>
      <c r="G672" s="555">
        <v>120</v>
      </c>
      <c r="H672" s="559">
        <v>5.7692307692307696E-2</v>
      </c>
      <c r="J672" s="579"/>
      <c r="L672" s="741"/>
      <c r="M672" s="537"/>
      <c r="N672" s="1236"/>
      <c r="O672" s="1051"/>
    </row>
    <row r="673" spans="2:15" ht="13" x14ac:dyDescent="0.3">
      <c r="B673" s="579">
        <f t="shared" si="18"/>
        <v>355</v>
      </c>
      <c r="C673" s="1079" t="s">
        <v>516</v>
      </c>
      <c r="D673" t="s">
        <v>1235</v>
      </c>
      <c r="E673" s="555">
        <v>32589.940115175898</v>
      </c>
      <c r="F673">
        <v>0</v>
      </c>
      <c r="G673" s="555">
        <v>1078</v>
      </c>
      <c r="H673" s="559">
        <v>0.51826923076923082</v>
      </c>
      <c r="J673" s="579"/>
      <c r="L673" s="741"/>
      <c r="M673" s="537"/>
      <c r="N673" s="1236"/>
      <c r="O673" s="1051"/>
    </row>
    <row r="674" spans="2:15" ht="13" x14ac:dyDescent="0.3">
      <c r="B674" s="579"/>
      <c r="C674" s="1079"/>
      <c r="E674" s="555"/>
      <c r="G674" s="555"/>
      <c r="H674" s="559"/>
      <c r="J674" s="1281"/>
      <c r="K674" s="1280"/>
      <c r="L674" s="1282"/>
      <c r="M674" s="1278"/>
      <c r="N674" s="1283"/>
      <c r="O674" s="1051"/>
    </row>
    <row r="678" spans="2:15" ht="13" x14ac:dyDescent="0.3">
      <c r="C678" s="1102">
        <f>+B673</f>
        <v>355</v>
      </c>
      <c r="D678" s="1097" t="s">
        <v>1236</v>
      </c>
      <c r="E678" s="1099">
        <f>SUM(E319:E677)</f>
        <v>12097011.910783837</v>
      </c>
      <c r="F678" s="1099">
        <f>SUM(F319:F677)</f>
        <v>9448</v>
      </c>
      <c r="G678" s="1099">
        <f>SUM(G319:G677)</f>
        <v>433009.4015429999</v>
      </c>
      <c r="H678" s="1089">
        <f>+G678/2080</f>
        <v>208.17759689567302</v>
      </c>
    </row>
    <row r="681" spans="2:15" ht="13" x14ac:dyDescent="0.3">
      <c r="C681" s="1098" t="s">
        <v>1237</v>
      </c>
      <c r="D681" s="736"/>
      <c r="E681" s="1099">
        <f>+E678+E312+E86+E60</f>
        <v>36674534.729905829</v>
      </c>
      <c r="F681" s="1099">
        <f>+F678+F312+F86+F60</f>
        <v>357104</v>
      </c>
      <c r="G681" s="1099">
        <f>+G678+G312+G86+G60</f>
        <v>841214.55154299992</v>
      </c>
      <c r="H681" s="1089">
        <f>+G681/2080</f>
        <v>404.43007285721148</v>
      </c>
    </row>
    <row r="684" spans="2:15" x14ac:dyDescent="0.25">
      <c r="E684" s="537"/>
    </row>
    <row r="686" spans="2:15" ht="13" x14ac:dyDescent="0.3">
      <c r="D686" s="534" t="s">
        <v>1249</v>
      </c>
    </row>
    <row r="687" spans="2:15" x14ac:dyDescent="0.25">
      <c r="J687" s="547"/>
      <c r="K687" s="547"/>
      <c r="L687" s="547"/>
      <c r="M687" s="547"/>
      <c r="N687" s="547"/>
    </row>
    <row r="688" spans="2:15" ht="13" thickBot="1" x14ac:dyDescent="0.3">
      <c r="J688" s="547"/>
      <c r="K688" s="547"/>
      <c r="L688" s="547"/>
      <c r="M688" s="547"/>
      <c r="N688" s="547"/>
    </row>
    <row r="689" spans="2:14" ht="13.5" thickBot="1" x14ac:dyDescent="0.35">
      <c r="B689" s="1105" t="s">
        <v>1096</v>
      </c>
      <c r="C689" s="1092" t="s">
        <v>1026</v>
      </c>
      <c r="D689" s="1230" t="s">
        <v>1238</v>
      </c>
      <c r="E689" s="1231" t="s">
        <v>1239</v>
      </c>
      <c r="F689" s="1234" t="s">
        <v>1066</v>
      </c>
      <c r="G689" s="1231" t="s">
        <v>1240</v>
      </c>
      <c r="H689" s="1232" t="s">
        <v>1241</v>
      </c>
      <c r="J689" s="552"/>
      <c r="K689" s="1300"/>
      <c r="L689" s="1267"/>
      <c r="M689" s="1300"/>
      <c r="N689" s="794"/>
    </row>
    <row r="690" spans="2:14" ht="13" x14ac:dyDescent="0.3">
      <c r="B690" s="579">
        <v>1</v>
      </c>
      <c r="C690" s="1079" t="s">
        <v>1250</v>
      </c>
      <c r="D690" t="s">
        <v>1242</v>
      </c>
      <c r="E690" t="s">
        <v>1243</v>
      </c>
      <c r="F690" s="741">
        <v>65</v>
      </c>
      <c r="G690" s="741">
        <f>+F690*0.68</f>
        <v>44.2</v>
      </c>
      <c r="H690" s="1233">
        <f t="shared" ref="H690:H726" si="19">+G690/2080</f>
        <v>2.1250000000000002E-2</v>
      </c>
      <c r="J690" s="550"/>
      <c r="K690" s="550"/>
      <c r="L690" s="922"/>
      <c r="M690" s="922"/>
      <c r="N690" s="1301"/>
    </row>
    <row r="691" spans="2:14" ht="13" x14ac:dyDescent="0.3">
      <c r="B691" s="579">
        <f>+B690+1</f>
        <v>2</v>
      </c>
      <c r="C691" s="1079" t="s">
        <v>1250</v>
      </c>
      <c r="D691" t="s">
        <v>1244</v>
      </c>
      <c r="E691" t="s">
        <v>1243</v>
      </c>
      <c r="F691" s="741">
        <v>1824</v>
      </c>
      <c r="G691" s="741">
        <f t="shared" ref="G691:G726" si="20">+F691*0.68</f>
        <v>1240.3200000000002</v>
      </c>
      <c r="H691" s="1233">
        <f t="shared" si="19"/>
        <v>0.59630769230769243</v>
      </c>
      <c r="J691" s="702"/>
      <c r="K691" s="702"/>
      <c r="L691" s="1242"/>
      <c r="M691" s="1242"/>
      <c r="N691" s="1299"/>
    </row>
    <row r="692" spans="2:14" ht="13" x14ac:dyDescent="0.3">
      <c r="B692" s="579">
        <f t="shared" ref="B692:B726" si="21">+B691+1</f>
        <v>3</v>
      </c>
      <c r="C692" s="1079" t="s">
        <v>1250</v>
      </c>
      <c r="D692" t="s">
        <v>1242</v>
      </c>
      <c r="E692" t="s">
        <v>1243</v>
      </c>
      <c r="F692" s="741">
        <v>142</v>
      </c>
      <c r="G692" s="741">
        <f t="shared" si="20"/>
        <v>96.56</v>
      </c>
      <c r="H692" s="1233">
        <f t="shared" si="19"/>
        <v>4.6423076923076921E-2</v>
      </c>
      <c r="J692" s="702"/>
      <c r="K692" s="702"/>
      <c r="L692" s="1242"/>
      <c r="M692" s="1242"/>
      <c r="N692" s="1299"/>
    </row>
    <row r="693" spans="2:14" ht="13" x14ac:dyDescent="0.3">
      <c r="B693" s="579">
        <f t="shared" si="21"/>
        <v>4</v>
      </c>
      <c r="C693" s="1079" t="s">
        <v>1250</v>
      </c>
      <c r="D693" t="s">
        <v>1245</v>
      </c>
      <c r="E693" t="s">
        <v>1243</v>
      </c>
      <c r="F693" s="741">
        <v>328</v>
      </c>
      <c r="G693" s="741">
        <f t="shared" si="20"/>
        <v>223.04000000000002</v>
      </c>
      <c r="H693" s="1233">
        <f t="shared" si="19"/>
        <v>0.10723076923076924</v>
      </c>
      <c r="J693" s="702"/>
      <c r="K693" s="702"/>
      <c r="L693" s="1242"/>
      <c r="M693" s="1242"/>
      <c r="N693" s="1299"/>
    </row>
    <row r="694" spans="2:14" ht="13" x14ac:dyDescent="0.3">
      <c r="B694" s="579">
        <f t="shared" si="21"/>
        <v>5</v>
      </c>
      <c r="C694" s="1079" t="s">
        <v>1250</v>
      </c>
      <c r="D694" t="s">
        <v>1242</v>
      </c>
      <c r="E694" t="s">
        <v>1243</v>
      </c>
      <c r="F694" s="741">
        <v>1061</v>
      </c>
      <c r="G694" s="741">
        <f t="shared" si="20"/>
        <v>721.48</v>
      </c>
      <c r="H694" s="1233">
        <f t="shared" si="19"/>
        <v>0.34686538461538463</v>
      </c>
      <c r="J694" s="702"/>
      <c r="K694" s="702"/>
      <c r="L694" s="1242"/>
      <c r="M694" s="1242"/>
      <c r="N694" s="1299"/>
    </row>
    <row r="695" spans="2:14" ht="13" x14ac:dyDescent="0.3">
      <c r="B695" s="579">
        <f t="shared" si="21"/>
        <v>6</v>
      </c>
      <c r="C695" s="1079" t="s">
        <v>1250</v>
      </c>
      <c r="D695" t="s">
        <v>1246</v>
      </c>
      <c r="E695" t="s">
        <v>1243</v>
      </c>
      <c r="F695" s="741">
        <f>3041-163</f>
        <v>2878</v>
      </c>
      <c r="G695" s="741">
        <f t="shared" si="20"/>
        <v>1957.0400000000002</v>
      </c>
      <c r="H695" s="1233">
        <f t="shared" si="19"/>
        <v>0.94088461538461543</v>
      </c>
      <c r="J695" s="702"/>
      <c r="K695" s="702"/>
      <c r="L695" s="1242"/>
      <c r="M695" s="1242"/>
      <c r="N695" s="1299"/>
    </row>
    <row r="696" spans="2:14" ht="13" x14ac:dyDescent="0.3">
      <c r="B696" s="579">
        <f t="shared" si="21"/>
        <v>7</v>
      </c>
      <c r="C696" s="1079" t="s">
        <v>1250</v>
      </c>
      <c r="D696" t="s">
        <v>1246</v>
      </c>
      <c r="E696" t="s">
        <v>1243</v>
      </c>
      <c r="F696" s="741">
        <f>3019-163</f>
        <v>2856</v>
      </c>
      <c r="G696" s="741">
        <f t="shared" si="20"/>
        <v>1942.0800000000002</v>
      </c>
      <c r="H696" s="1233">
        <f t="shared" si="19"/>
        <v>0.93369230769230782</v>
      </c>
      <c r="J696" s="702"/>
      <c r="K696" s="702"/>
      <c r="L696" s="1242"/>
      <c r="M696" s="1242"/>
      <c r="N696" s="1299"/>
    </row>
    <row r="697" spans="2:14" ht="13" x14ac:dyDescent="0.3">
      <c r="B697" s="579">
        <f t="shared" si="21"/>
        <v>8</v>
      </c>
      <c r="C697" s="1079" t="s">
        <v>1250</v>
      </c>
      <c r="D697" t="s">
        <v>1246</v>
      </c>
      <c r="E697" t="s">
        <v>1243</v>
      </c>
      <c r="F697" s="741">
        <v>252</v>
      </c>
      <c r="G697" s="741">
        <f t="shared" si="20"/>
        <v>171.36</v>
      </c>
      <c r="H697" s="1233">
        <f t="shared" si="19"/>
        <v>8.2384615384615389E-2</v>
      </c>
      <c r="J697" s="702"/>
      <c r="K697" s="702"/>
      <c r="L697" s="1242"/>
      <c r="M697" s="1242"/>
      <c r="N697" s="1299"/>
    </row>
    <row r="698" spans="2:14" ht="13" x14ac:dyDescent="0.3">
      <c r="B698" s="579">
        <f t="shared" si="21"/>
        <v>9</v>
      </c>
      <c r="C698" s="1079" t="s">
        <v>1250</v>
      </c>
      <c r="D698" t="s">
        <v>1242</v>
      </c>
      <c r="E698" t="s">
        <v>1243</v>
      </c>
      <c r="F698" s="741">
        <v>87</v>
      </c>
      <c r="G698" s="741">
        <f t="shared" si="20"/>
        <v>59.160000000000004</v>
      </c>
      <c r="H698" s="1233">
        <f t="shared" si="19"/>
        <v>2.8442307692307694E-2</v>
      </c>
      <c r="J698" s="702"/>
      <c r="K698" s="702"/>
      <c r="L698" s="1242"/>
      <c r="M698" s="1242"/>
      <c r="N698" s="1299"/>
    </row>
    <row r="699" spans="2:14" ht="13" x14ac:dyDescent="0.3">
      <c r="B699" s="579">
        <f t="shared" si="21"/>
        <v>10</v>
      </c>
      <c r="C699" s="1079" t="s">
        <v>1250</v>
      </c>
      <c r="D699" t="s">
        <v>1246</v>
      </c>
      <c r="E699" t="s">
        <v>1243</v>
      </c>
      <c r="F699" s="741">
        <v>1922</v>
      </c>
      <c r="G699" s="741">
        <f t="shared" si="20"/>
        <v>1306.96</v>
      </c>
      <c r="H699" s="1233">
        <f t="shared" si="19"/>
        <v>0.62834615384615389</v>
      </c>
      <c r="J699" s="702"/>
      <c r="K699" s="702"/>
      <c r="L699" s="1242"/>
      <c r="M699" s="1242"/>
      <c r="N699" s="1299"/>
    </row>
    <row r="700" spans="2:14" ht="13" x14ac:dyDescent="0.3">
      <c r="B700" s="579">
        <f t="shared" si="21"/>
        <v>11</v>
      </c>
      <c r="C700" s="1079" t="s">
        <v>1250</v>
      </c>
      <c r="D700" t="s">
        <v>1245</v>
      </c>
      <c r="E700" t="s">
        <v>1243</v>
      </c>
      <c r="F700" s="741">
        <v>458</v>
      </c>
      <c r="G700" s="741">
        <f t="shared" si="20"/>
        <v>311.44</v>
      </c>
      <c r="H700" s="1233">
        <f t="shared" si="19"/>
        <v>0.14973076923076922</v>
      </c>
      <c r="J700" s="702"/>
      <c r="K700" s="702"/>
      <c r="L700" s="1242"/>
      <c r="M700" s="1242"/>
      <c r="N700" s="1299"/>
    </row>
    <row r="701" spans="2:14" ht="13" x14ac:dyDescent="0.3">
      <c r="B701" s="579">
        <f t="shared" si="21"/>
        <v>12</v>
      </c>
      <c r="C701" s="1079" t="s">
        <v>1250</v>
      </c>
      <c r="D701" t="s">
        <v>1242</v>
      </c>
      <c r="E701" t="s">
        <v>1243</v>
      </c>
      <c r="F701" s="741">
        <v>19</v>
      </c>
      <c r="G701" s="741">
        <f t="shared" si="20"/>
        <v>12.920000000000002</v>
      </c>
      <c r="H701" s="1233">
        <f t="shared" si="19"/>
        <v>6.2115384615384628E-3</v>
      </c>
      <c r="J701" s="702"/>
      <c r="K701" s="702"/>
      <c r="L701" s="1242"/>
      <c r="M701" s="1242"/>
      <c r="N701" s="1299"/>
    </row>
    <row r="702" spans="2:14" ht="13" x14ac:dyDescent="0.3">
      <c r="B702" s="579">
        <f t="shared" si="21"/>
        <v>13</v>
      </c>
      <c r="C702" s="1079" t="s">
        <v>1250</v>
      </c>
      <c r="D702" t="s">
        <v>1242</v>
      </c>
      <c r="E702" t="s">
        <v>1243</v>
      </c>
      <c r="F702" s="741">
        <v>418</v>
      </c>
      <c r="G702" s="741">
        <f t="shared" si="20"/>
        <v>284.24</v>
      </c>
      <c r="H702" s="1233">
        <f t="shared" si="19"/>
        <v>0.13665384615384615</v>
      </c>
      <c r="J702" s="702"/>
      <c r="K702" s="702"/>
      <c r="L702" s="1242"/>
      <c r="M702" s="1242"/>
      <c r="N702" s="1299"/>
    </row>
    <row r="703" spans="2:14" ht="13" x14ac:dyDescent="0.3">
      <c r="B703" s="579">
        <f t="shared" si="21"/>
        <v>14</v>
      </c>
      <c r="C703" s="1079" t="s">
        <v>1250</v>
      </c>
      <c r="D703" t="s">
        <v>1242</v>
      </c>
      <c r="E703" t="s">
        <v>1243</v>
      </c>
      <c r="F703" s="741">
        <v>927</v>
      </c>
      <c r="G703" s="741">
        <f t="shared" si="20"/>
        <v>630.36</v>
      </c>
      <c r="H703" s="1233">
        <f t="shared" si="19"/>
        <v>0.30305769230769231</v>
      </c>
      <c r="J703" s="702"/>
      <c r="K703" s="702"/>
      <c r="L703" s="1242"/>
      <c r="M703" s="1242"/>
      <c r="N703" s="1299"/>
    </row>
    <row r="704" spans="2:14" ht="13" x14ac:dyDescent="0.3">
      <c r="B704" s="579">
        <f t="shared" si="21"/>
        <v>15</v>
      </c>
      <c r="C704" s="1079" t="s">
        <v>1250</v>
      </c>
      <c r="D704" t="s">
        <v>1246</v>
      </c>
      <c r="E704" t="s">
        <v>1243</v>
      </c>
      <c r="F704" s="741">
        <v>119</v>
      </c>
      <c r="G704" s="741">
        <f t="shared" si="20"/>
        <v>80.92</v>
      </c>
      <c r="H704" s="1233">
        <f t="shared" si="19"/>
        <v>3.8903846153846157E-2</v>
      </c>
      <c r="J704" s="702"/>
      <c r="K704" s="702"/>
      <c r="L704" s="1242"/>
      <c r="M704" s="1242"/>
      <c r="N704" s="1299"/>
    </row>
    <row r="705" spans="2:14" ht="13" x14ac:dyDescent="0.3">
      <c r="B705" s="579">
        <f t="shared" si="21"/>
        <v>16</v>
      </c>
      <c r="C705" s="1079" t="s">
        <v>1250</v>
      </c>
      <c r="D705" t="s">
        <v>1246</v>
      </c>
      <c r="E705" t="s">
        <v>1243</v>
      </c>
      <c r="F705" s="741">
        <v>848</v>
      </c>
      <c r="G705" s="741">
        <f t="shared" si="20"/>
        <v>576.64</v>
      </c>
      <c r="H705" s="1233">
        <f t="shared" si="19"/>
        <v>0.27723076923076923</v>
      </c>
      <c r="J705" s="702"/>
      <c r="K705" s="702"/>
      <c r="L705" s="1242"/>
      <c r="M705" s="1242"/>
      <c r="N705" s="1299"/>
    </row>
    <row r="706" spans="2:14" ht="13" x14ac:dyDescent="0.3">
      <c r="B706" s="579">
        <f t="shared" si="21"/>
        <v>17</v>
      </c>
      <c r="C706" s="1079" t="s">
        <v>1250</v>
      </c>
      <c r="D706" t="s">
        <v>1242</v>
      </c>
      <c r="E706" t="s">
        <v>1243</v>
      </c>
      <c r="F706" s="741">
        <v>55</v>
      </c>
      <c r="G706" s="741">
        <f t="shared" si="20"/>
        <v>37.400000000000006</v>
      </c>
      <c r="H706" s="1233">
        <f t="shared" si="19"/>
        <v>1.7980769230769234E-2</v>
      </c>
      <c r="J706" s="702"/>
      <c r="K706" s="702"/>
      <c r="L706" s="1242"/>
      <c r="M706" s="1242"/>
      <c r="N706" s="1299"/>
    </row>
    <row r="707" spans="2:14" ht="13" x14ac:dyDescent="0.3">
      <c r="B707" s="579">
        <f t="shared" si="21"/>
        <v>18</v>
      </c>
      <c r="C707" s="1079" t="s">
        <v>1250</v>
      </c>
      <c r="D707" t="s">
        <v>1242</v>
      </c>
      <c r="E707" t="s">
        <v>1243</v>
      </c>
      <c r="F707" s="741">
        <v>209</v>
      </c>
      <c r="G707" s="741">
        <f t="shared" si="20"/>
        <v>142.12</v>
      </c>
      <c r="H707" s="1233">
        <f t="shared" si="19"/>
        <v>6.8326923076923077E-2</v>
      </c>
      <c r="J707" s="702"/>
      <c r="K707" s="702"/>
      <c r="L707" s="1242"/>
      <c r="M707" s="1242"/>
      <c r="N707" s="1299"/>
    </row>
    <row r="708" spans="2:14" ht="13" x14ac:dyDescent="0.3">
      <c r="B708" s="579">
        <f t="shared" si="21"/>
        <v>19</v>
      </c>
      <c r="C708" s="1079" t="s">
        <v>1250</v>
      </c>
      <c r="D708" t="s">
        <v>1246</v>
      </c>
      <c r="E708" t="s">
        <v>1243</v>
      </c>
      <c r="F708" s="741">
        <f>3337-163</f>
        <v>3174</v>
      </c>
      <c r="G708" s="741">
        <f t="shared" si="20"/>
        <v>2158.3200000000002</v>
      </c>
      <c r="H708" s="1233">
        <f t="shared" si="19"/>
        <v>1.0376538461538463</v>
      </c>
      <c r="J708" s="702"/>
      <c r="K708" s="702"/>
      <c r="L708" s="1242"/>
      <c r="M708" s="1242"/>
      <c r="N708" s="1299"/>
    </row>
    <row r="709" spans="2:14" ht="13" x14ac:dyDescent="0.3">
      <c r="B709" s="579">
        <f t="shared" si="21"/>
        <v>20</v>
      </c>
      <c r="C709" s="1079" t="s">
        <v>1250</v>
      </c>
      <c r="D709" t="s">
        <v>1246</v>
      </c>
      <c r="E709" t="s">
        <v>1243</v>
      </c>
      <c r="F709" s="741">
        <f>3215-163</f>
        <v>3052</v>
      </c>
      <c r="G709" s="741">
        <f t="shared" si="20"/>
        <v>2075.36</v>
      </c>
      <c r="H709" s="1233">
        <f t="shared" si="19"/>
        <v>0.99776923076923085</v>
      </c>
      <c r="J709" s="702"/>
      <c r="K709" s="702"/>
      <c r="L709" s="1242"/>
      <c r="M709" s="1242"/>
      <c r="N709" s="1299"/>
    </row>
    <row r="710" spans="2:14" ht="13" x14ac:dyDescent="0.3">
      <c r="B710" s="579">
        <f t="shared" si="21"/>
        <v>21</v>
      </c>
      <c r="C710" s="1079" t="s">
        <v>1250</v>
      </c>
      <c r="D710" t="s">
        <v>1242</v>
      </c>
      <c r="E710" t="s">
        <v>1243</v>
      </c>
      <c r="F710" s="741">
        <v>391</v>
      </c>
      <c r="G710" s="741">
        <f t="shared" si="20"/>
        <v>265.88</v>
      </c>
      <c r="H710" s="1233">
        <f t="shared" si="19"/>
        <v>0.12782692307692309</v>
      </c>
      <c r="J710" s="702"/>
      <c r="K710" s="702"/>
      <c r="L710" s="1242"/>
      <c r="M710" s="1242"/>
      <c r="N710" s="1299"/>
    </row>
    <row r="711" spans="2:14" ht="13" x14ac:dyDescent="0.3">
      <c r="B711" s="579">
        <f t="shared" si="21"/>
        <v>22</v>
      </c>
      <c r="C711" s="1079" t="s">
        <v>1250</v>
      </c>
      <c r="D711" t="s">
        <v>1242</v>
      </c>
      <c r="E711" t="s">
        <v>1243</v>
      </c>
      <c r="F711" s="741">
        <v>19</v>
      </c>
      <c r="G711" s="741">
        <f t="shared" si="20"/>
        <v>12.920000000000002</v>
      </c>
      <c r="H711" s="1233">
        <f t="shared" si="19"/>
        <v>6.2115384615384628E-3</v>
      </c>
      <c r="J711" s="702"/>
      <c r="K711" s="702"/>
      <c r="L711" s="1242"/>
      <c r="M711" s="1242"/>
      <c r="N711" s="1299"/>
    </row>
    <row r="712" spans="2:14" ht="13" x14ac:dyDescent="0.3">
      <c r="B712" s="579">
        <f t="shared" si="21"/>
        <v>23</v>
      </c>
      <c r="C712" s="1079" t="s">
        <v>1250</v>
      </c>
      <c r="D712" t="s">
        <v>1244</v>
      </c>
      <c r="E712" t="s">
        <v>1243</v>
      </c>
      <c r="F712" s="741">
        <v>445</v>
      </c>
      <c r="G712" s="741">
        <f t="shared" si="20"/>
        <v>302.60000000000002</v>
      </c>
      <c r="H712" s="1233">
        <f t="shared" si="19"/>
        <v>0.14548076923076925</v>
      </c>
      <c r="J712" s="702"/>
      <c r="K712" s="702"/>
      <c r="L712" s="1242"/>
      <c r="M712" s="1242"/>
      <c r="N712" s="1299"/>
    </row>
    <row r="713" spans="2:14" ht="13" x14ac:dyDescent="0.3">
      <c r="B713" s="579">
        <f t="shared" si="21"/>
        <v>24</v>
      </c>
      <c r="C713" s="1079" t="s">
        <v>1250</v>
      </c>
      <c r="D713" t="s">
        <v>1242</v>
      </c>
      <c r="E713" t="s">
        <v>1243</v>
      </c>
      <c r="F713" s="741">
        <v>284</v>
      </c>
      <c r="G713" s="741">
        <f t="shared" si="20"/>
        <v>193.12</v>
      </c>
      <c r="H713" s="1233">
        <f t="shared" si="19"/>
        <v>9.2846153846153842E-2</v>
      </c>
      <c r="J713" s="702"/>
      <c r="K713" s="702"/>
      <c r="L713" s="1242"/>
      <c r="M713" s="1242"/>
      <c r="N713" s="1299"/>
    </row>
    <row r="714" spans="2:14" ht="13" x14ac:dyDescent="0.3">
      <c r="B714" s="579">
        <f t="shared" si="21"/>
        <v>25</v>
      </c>
      <c r="C714" s="1079" t="s">
        <v>1250</v>
      </c>
      <c r="D714" t="s">
        <v>1244</v>
      </c>
      <c r="E714" t="s">
        <v>1243</v>
      </c>
      <c r="F714" s="741">
        <v>1364</v>
      </c>
      <c r="G714" s="741">
        <f t="shared" si="20"/>
        <v>927.5200000000001</v>
      </c>
      <c r="H714" s="1233">
        <f t="shared" si="19"/>
        <v>0.44592307692307698</v>
      </c>
      <c r="J714" s="702"/>
      <c r="K714" s="702"/>
      <c r="L714" s="1242"/>
      <c r="M714" s="1242"/>
      <c r="N714" s="1299"/>
    </row>
    <row r="715" spans="2:14" ht="13" x14ac:dyDescent="0.3">
      <c r="B715" s="579">
        <f t="shared" si="21"/>
        <v>26</v>
      </c>
      <c r="C715" s="1079" t="s">
        <v>1250</v>
      </c>
      <c r="D715" t="s">
        <v>1247</v>
      </c>
      <c r="E715" t="s">
        <v>1243</v>
      </c>
      <c r="F715" s="741">
        <v>279</v>
      </c>
      <c r="G715" s="741">
        <f t="shared" si="20"/>
        <v>189.72000000000003</v>
      </c>
      <c r="H715" s="1233">
        <f t="shared" si="19"/>
        <v>9.1211538461538469E-2</v>
      </c>
      <c r="J715" s="702"/>
      <c r="K715" s="702"/>
      <c r="L715" s="1242"/>
      <c r="M715" s="1242"/>
      <c r="N715" s="1299"/>
    </row>
    <row r="716" spans="2:14" ht="13" x14ac:dyDescent="0.3">
      <c r="B716" s="579">
        <f t="shared" si="21"/>
        <v>27</v>
      </c>
      <c r="C716" s="1079" t="s">
        <v>1250</v>
      </c>
      <c r="D716" t="s">
        <v>1248</v>
      </c>
      <c r="E716" t="s">
        <v>1243</v>
      </c>
      <c r="F716" s="741">
        <v>747</v>
      </c>
      <c r="G716" s="741">
        <f t="shared" si="20"/>
        <v>507.96000000000004</v>
      </c>
      <c r="H716" s="1233">
        <f t="shared" si="19"/>
        <v>0.24421153846153848</v>
      </c>
      <c r="J716" s="702"/>
      <c r="K716" s="702"/>
      <c r="L716" s="1242"/>
      <c r="M716" s="1242"/>
      <c r="N716" s="1299"/>
    </row>
    <row r="717" spans="2:14" ht="13" x14ac:dyDescent="0.3">
      <c r="B717" s="579">
        <f t="shared" si="21"/>
        <v>28</v>
      </c>
      <c r="C717" s="1079" t="s">
        <v>1250</v>
      </c>
      <c r="D717" t="s">
        <v>1244</v>
      </c>
      <c r="E717" t="s">
        <v>1243</v>
      </c>
      <c r="F717" s="741">
        <v>1202</v>
      </c>
      <c r="G717" s="741">
        <f t="shared" si="20"/>
        <v>817.36</v>
      </c>
      <c r="H717" s="1233">
        <f t="shared" si="19"/>
        <v>0.39296153846153847</v>
      </c>
      <c r="J717" s="702"/>
      <c r="K717" s="702"/>
      <c r="L717" s="1242"/>
      <c r="M717" s="1242"/>
      <c r="N717" s="1299"/>
    </row>
    <row r="718" spans="2:14" ht="13" x14ac:dyDescent="0.3">
      <c r="B718" s="579">
        <f t="shared" si="21"/>
        <v>29</v>
      </c>
      <c r="C718" s="1079" t="s">
        <v>1250</v>
      </c>
      <c r="D718" t="s">
        <v>1244</v>
      </c>
      <c r="E718" t="s">
        <v>1243</v>
      </c>
      <c r="F718" s="741">
        <v>71</v>
      </c>
      <c r="G718" s="741">
        <f t="shared" si="20"/>
        <v>48.28</v>
      </c>
      <c r="H718" s="1233">
        <f t="shared" si="19"/>
        <v>2.3211538461538461E-2</v>
      </c>
      <c r="J718" s="702"/>
      <c r="K718" s="702"/>
      <c r="L718" s="1242"/>
      <c r="M718" s="1242"/>
      <c r="N718" s="1299"/>
    </row>
    <row r="719" spans="2:14" ht="13" x14ac:dyDescent="0.3">
      <c r="B719" s="579">
        <f t="shared" si="21"/>
        <v>30</v>
      </c>
      <c r="C719" s="1079" t="s">
        <v>1250</v>
      </c>
      <c r="D719" t="s">
        <v>1244</v>
      </c>
      <c r="E719" t="s">
        <v>1243</v>
      </c>
      <c r="F719" s="741">
        <v>453</v>
      </c>
      <c r="G719" s="741">
        <f t="shared" si="20"/>
        <v>308.04000000000002</v>
      </c>
      <c r="H719" s="1233">
        <f t="shared" si="19"/>
        <v>0.14809615384615385</v>
      </c>
      <c r="J719" s="702"/>
      <c r="K719" s="702"/>
      <c r="L719" s="1242"/>
      <c r="M719" s="1242"/>
      <c r="N719" s="1299"/>
    </row>
    <row r="720" spans="2:14" ht="13" x14ac:dyDescent="0.3">
      <c r="B720" s="579">
        <f t="shared" si="21"/>
        <v>31</v>
      </c>
      <c r="C720" s="1079" t="s">
        <v>1250</v>
      </c>
      <c r="D720" t="s">
        <v>1244</v>
      </c>
      <c r="E720" t="s">
        <v>1243</v>
      </c>
      <c r="F720" s="741">
        <v>514</v>
      </c>
      <c r="G720" s="741">
        <f t="shared" si="20"/>
        <v>349.52000000000004</v>
      </c>
      <c r="H720" s="1233">
        <f t="shared" si="19"/>
        <v>0.16803846153846155</v>
      </c>
      <c r="J720" s="702"/>
      <c r="K720" s="702"/>
      <c r="L720" s="1242"/>
      <c r="M720" s="1242"/>
      <c r="N720" s="1299"/>
    </row>
    <row r="721" spans="2:14" ht="13" x14ac:dyDescent="0.3">
      <c r="B721" s="579">
        <f t="shared" si="21"/>
        <v>32</v>
      </c>
      <c r="C721" s="1079" t="s">
        <v>1250</v>
      </c>
      <c r="D721" t="s">
        <v>1244</v>
      </c>
      <c r="E721" t="s">
        <v>1243</v>
      </c>
      <c r="F721" s="741">
        <v>894</v>
      </c>
      <c r="G721" s="741">
        <f t="shared" si="20"/>
        <v>607.92000000000007</v>
      </c>
      <c r="H721" s="1233">
        <f t="shared" si="19"/>
        <v>0.29226923076923078</v>
      </c>
      <c r="J721" s="702"/>
      <c r="K721" s="702"/>
      <c r="L721" s="1242"/>
      <c r="M721" s="1242"/>
      <c r="N721" s="1299"/>
    </row>
    <row r="722" spans="2:14" ht="13" x14ac:dyDescent="0.3">
      <c r="B722" s="579">
        <f t="shared" si="21"/>
        <v>33</v>
      </c>
      <c r="C722" s="1079" t="s">
        <v>1250</v>
      </c>
      <c r="D722" t="s">
        <v>1244</v>
      </c>
      <c r="E722" t="s">
        <v>1243</v>
      </c>
      <c r="F722" s="741">
        <v>1343</v>
      </c>
      <c r="G722" s="741">
        <f t="shared" si="20"/>
        <v>913.24</v>
      </c>
      <c r="H722" s="1233">
        <f t="shared" si="19"/>
        <v>0.43905769230769232</v>
      </c>
      <c r="J722" s="702"/>
      <c r="K722" s="702"/>
      <c r="L722" s="1242"/>
      <c r="M722" s="1242"/>
      <c r="N722" s="1299"/>
    </row>
    <row r="723" spans="2:14" ht="13" x14ac:dyDescent="0.3">
      <c r="B723" s="579">
        <f t="shared" si="21"/>
        <v>34</v>
      </c>
      <c r="C723" s="1079" t="s">
        <v>1250</v>
      </c>
      <c r="D723" t="s">
        <v>1244</v>
      </c>
      <c r="E723" t="s">
        <v>1243</v>
      </c>
      <c r="F723" s="741">
        <f>158+19</f>
        <v>177</v>
      </c>
      <c r="G723" s="741">
        <f t="shared" si="20"/>
        <v>120.36000000000001</v>
      </c>
      <c r="H723" s="1233">
        <f t="shared" si="19"/>
        <v>5.7865384615384624E-2</v>
      </c>
      <c r="J723" s="702"/>
      <c r="K723" s="702"/>
      <c r="L723" s="1242"/>
      <c r="M723" s="1242"/>
      <c r="N723" s="1299"/>
    </row>
    <row r="724" spans="2:14" ht="13" x14ac:dyDescent="0.3">
      <c r="B724" s="579">
        <f t="shared" si="21"/>
        <v>35</v>
      </c>
      <c r="C724" s="1079" t="s">
        <v>1250</v>
      </c>
      <c r="D724" t="s">
        <v>1244</v>
      </c>
      <c r="E724" t="s">
        <v>1243</v>
      </c>
      <c r="F724" s="741">
        <v>1106</v>
      </c>
      <c r="G724" s="741">
        <f t="shared" si="20"/>
        <v>752.08</v>
      </c>
      <c r="H724" s="1233">
        <f t="shared" si="19"/>
        <v>0.36157692307692307</v>
      </c>
      <c r="J724" s="702"/>
      <c r="K724" s="702"/>
      <c r="L724" s="1242"/>
      <c r="M724" s="1242"/>
      <c r="N724" s="1299"/>
    </row>
    <row r="725" spans="2:14" ht="13" x14ac:dyDescent="0.3">
      <c r="B725" s="579">
        <f t="shared" si="21"/>
        <v>36</v>
      </c>
      <c r="C725" s="1079" t="s">
        <v>1250</v>
      </c>
      <c r="D725" t="s">
        <v>1244</v>
      </c>
      <c r="E725" t="s">
        <v>1243</v>
      </c>
      <c r="F725" s="741">
        <v>207</v>
      </c>
      <c r="G725" s="741">
        <f t="shared" si="20"/>
        <v>140.76000000000002</v>
      </c>
      <c r="H725" s="1233">
        <f t="shared" si="19"/>
        <v>6.7673076923076933E-2</v>
      </c>
      <c r="J725" s="702"/>
      <c r="K725" s="702"/>
      <c r="L725" s="1242"/>
      <c r="M725" s="1242"/>
      <c r="N725" s="1299"/>
    </row>
    <row r="726" spans="2:14" ht="13" x14ac:dyDescent="0.3">
      <c r="B726" s="579">
        <f t="shared" si="21"/>
        <v>37</v>
      </c>
      <c r="C726" s="1079" t="s">
        <v>1250</v>
      </c>
      <c r="D726" t="s">
        <v>1244</v>
      </c>
      <c r="E726" t="s">
        <v>1243</v>
      </c>
      <c r="F726" s="741">
        <f>302-2</f>
        <v>300</v>
      </c>
      <c r="G726" s="741">
        <f t="shared" si="20"/>
        <v>204.00000000000003</v>
      </c>
      <c r="H726" s="1233">
        <f t="shared" si="19"/>
        <v>9.8076923076923089E-2</v>
      </c>
      <c r="J726" s="702"/>
      <c r="K726" s="702"/>
      <c r="L726" s="1242"/>
      <c r="M726" s="1242"/>
      <c r="N726" s="1299"/>
    </row>
    <row r="727" spans="2:14" x14ac:dyDescent="0.25">
      <c r="J727" s="702"/>
      <c r="K727" s="702"/>
      <c r="L727" s="702"/>
      <c r="M727" s="702"/>
      <c r="N727" s="702"/>
    </row>
    <row r="729" spans="2:14" ht="13" x14ac:dyDescent="0.3">
      <c r="C729" s="1315">
        <v>37</v>
      </c>
      <c r="D729" s="1051" t="s">
        <v>1251</v>
      </c>
      <c r="E729" s="1051"/>
      <c r="F729" s="586">
        <f>SUM(F690:F728)</f>
        <v>30490</v>
      </c>
      <c r="G729" s="586">
        <f>SUM(G690:G728)</f>
        <v>20733.200000000004</v>
      </c>
      <c r="H729" s="1051">
        <f>+G729/2080</f>
        <v>9.9678846153846177</v>
      </c>
    </row>
  </sheetData>
  <autoFilter ref="D318:H318" xr:uid="{CDE62BD1-325D-415E-A066-FB6411A8A162}">
    <sortState xmlns:xlrd2="http://schemas.microsoft.com/office/spreadsheetml/2017/richdata2" ref="D373:H588">
      <sortCondition ref="D372"/>
    </sortState>
  </autoFilter>
  <pageMargins left="0.2" right="0.2" top="0.25" bottom="0.2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CFE3E-218F-4A30-847E-26FEE775A68B}">
  <sheetPr>
    <tabColor rgb="FF92D050"/>
    <pageSetUpPr fitToPage="1"/>
  </sheetPr>
  <dimension ref="A1:R41"/>
  <sheetViews>
    <sheetView topLeftCell="A10" workbookViewId="0">
      <selection activeCell="K19" sqref="K19"/>
    </sheetView>
  </sheetViews>
  <sheetFormatPr defaultColWidth="9.1796875" defaultRowHeight="12.5" x14ac:dyDescent="0.25"/>
  <cols>
    <col min="1" max="1" width="3.54296875" style="155" customWidth="1"/>
    <col min="2" max="2" width="16.453125" style="14" customWidth="1"/>
    <col min="3" max="3" width="28.453125" style="14" customWidth="1"/>
    <col min="4" max="4" width="15.453125" style="14" customWidth="1"/>
    <col min="5" max="5" width="16.453125" style="14" customWidth="1"/>
    <col min="6" max="6" width="17.453125" style="14" customWidth="1"/>
    <col min="7" max="7" width="17.7265625" style="14" customWidth="1"/>
    <col min="8" max="8" width="16.54296875" style="14" customWidth="1"/>
    <col min="9" max="16384" width="9.1796875" style="14"/>
  </cols>
  <sheetData>
    <row r="1" spans="1:18" ht="13.5" x14ac:dyDescent="0.35">
      <c r="A1" s="1396" t="s">
        <v>45</v>
      </c>
      <c r="B1" s="1396"/>
      <c r="C1" s="1396"/>
      <c r="D1" s="1396"/>
      <c r="E1" s="1396"/>
      <c r="F1" s="1396"/>
      <c r="G1" s="1396"/>
      <c r="H1" s="1396"/>
      <c r="I1" s="75"/>
      <c r="J1" s="75"/>
      <c r="K1" s="75"/>
      <c r="L1" s="75"/>
      <c r="M1" s="75"/>
      <c r="N1" s="75"/>
      <c r="O1" s="75"/>
      <c r="P1" s="75"/>
      <c r="Q1" s="75"/>
    </row>
    <row r="2" spans="1:18" ht="13.5" x14ac:dyDescent="0.35">
      <c r="A2" s="1396" t="s">
        <v>46</v>
      </c>
      <c r="B2" s="1396"/>
      <c r="C2" s="1396"/>
      <c r="D2" s="1396"/>
      <c r="E2" s="1396"/>
      <c r="F2" s="1396"/>
      <c r="G2" s="1396"/>
      <c r="H2" s="1396"/>
      <c r="I2" s="75"/>
      <c r="J2" s="75"/>
      <c r="K2" s="75"/>
      <c r="L2" s="75"/>
      <c r="M2" s="75"/>
      <c r="N2" s="75"/>
      <c r="O2" s="75"/>
      <c r="P2" s="75"/>
      <c r="Q2" s="75"/>
    </row>
    <row r="3" spans="1:18" ht="13.5" x14ac:dyDescent="0.35">
      <c r="A3" s="1396" t="s">
        <v>47</v>
      </c>
      <c r="B3" s="1396"/>
      <c r="C3" s="1396"/>
      <c r="D3" s="1396"/>
      <c r="E3" s="1396"/>
      <c r="F3" s="1396"/>
      <c r="G3" s="1396"/>
      <c r="H3" s="1396"/>
      <c r="I3" s="75"/>
      <c r="J3" s="75"/>
      <c r="K3" s="75"/>
      <c r="L3" s="75"/>
      <c r="M3" s="75"/>
      <c r="N3" s="75"/>
      <c r="O3" s="75"/>
      <c r="P3" s="75"/>
      <c r="Q3" s="75"/>
    </row>
    <row r="4" spans="1:18" ht="13.5" x14ac:dyDescent="0.35">
      <c r="A4" s="1396" t="s">
        <v>48</v>
      </c>
      <c r="B4" s="1396"/>
      <c r="C4" s="1396"/>
      <c r="D4" s="1396"/>
      <c r="E4" s="1396"/>
      <c r="F4" s="1396"/>
      <c r="G4" s="1396"/>
      <c r="H4" s="1396"/>
      <c r="I4" s="75"/>
      <c r="J4" s="75"/>
      <c r="K4" s="75"/>
      <c r="L4" s="75"/>
      <c r="M4" s="75"/>
      <c r="N4" s="75"/>
      <c r="O4" s="75"/>
      <c r="P4" s="75"/>
      <c r="Q4" s="75"/>
    </row>
    <row r="5" spans="1:18" ht="14" thickBot="1" x14ac:dyDescent="0.4">
      <c r="A5" s="151"/>
      <c r="B5" s="12"/>
      <c r="C5" s="12"/>
      <c r="D5" s="12"/>
      <c r="E5" s="440"/>
      <c r="F5" s="440"/>
      <c r="G5" s="440"/>
      <c r="H5" s="440"/>
      <c r="I5" s="85"/>
      <c r="J5" s="85"/>
      <c r="K5" s="85"/>
      <c r="L5" s="85"/>
      <c r="M5" s="85"/>
      <c r="N5" s="85"/>
      <c r="O5" s="85"/>
      <c r="P5" s="85"/>
      <c r="Q5" s="85"/>
    </row>
    <row r="6" spans="1:18" ht="21.75" customHeight="1" x14ac:dyDescent="0.35">
      <c r="A6" s="152"/>
      <c r="B6" s="77" t="s">
        <v>54</v>
      </c>
      <c r="C6" s="77"/>
      <c r="D6" s="78" t="s">
        <v>6</v>
      </c>
      <c r="E6" s="94">
        <f>'P1 Info &amp; Certification'!L20</f>
        <v>45108</v>
      </c>
      <c r="F6" s="148"/>
      <c r="G6" s="95" t="str">
        <f>'P1 Info &amp; Certification'!M20</f>
        <v>To</v>
      </c>
      <c r="H6" s="443">
        <f>'P1 Info &amp; Certification'!N20</f>
        <v>45473</v>
      </c>
      <c r="I6" s="147"/>
      <c r="J6" s="89"/>
      <c r="K6" s="13"/>
      <c r="L6" s="88"/>
      <c r="M6" s="32"/>
      <c r="N6" s="147"/>
      <c r="O6" s="147"/>
      <c r="P6" s="32"/>
      <c r="Q6" s="146"/>
      <c r="R6" s="146"/>
    </row>
    <row r="7" spans="1:18" ht="13" x14ac:dyDescent="0.3">
      <c r="A7" s="153"/>
      <c r="B7" s="458"/>
      <c r="C7" s="458"/>
      <c r="D7" s="458"/>
      <c r="E7" s="13"/>
      <c r="F7" s="13"/>
      <c r="G7" s="13"/>
      <c r="H7" s="81"/>
      <c r="I7" s="13"/>
      <c r="J7" s="13"/>
      <c r="K7" s="13"/>
      <c r="L7" s="13"/>
      <c r="M7" s="13"/>
      <c r="N7" s="13"/>
      <c r="O7" s="13"/>
      <c r="P7" s="13"/>
      <c r="Q7" s="146"/>
      <c r="R7" s="146"/>
    </row>
    <row r="8" spans="1:18" ht="22.5" customHeight="1" thickBot="1" x14ac:dyDescent="0.3">
      <c r="A8" s="154"/>
      <c r="B8" s="84" t="s">
        <v>59</v>
      </c>
      <c r="C8" s="1397" t="str">
        <f>'P1 Info &amp; Certification'!E12</f>
        <v>COMMUNITY HEALTH CENTER, INC.</v>
      </c>
      <c r="D8" s="1397"/>
      <c r="E8" s="1397"/>
      <c r="F8" s="1397"/>
      <c r="G8" s="1397"/>
      <c r="H8" s="464"/>
      <c r="I8" s="145"/>
      <c r="J8" s="145"/>
      <c r="K8" s="145"/>
      <c r="L8" s="145"/>
      <c r="M8" s="145"/>
      <c r="N8" s="145"/>
      <c r="O8" s="145"/>
      <c r="P8" s="145"/>
      <c r="Q8" s="146"/>
      <c r="R8" s="146"/>
    </row>
    <row r="9" spans="1:18" ht="13" x14ac:dyDescent="0.25">
      <c r="A9" s="471"/>
      <c r="B9" s="472"/>
      <c r="C9" s="472"/>
      <c r="D9" s="472"/>
      <c r="E9" s="472"/>
      <c r="F9" s="472"/>
      <c r="G9" s="472"/>
      <c r="H9" s="472"/>
      <c r="I9" s="43"/>
      <c r="J9" s="43"/>
      <c r="K9" s="43"/>
      <c r="L9" s="43"/>
      <c r="M9" s="43"/>
      <c r="N9" s="43"/>
      <c r="O9" s="43"/>
      <c r="P9" s="43"/>
      <c r="Q9" s="146"/>
      <c r="R9" s="146"/>
    </row>
    <row r="10" spans="1:18" x14ac:dyDescent="0.25">
      <c r="A10" s="156"/>
      <c r="B10" s="146"/>
      <c r="C10" s="146"/>
      <c r="D10" s="146"/>
      <c r="E10" s="146"/>
      <c r="F10" s="146"/>
      <c r="G10" s="146"/>
      <c r="H10" s="146"/>
    </row>
    <row r="11" spans="1:18" ht="13.5" thickBot="1" x14ac:dyDescent="0.35">
      <c r="A11" s="156"/>
      <c r="B11" s="146"/>
      <c r="C11" s="146"/>
      <c r="D11" s="146"/>
      <c r="E11" s="146"/>
      <c r="F11" s="146"/>
      <c r="G11" s="146"/>
      <c r="H11" s="296" t="s">
        <v>285</v>
      </c>
    </row>
    <row r="12" spans="1:18" ht="28.5" customHeight="1" x14ac:dyDescent="0.35">
      <c r="A12" s="1465" t="s">
        <v>284</v>
      </c>
      <c r="B12" s="1466"/>
      <c r="C12" s="1466"/>
      <c r="D12" s="1466"/>
      <c r="E12" s="1466"/>
      <c r="F12" s="1466"/>
      <c r="G12" s="1466"/>
      <c r="H12" s="1468"/>
    </row>
    <row r="13" spans="1:18" ht="13" x14ac:dyDescent="0.3">
      <c r="A13" s="1477" t="s">
        <v>281</v>
      </c>
      <c r="B13" s="1478"/>
      <c r="C13" s="1478"/>
      <c r="D13" s="1493"/>
      <c r="E13" s="366"/>
      <c r="F13" s="413"/>
      <c r="G13" s="1469" t="s">
        <v>271</v>
      </c>
      <c r="H13" s="1470"/>
    </row>
    <row r="14" spans="1:18" ht="13" x14ac:dyDescent="0.3">
      <c r="A14" s="1479"/>
      <c r="B14" s="1480"/>
      <c r="C14" s="1480"/>
      <c r="D14" s="1480"/>
      <c r="E14" s="364"/>
      <c r="F14" s="414"/>
      <c r="G14" s="169" t="s">
        <v>272</v>
      </c>
      <c r="H14" s="204" t="s">
        <v>203</v>
      </c>
    </row>
    <row r="15" spans="1:18" ht="12.75" customHeight="1" x14ac:dyDescent="0.3">
      <c r="A15" s="1481"/>
      <c r="B15" s="1461"/>
      <c r="C15" s="1461"/>
      <c r="D15" s="1461"/>
      <c r="E15" s="367" t="s">
        <v>266</v>
      </c>
      <c r="F15" s="415" t="s">
        <v>254</v>
      </c>
      <c r="G15" s="170" t="s">
        <v>205</v>
      </c>
      <c r="H15" s="205" t="s">
        <v>204</v>
      </c>
    </row>
    <row r="16" spans="1:18" ht="12.75" customHeight="1" x14ac:dyDescent="0.3">
      <c r="A16" s="451"/>
      <c r="B16" s="447"/>
      <c r="C16" s="447"/>
      <c r="D16" s="447"/>
      <c r="E16" s="417" t="s">
        <v>61</v>
      </c>
      <c r="F16" s="418" t="s">
        <v>62</v>
      </c>
      <c r="G16" s="419" t="s">
        <v>63</v>
      </c>
      <c r="H16" s="420" t="s">
        <v>64</v>
      </c>
    </row>
    <row r="17" spans="1:9" ht="12.75" customHeight="1" thickBot="1" x14ac:dyDescent="0.35">
      <c r="A17" s="304"/>
      <c r="B17" s="1458" t="s">
        <v>279</v>
      </c>
      <c r="C17" s="1459"/>
      <c r="D17" s="1459"/>
      <c r="E17" s="365">
        <v>125000</v>
      </c>
      <c r="F17" s="365">
        <v>1500</v>
      </c>
      <c r="G17" s="347">
        <v>1040</v>
      </c>
      <c r="H17" s="348">
        <f>G17/2080</f>
        <v>0.5</v>
      </c>
    </row>
    <row r="18" spans="1:9" ht="19.5" customHeight="1" x14ac:dyDescent="0.3">
      <c r="A18" s="305" t="s">
        <v>83</v>
      </c>
      <c r="B18" s="1494" t="s">
        <v>208</v>
      </c>
      <c r="C18" s="1495"/>
      <c r="D18" s="1496"/>
      <c r="E18" s="306"/>
      <c r="F18" s="306"/>
      <c r="G18" s="307"/>
      <c r="H18" s="308"/>
    </row>
    <row r="19" spans="1:9" ht="19.5" customHeight="1" x14ac:dyDescent="0.25">
      <c r="A19" s="474" t="s">
        <v>49</v>
      </c>
      <c r="B19" s="1471" t="s">
        <v>475</v>
      </c>
      <c r="C19" s="1472"/>
      <c r="D19" s="1473"/>
      <c r="E19" s="340">
        <f>+'P4 Form A-2 - Dental'!D19</f>
        <v>2489756.1884837979</v>
      </c>
      <c r="F19" s="476">
        <f>+'Form B-2 Detail'!F39</f>
        <v>29821</v>
      </c>
      <c r="G19" s="476">
        <f>+'Form B-2 Detail'!G39</f>
        <v>28668.75</v>
      </c>
      <c r="H19" s="343">
        <f>ROUND(G19/2080,2)</f>
        <v>13.78</v>
      </c>
    </row>
    <row r="20" spans="1:9" ht="19.5" customHeight="1" x14ac:dyDescent="0.25">
      <c r="A20" s="474" t="s">
        <v>50</v>
      </c>
      <c r="B20" s="1471"/>
      <c r="C20" s="1472"/>
      <c r="D20" s="1473"/>
      <c r="E20" s="340"/>
      <c r="F20" s="477"/>
      <c r="G20" s="394"/>
      <c r="H20" s="343">
        <f>ROUND(G20/2080,2)</f>
        <v>0</v>
      </c>
    </row>
    <row r="21" spans="1:9" ht="19.5" customHeight="1" x14ac:dyDescent="0.25">
      <c r="A21" s="474" t="s">
        <v>82</v>
      </c>
      <c r="B21" s="1471"/>
      <c r="C21" s="1472"/>
      <c r="D21" s="1473"/>
      <c r="E21" s="340"/>
      <c r="F21" s="476"/>
      <c r="G21" s="394"/>
      <c r="H21" s="343">
        <f>ROUND(G21/2080,2)</f>
        <v>0</v>
      </c>
    </row>
    <row r="22" spans="1:9" ht="19.5" customHeight="1" x14ac:dyDescent="0.25">
      <c r="A22" s="474" t="s">
        <v>51</v>
      </c>
      <c r="B22" s="1471"/>
      <c r="C22" s="1472"/>
      <c r="D22" s="1473"/>
      <c r="E22" s="340"/>
      <c r="F22" s="477"/>
      <c r="G22" s="394"/>
      <c r="H22" s="343">
        <f>ROUND(G22/2080,2)</f>
        <v>0</v>
      </c>
    </row>
    <row r="23" spans="1:9" ht="19.5" customHeight="1" x14ac:dyDescent="0.25">
      <c r="A23" s="474" t="s">
        <v>156</v>
      </c>
      <c r="B23" s="1471"/>
      <c r="C23" s="1472"/>
      <c r="D23" s="1473"/>
      <c r="E23" s="340"/>
      <c r="F23" s="477"/>
      <c r="G23" s="394"/>
      <c r="H23" s="343">
        <f>ROUND(G23/2080,2)</f>
        <v>0</v>
      </c>
    </row>
    <row r="24" spans="1:9" ht="24.75" customHeight="1" thickBot="1" x14ac:dyDescent="0.35">
      <c r="A24" s="253"/>
      <c r="B24" s="1474" t="s">
        <v>257</v>
      </c>
      <c r="C24" s="1475"/>
      <c r="D24" s="1476"/>
      <c r="E24" s="352">
        <f>SUM(E19:E23)</f>
        <v>2489756.1884837979</v>
      </c>
      <c r="F24" s="352">
        <f>SUM(F19:F23)</f>
        <v>29821</v>
      </c>
      <c r="G24" s="352">
        <f>SUM(G19:G23)</f>
        <v>28668.75</v>
      </c>
      <c r="H24" s="344">
        <f>SUM(H19:H23)</f>
        <v>13.78</v>
      </c>
    </row>
    <row r="25" spans="1:9" ht="19.5" customHeight="1" thickTop="1" x14ac:dyDescent="0.25">
      <c r="A25" s="253"/>
      <c r="B25" s="1497"/>
      <c r="C25" s="1497"/>
      <c r="D25" s="1497"/>
      <c r="E25" s="487"/>
      <c r="F25" s="294"/>
      <c r="G25" s="295"/>
      <c r="H25" s="300"/>
      <c r="I25" s="146"/>
    </row>
    <row r="26" spans="1:9" ht="19.5" customHeight="1" x14ac:dyDescent="0.3">
      <c r="A26" s="207" t="s">
        <v>84</v>
      </c>
      <c r="B26" s="1487" t="s">
        <v>209</v>
      </c>
      <c r="C26" s="1488"/>
      <c r="D26" s="1489"/>
      <c r="E26" s="338"/>
      <c r="F26" s="338"/>
      <c r="G26" s="390"/>
      <c r="H26" s="391"/>
    </row>
    <row r="27" spans="1:9" ht="19.5" customHeight="1" x14ac:dyDescent="0.25">
      <c r="A27" s="474" t="s">
        <v>49</v>
      </c>
      <c r="B27" s="1471" t="s">
        <v>475</v>
      </c>
      <c r="C27" s="1472"/>
      <c r="D27" s="1473"/>
      <c r="E27" s="345">
        <f>+'P4 Form A-2 - Dental'!D20</f>
        <v>1023041.1463775205</v>
      </c>
      <c r="F27" s="480">
        <f>+'Form B-2 Detail'!F68</f>
        <v>16849</v>
      </c>
      <c r="G27" s="480">
        <f>+'Form B-2 Detail'!G68</f>
        <v>21513.16</v>
      </c>
      <c r="H27" s="346">
        <f>ROUND(G27/2080,2)</f>
        <v>10.34</v>
      </c>
    </row>
    <row r="28" spans="1:9" ht="19.5" customHeight="1" x14ac:dyDescent="0.25">
      <c r="A28" s="474" t="s">
        <v>50</v>
      </c>
      <c r="B28" s="1471"/>
      <c r="C28" s="1472"/>
      <c r="D28" s="1473"/>
      <c r="E28" s="340"/>
      <c r="F28" s="477"/>
      <c r="G28" s="394"/>
      <c r="H28" s="346">
        <f>ROUND(G28/2080,2)</f>
        <v>0</v>
      </c>
    </row>
    <row r="29" spans="1:9" ht="19.5" customHeight="1" x14ac:dyDescent="0.25">
      <c r="A29" s="474" t="s">
        <v>82</v>
      </c>
      <c r="B29" s="1471"/>
      <c r="C29" s="1472"/>
      <c r="D29" s="1473"/>
      <c r="E29" s="340"/>
      <c r="F29" s="477"/>
      <c r="G29" s="394"/>
      <c r="H29" s="346">
        <f>ROUND(G29/2080,2)</f>
        <v>0</v>
      </c>
    </row>
    <row r="30" spans="1:9" ht="19.5" customHeight="1" x14ac:dyDescent="0.25">
      <c r="A30" s="474" t="s">
        <v>51</v>
      </c>
      <c r="B30" s="1471"/>
      <c r="C30" s="1472"/>
      <c r="D30" s="1473"/>
      <c r="E30" s="340"/>
      <c r="F30" s="477"/>
      <c r="G30" s="394"/>
      <c r="H30" s="346">
        <f>ROUND(G30/2080,2)</f>
        <v>0</v>
      </c>
    </row>
    <row r="31" spans="1:9" ht="19.5" customHeight="1" x14ac:dyDescent="0.25">
      <c r="A31" s="474" t="s">
        <v>156</v>
      </c>
      <c r="B31" s="1471"/>
      <c r="C31" s="1472"/>
      <c r="D31" s="1473"/>
      <c r="E31" s="340"/>
      <c r="F31" s="477"/>
      <c r="G31" s="394"/>
      <c r="H31" s="346">
        <f>ROUND(G31/2080,2)</f>
        <v>0</v>
      </c>
    </row>
    <row r="32" spans="1:9" ht="24.75" customHeight="1" thickBot="1" x14ac:dyDescent="0.35">
      <c r="A32" s="293"/>
      <c r="B32" s="1474" t="s">
        <v>258</v>
      </c>
      <c r="C32" s="1475"/>
      <c r="D32" s="1476"/>
      <c r="E32" s="352">
        <f>SUM(E27:E31)</f>
        <v>1023041.1463775205</v>
      </c>
      <c r="F32" s="352">
        <f>SUM(F27:F31)</f>
        <v>16849</v>
      </c>
      <c r="G32" s="352">
        <f>SUM(G27:G31)</f>
        <v>21513.16</v>
      </c>
      <c r="H32" s="344">
        <f>SUM(H27:H31)</f>
        <v>10.34</v>
      </c>
    </row>
    <row r="33" spans="1:8" s="146" customFormat="1" ht="19.5" customHeight="1" thickTop="1" x14ac:dyDescent="0.3">
      <c r="A33" s="293"/>
      <c r="B33" s="375"/>
      <c r="C33" s="375"/>
      <c r="D33" s="375"/>
      <c r="E33" s="487"/>
      <c r="F33" s="294"/>
      <c r="G33" s="295"/>
      <c r="H33" s="300"/>
    </row>
    <row r="34" spans="1:8" ht="19.5" customHeight="1" x14ac:dyDescent="0.3">
      <c r="A34" s="207" t="s">
        <v>91</v>
      </c>
      <c r="B34" s="1487" t="s">
        <v>346</v>
      </c>
      <c r="C34" s="1488"/>
      <c r="D34" s="1489"/>
      <c r="E34" s="338"/>
      <c r="F34" s="338"/>
      <c r="G34" s="390"/>
      <c r="H34" s="391"/>
    </row>
    <row r="35" spans="1:8" ht="19.5" customHeight="1" x14ac:dyDescent="0.25">
      <c r="A35" s="474" t="s">
        <v>49</v>
      </c>
      <c r="B35" s="1471" t="s">
        <v>475</v>
      </c>
      <c r="C35" s="1472"/>
      <c r="D35" s="1473"/>
      <c r="E35" s="345">
        <f>'Form B-2 Detail'!E80</f>
        <v>1302496.0172211039</v>
      </c>
      <c r="F35" s="480">
        <f>'Form B-2 Detail'!F80</f>
        <v>0</v>
      </c>
      <c r="G35" s="392">
        <f>'Form B-2 Detail'!G80</f>
        <v>46888.743999999999</v>
      </c>
      <c r="H35" s="346">
        <f>ROUND(G35/2080,2)</f>
        <v>22.54</v>
      </c>
    </row>
    <row r="36" spans="1:8" ht="19.5" customHeight="1" x14ac:dyDescent="0.25">
      <c r="A36" s="474" t="s">
        <v>50</v>
      </c>
      <c r="B36" s="1471"/>
      <c r="C36" s="1472"/>
      <c r="D36" s="1473"/>
      <c r="E36" s="340"/>
      <c r="F36" s="477"/>
      <c r="G36" s="394"/>
      <c r="H36" s="346">
        <f>ROUND(G36/2080,2)</f>
        <v>0</v>
      </c>
    </row>
    <row r="37" spans="1:8" ht="19.5" customHeight="1" x14ac:dyDescent="0.25">
      <c r="A37" s="474" t="s">
        <v>82</v>
      </c>
      <c r="B37" s="1471"/>
      <c r="C37" s="1472"/>
      <c r="D37" s="1473"/>
      <c r="E37" s="340"/>
      <c r="F37" s="477"/>
      <c r="G37" s="394"/>
      <c r="H37" s="346">
        <f>ROUND(G37/2080,2)</f>
        <v>0</v>
      </c>
    </row>
    <row r="38" spans="1:8" ht="19.5" customHeight="1" x14ac:dyDescent="0.25">
      <c r="A38" s="474" t="s">
        <v>51</v>
      </c>
      <c r="B38" s="1471"/>
      <c r="C38" s="1472"/>
      <c r="D38" s="1473"/>
      <c r="E38" s="340"/>
      <c r="F38" s="477"/>
      <c r="G38" s="394"/>
      <c r="H38" s="346">
        <f>ROUND(G38/2080,2)</f>
        <v>0</v>
      </c>
    </row>
    <row r="39" spans="1:8" ht="19.5" customHeight="1" x14ac:dyDescent="0.25">
      <c r="A39" s="474" t="s">
        <v>156</v>
      </c>
      <c r="B39" s="1471"/>
      <c r="C39" s="1472"/>
      <c r="D39" s="1473"/>
      <c r="E39" s="340"/>
      <c r="F39" s="477"/>
      <c r="G39" s="394"/>
      <c r="H39" s="346">
        <f>ROUND(G39/2080,2)</f>
        <v>0</v>
      </c>
    </row>
    <row r="40" spans="1:8" ht="24.75" customHeight="1" thickBot="1" x14ac:dyDescent="0.35">
      <c r="A40" s="293"/>
      <c r="B40" s="1474" t="s">
        <v>347</v>
      </c>
      <c r="C40" s="1475"/>
      <c r="D40" s="1476"/>
      <c r="E40" s="352">
        <f>SUM(E35:E39)</f>
        <v>1302496.0172211039</v>
      </c>
      <c r="F40" s="352">
        <f>SUM(F35:F39)</f>
        <v>0</v>
      </c>
      <c r="G40" s="352">
        <f>SUM(G35:G39)</f>
        <v>46888.743999999999</v>
      </c>
      <c r="H40" s="344">
        <f>SUM(H35:H39)</f>
        <v>22.54</v>
      </c>
    </row>
    <row r="41" spans="1:8" ht="14.25" customHeight="1" thickTop="1" thickBot="1" x14ac:dyDescent="0.35">
      <c r="A41" s="301"/>
      <c r="B41" s="309"/>
      <c r="C41" s="309"/>
      <c r="D41" s="309"/>
      <c r="E41" s="310"/>
      <c r="F41" s="311"/>
      <c r="G41" s="312"/>
      <c r="H41" s="313"/>
    </row>
  </sheetData>
  <sheetProtection password="E1AE" sheet="1" formatColumns="0" formatRows="0"/>
  <mergeCells count="31">
    <mergeCell ref="B37:D37"/>
    <mergeCell ref="B40:D40"/>
    <mergeCell ref="B27:D27"/>
    <mergeCell ref="B28:D28"/>
    <mergeCell ref="B29:D29"/>
    <mergeCell ref="B30:D30"/>
    <mergeCell ref="B31:D31"/>
    <mergeCell ref="B38:D38"/>
    <mergeCell ref="B39:D39"/>
    <mergeCell ref="B21:D21"/>
    <mergeCell ref="B22:D22"/>
    <mergeCell ref="B23:D23"/>
    <mergeCell ref="B34:D34"/>
    <mergeCell ref="B35:D35"/>
    <mergeCell ref="B36:D36"/>
    <mergeCell ref="A13:D15"/>
    <mergeCell ref="G13:H13"/>
    <mergeCell ref="B17:D17"/>
    <mergeCell ref="B18:D18"/>
    <mergeCell ref="B19:D19"/>
    <mergeCell ref="B32:D32"/>
    <mergeCell ref="B24:D24"/>
    <mergeCell ref="B25:D25"/>
    <mergeCell ref="B26:D26"/>
    <mergeCell ref="B20:D20"/>
    <mergeCell ref="A1:H1"/>
    <mergeCell ref="A2:H2"/>
    <mergeCell ref="A3:H3"/>
    <mergeCell ref="A4:H4"/>
    <mergeCell ref="C8:G8"/>
    <mergeCell ref="A12:H12"/>
  </mergeCells>
  <printOptions horizontalCentered="1" verticalCentered="1"/>
  <pageMargins left="0.25" right="0.25" top="0.25" bottom="0.25" header="0.5" footer="0.25"/>
  <pageSetup scale="71" orientation="landscape" r:id="rId1"/>
  <headerFooter alignWithMargins="0">
    <oddFooter>&amp;LDSS-16 10-24-2016&amp;RPage 10</oddFooter>
  </headerFooter>
  <rowBreaks count="1" manualBreakCount="1">
    <brk id="3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576D-7C0B-4E25-B23E-09EA4F8AA4A6}">
  <sheetPr>
    <tabColor theme="8" tint="-0.249977111117893"/>
    <pageSetUpPr fitToPage="1"/>
  </sheetPr>
  <dimension ref="A1:I88"/>
  <sheetViews>
    <sheetView topLeftCell="B4" workbookViewId="0">
      <selection activeCell="M68" sqref="M68"/>
    </sheetView>
  </sheetViews>
  <sheetFormatPr defaultColWidth="9.1796875" defaultRowHeight="12.5" outlineLevelRow="1" x14ac:dyDescent="0.25"/>
  <cols>
    <col min="1" max="1" width="3.54296875" style="155" customWidth="1"/>
    <col min="2" max="2" width="16.453125" style="14" customWidth="1"/>
    <col min="3" max="3" width="28.453125" style="14" customWidth="1"/>
    <col min="4" max="4" width="15.453125" style="14" customWidth="1"/>
    <col min="5" max="5" width="16.453125" style="14" customWidth="1"/>
    <col min="6" max="6" width="17.453125" style="14" customWidth="1"/>
    <col min="7" max="7" width="17.7265625" style="14" customWidth="1"/>
    <col min="8" max="8" width="16.54296875" style="14" customWidth="1"/>
    <col min="9" max="16384" width="9.1796875" style="14"/>
  </cols>
  <sheetData>
    <row r="1" spans="1:9" ht="13.5" x14ac:dyDescent="0.35">
      <c r="A1" s="1396" t="s">
        <v>45</v>
      </c>
      <c r="B1" s="1396"/>
      <c r="C1" s="1396"/>
      <c r="D1" s="1396"/>
      <c r="E1" s="1396"/>
      <c r="F1" s="1396"/>
      <c r="G1" s="1396"/>
      <c r="H1" s="1396"/>
      <c r="I1" s="75"/>
    </row>
    <row r="2" spans="1:9" ht="13.5" x14ac:dyDescent="0.35">
      <c r="A2" s="1396" t="s">
        <v>46</v>
      </c>
      <c r="B2" s="1396"/>
      <c r="C2" s="1396"/>
      <c r="D2" s="1396"/>
      <c r="E2" s="1396"/>
      <c r="F2" s="1396"/>
      <c r="G2" s="1396"/>
      <c r="H2" s="1396"/>
      <c r="I2" s="75"/>
    </row>
    <row r="3" spans="1:9" ht="13.5" x14ac:dyDescent="0.35">
      <c r="A3" s="1396" t="s">
        <v>47</v>
      </c>
      <c r="B3" s="1396"/>
      <c r="C3" s="1396"/>
      <c r="D3" s="1396"/>
      <c r="E3" s="1396"/>
      <c r="F3" s="1396"/>
      <c r="G3" s="1396"/>
      <c r="H3" s="1396"/>
      <c r="I3" s="75"/>
    </row>
    <row r="4" spans="1:9" ht="13.5" x14ac:dyDescent="0.35">
      <c r="A4" s="1396" t="s">
        <v>48</v>
      </c>
      <c r="B4" s="1396"/>
      <c r="C4" s="1396"/>
      <c r="D4" s="1396"/>
      <c r="E4" s="1396"/>
      <c r="F4" s="1396"/>
      <c r="G4" s="1396"/>
      <c r="H4" s="1396"/>
      <c r="I4" s="75"/>
    </row>
    <row r="5" spans="1:9" ht="14" thickBot="1" x14ac:dyDescent="0.4">
      <c r="A5" s="151"/>
      <c r="B5" s="12"/>
      <c r="C5" s="12"/>
      <c r="D5" s="12"/>
      <c r="E5" s="514"/>
      <c r="F5" s="514"/>
      <c r="G5" s="514"/>
      <c r="H5" s="514"/>
      <c r="I5" s="514"/>
    </row>
    <row r="6" spans="1:9" ht="21.75" customHeight="1" x14ac:dyDescent="0.35">
      <c r="A6" s="152"/>
      <c r="B6" s="77" t="s">
        <v>54</v>
      </c>
      <c r="C6" s="77"/>
      <c r="D6" s="78" t="s">
        <v>6</v>
      </c>
      <c r="E6" s="94">
        <f>'P1 Info &amp; Certification'!L20</f>
        <v>45108</v>
      </c>
      <c r="F6" s="148"/>
      <c r="G6" s="95" t="str">
        <f>'P1 Info &amp; Certification'!M20</f>
        <v>To</v>
      </c>
      <c r="H6" s="516">
        <f>'P1 Info &amp; Certification'!N20</f>
        <v>45473</v>
      </c>
      <c r="I6" s="147"/>
    </row>
    <row r="7" spans="1:9" ht="13" x14ac:dyDescent="0.3">
      <c r="A7" s="153"/>
      <c r="B7" s="526"/>
      <c r="C7" s="526"/>
      <c r="D7" s="526"/>
      <c r="E7" s="13"/>
      <c r="F7" s="13"/>
      <c r="G7" s="13"/>
      <c r="H7" s="81"/>
      <c r="I7" s="13"/>
    </row>
    <row r="8" spans="1:9" ht="22.5" customHeight="1" thickBot="1" x14ac:dyDescent="0.3">
      <c r="A8" s="154"/>
      <c r="B8" s="84" t="s">
        <v>59</v>
      </c>
      <c r="C8" s="1397" t="str">
        <f>'P1 Info &amp; Certification'!E12</f>
        <v>COMMUNITY HEALTH CENTER, INC.</v>
      </c>
      <c r="D8" s="1397"/>
      <c r="E8" s="1397"/>
      <c r="F8" s="1397"/>
      <c r="G8" s="1397"/>
      <c r="H8" s="464"/>
      <c r="I8" s="525"/>
    </row>
    <row r="9" spans="1:9" ht="13" x14ac:dyDescent="0.25">
      <c r="A9" s="471"/>
      <c r="B9" s="515"/>
      <c r="C9" s="515"/>
      <c r="D9" s="515"/>
      <c r="E9" s="515"/>
      <c r="F9" s="515"/>
      <c r="G9" s="515"/>
      <c r="H9" s="515"/>
      <c r="I9" s="527"/>
    </row>
    <row r="10" spans="1:9" x14ac:dyDescent="0.25">
      <c r="A10" s="156"/>
      <c r="B10" s="146"/>
      <c r="C10" s="146"/>
      <c r="D10" s="146"/>
      <c r="E10" s="146"/>
      <c r="F10" s="146"/>
      <c r="G10" s="146"/>
      <c r="H10" s="146"/>
    </row>
    <row r="11" spans="1:9" ht="13.5" thickBot="1" x14ac:dyDescent="0.35">
      <c r="A11" s="156"/>
      <c r="B11" s="146"/>
      <c r="C11" s="146"/>
      <c r="D11" s="146"/>
      <c r="E11" s="146"/>
      <c r="F11" s="146"/>
      <c r="G11" s="146"/>
      <c r="H11" s="296" t="s">
        <v>285</v>
      </c>
    </row>
    <row r="12" spans="1:9" ht="28.5" customHeight="1" x14ac:dyDescent="0.35">
      <c r="A12" s="1465" t="s">
        <v>284</v>
      </c>
      <c r="B12" s="1466"/>
      <c r="C12" s="1466"/>
      <c r="D12" s="1466"/>
      <c r="E12" s="1466"/>
      <c r="F12" s="1466"/>
      <c r="G12" s="1466"/>
      <c r="H12" s="1468"/>
    </row>
    <row r="13" spans="1:9" ht="13" x14ac:dyDescent="0.3">
      <c r="A13" s="1477" t="s">
        <v>281</v>
      </c>
      <c r="B13" s="1478"/>
      <c r="C13" s="1478"/>
      <c r="D13" s="1493"/>
      <c r="E13" s="366"/>
      <c r="F13" s="413"/>
      <c r="G13" s="1469" t="s">
        <v>271</v>
      </c>
      <c r="H13" s="1470"/>
    </row>
    <row r="14" spans="1:9" ht="13" x14ac:dyDescent="0.3">
      <c r="A14" s="1479"/>
      <c r="B14" s="1480"/>
      <c r="C14" s="1480"/>
      <c r="D14" s="1480"/>
      <c r="E14" s="364"/>
      <c r="F14" s="414"/>
      <c r="G14" s="169" t="s">
        <v>272</v>
      </c>
      <c r="H14" s="204" t="s">
        <v>203</v>
      </c>
    </row>
    <row r="15" spans="1:9" ht="12.75" customHeight="1" x14ac:dyDescent="0.3">
      <c r="A15" s="1481"/>
      <c r="B15" s="1461"/>
      <c r="C15" s="1461"/>
      <c r="D15" s="1461"/>
      <c r="E15" s="367" t="s">
        <v>266</v>
      </c>
      <c r="F15" s="415" t="s">
        <v>254</v>
      </c>
      <c r="G15" s="170" t="s">
        <v>205</v>
      </c>
      <c r="H15" s="205" t="s">
        <v>204</v>
      </c>
    </row>
    <row r="16" spans="1:9" ht="12.75" customHeight="1" x14ac:dyDescent="0.3">
      <c r="A16" s="518"/>
      <c r="B16" s="520"/>
      <c r="C16" s="520"/>
      <c r="D16" s="520"/>
      <c r="E16" s="417" t="s">
        <v>61</v>
      </c>
      <c r="F16" s="418" t="s">
        <v>62</v>
      </c>
      <c r="G16" s="419" t="s">
        <v>63</v>
      </c>
      <c r="H16" s="420" t="s">
        <v>64</v>
      </c>
    </row>
    <row r="17" spans="1:8" ht="12.75" customHeight="1" thickBot="1" x14ac:dyDescent="0.35">
      <c r="A17" s="304"/>
      <c r="B17" s="1458" t="s">
        <v>279</v>
      </c>
      <c r="C17" s="1459"/>
      <c r="D17" s="1459"/>
      <c r="E17" s="365">
        <v>125000</v>
      </c>
      <c r="F17" s="365">
        <v>1500</v>
      </c>
      <c r="G17" s="347">
        <v>1040</v>
      </c>
      <c r="H17" s="348">
        <f>G17/2080</f>
        <v>0.5</v>
      </c>
    </row>
    <row r="18" spans="1:8" ht="32.25" customHeight="1" x14ac:dyDescent="0.3">
      <c r="A18" s="305" t="s">
        <v>83</v>
      </c>
      <c r="B18" s="1494" t="s">
        <v>208</v>
      </c>
      <c r="C18" s="1495"/>
      <c r="D18" s="1496"/>
      <c r="E18" s="306"/>
      <c r="F18" s="306"/>
      <c r="G18" s="307"/>
      <c r="H18" s="308"/>
    </row>
    <row r="19" spans="1:8" ht="19.5" customHeight="1" x14ac:dyDescent="0.25">
      <c r="A19" s="474">
        <v>1</v>
      </c>
      <c r="B19" s="539" t="s">
        <v>208</v>
      </c>
      <c r="C19" s="540"/>
      <c r="D19" s="541"/>
      <c r="E19" s="537"/>
      <c r="F19" s="555"/>
      <c r="G19" s="559"/>
      <c r="H19" s="343"/>
    </row>
    <row r="20" spans="1:8" ht="19.5" hidden="1" customHeight="1" outlineLevel="1" x14ac:dyDescent="0.25">
      <c r="A20" s="474">
        <v>2</v>
      </c>
      <c r="B20" s="539"/>
      <c r="C20" s="517"/>
      <c r="D20" s="478"/>
      <c r="E20" s="537"/>
      <c r="F20" s="555"/>
      <c r="G20" s="559"/>
      <c r="H20" s="343"/>
    </row>
    <row r="21" spans="1:8" ht="19.5" hidden="1" customHeight="1" outlineLevel="1" x14ac:dyDescent="0.25">
      <c r="A21" s="474">
        <v>3</v>
      </c>
      <c r="B21" s="539"/>
      <c r="C21" s="517"/>
      <c r="D21" s="478"/>
      <c r="E21" s="537"/>
      <c r="F21" s="555"/>
      <c r="G21" s="559"/>
      <c r="H21" s="343"/>
    </row>
    <row r="22" spans="1:8" ht="19.5" hidden="1" customHeight="1" outlineLevel="1" x14ac:dyDescent="0.25">
      <c r="A22" s="474">
        <v>4</v>
      </c>
      <c r="B22" s="539"/>
      <c r="C22" s="517"/>
      <c r="D22" s="478"/>
      <c r="E22" s="537"/>
      <c r="F22" s="555"/>
      <c r="G22" s="559"/>
      <c r="H22" s="343"/>
    </row>
    <row r="23" spans="1:8" ht="19.5" hidden="1" customHeight="1" outlineLevel="1" x14ac:dyDescent="0.25">
      <c r="A23" s="474">
        <v>5</v>
      </c>
      <c r="B23" s="539"/>
      <c r="C23" s="517"/>
      <c r="D23" s="478"/>
      <c r="E23" s="537"/>
      <c r="F23" s="555"/>
      <c r="G23" s="559"/>
      <c r="H23" s="343"/>
    </row>
    <row r="24" spans="1:8" ht="19.5" hidden="1" customHeight="1" outlineLevel="1" x14ac:dyDescent="0.25">
      <c r="A24" s="474">
        <v>6</v>
      </c>
      <c r="B24" s="539"/>
      <c r="C24" s="517"/>
      <c r="D24" s="478"/>
      <c r="E24" s="537"/>
      <c r="F24" s="555"/>
      <c r="G24" s="559"/>
      <c r="H24" s="343"/>
    </row>
    <row r="25" spans="1:8" ht="19.5" hidden="1" customHeight="1" outlineLevel="1" x14ac:dyDescent="0.25">
      <c r="A25" s="474">
        <v>7</v>
      </c>
      <c r="B25" s="539"/>
      <c r="C25" s="517"/>
      <c r="D25" s="478"/>
      <c r="E25" s="537"/>
      <c r="F25" s="555"/>
      <c r="G25" s="559"/>
      <c r="H25" s="343"/>
    </row>
    <row r="26" spans="1:8" ht="19.5" hidden="1" customHeight="1" outlineLevel="1" x14ac:dyDescent="0.25">
      <c r="A26" s="474">
        <v>8</v>
      </c>
      <c r="B26" s="539"/>
      <c r="C26" s="517"/>
      <c r="D26" s="478"/>
      <c r="E26" s="626"/>
      <c r="F26" s="985"/>
      <c r="G26" s="992"/>
      <c r="H26" s="993"/>
    </row>
    <row r="27" spans="1:8" ht="19.5" hidden="1" customHeight="1" outlineLevel="1" x14ac:dyDescent="0.25">
      <c r="A27" s="474">
        <v>9</v>
      </c>
      <c r="B27" s="539"/>
      <c r="C27" s="517"/>
      <c r="D27" s="478"/>
      <c r="E27" s="626"/>
      <c r="F27" s="708"/>
      <c r="G27" s="976"/>
      <c r="H27" s="343"/>
    </row>
    <row r="28" spans="1:8" ht="19.5" hidden="1" customHeight="1" outlineLevel="1" x14ac:dyDescent="0.25">
      <c r="A28" s="474">
        <v>10</v>
      </c>
      <c r="B28" s="539"/>
      <c r="C28" s="517"/>
      <c r="D28" s="478"/>
      <c r="E28" s="537"/>
      <c r="F28" s="555"/>
      <c r="G28" s="559"/>
      <c r="H28" s="343"/>
    </row>
    <row r="29" spans="1:8" ht="19.5" hidden="1" customHeight="1" outlineLevel="1" x14ac:dyDescent="0.25">
      <c r="A29" s="474">
        <v>11</v>
      </c>
      <c r="B29" s="539"/>
      <c r="C29" s="517"/>
      <c r="D29" s="478"/>
      <c r="E29" s="537"/>
      <c r="F29" s="555"/>
      <c r="G29" s="559"/>
      <c r="H29" s="343"/>
    </row>
    <row r="30" spans="1:8" ht="19.5" hidden="1" customHeight="1" outlineLevel="1" x14ac:dyDescent="0.25">
      <c r="A30" s="474">
        <v>12</v>
      </c>
      <c r="B30" s="539"/>
      <c r="C30" s="517"/>
      <c r="D30" s="478"/>
      <c r="E30" s="537"/>
      <c r="F30" s="555"/>
      <c r="G30" s="559"/>
      <c r="H30" s="343"/>
    </row>
    <row r="31" spans="1:8" ht="19.5" hidden="1" customHeight="1" outlineLevel="1" x14ac:dyDescent="0.25">
      <c r="A31" s="474">
        <v>13</v>
      </c>
      <c r="B31" s="539"/>
      <c r="C31" s="517"/>
      <c r="D31" s="478"/>
      <c r="E31" s="537"/>
      <c r="F31" s="555"/>
      <c r="G31" s="559"/>
      <c r="H31" s="343"/>
    </row>
    <row r="32" spans="1:8" ht="19.5" hidden="1" customHeight="1" outlineLevel="1" x14ac:dyDescent="0.25">
      <c r="A32" s="474">
        <v>14</v>
      </c>
      <c r="B32" s="539"/>
      <c r="C32" s="517"/>
      <c r="D32" s="478"/>
      <c r="E32" s="537"/>
      <c r="F32" s="555"/>
      <c r="G32" s="559"/>
      <c r="H32" s="343"/>
    </row>
    <row r="33" spans="1:9" ht="19.5" hidden="1" customHeight="1" outlineLevel="1" x14ac:dyDescent="0.25">
      <c r="A33" s="474">
        <v>15</v>
      </c>
      <c r="B33" s="539"/>
      <c r="C33" s="517"/>
      <c r="D33" s="478"/>
      <c r="E33" s="537"/>
      <c r="F33" s="555"/>
      <c r="G33" s="559"/>
      <c r="H33" s="343"/>
    </row>
    <row r="34" spans="1:9" ht="19.5" hidden="1" customHeight="1" outlineLevel="1" x14ac:dyDescent="0.25">
      <c r="A34" s="474">
        <v>16</v>
      </c>
      <c r="B34" s="539"/>
      <c r="C34" s="517"/>
      <c r="D34" s="478"/>
      <c r="E34" s="537"/>
      <c r="F34" s="555"/>
      <c r="G34" s="559"/>
      <c r="H34" s="346"/>
    </row>
    <row r="35" spans="1:9" ht="19.5" hidden="1" customHeight="1" outlineLevel="1" x14ac:dyDescent="0.25">
      <c r="A35" s="474">
        <v>17</v>
      </c>
      <c r="B35" s="539"/>
      <c r="C35" s="630"/>
      <c r="D35" s="631"/>
      <c r="E35" s="537"/>
      <c r="F35" s="555"/>
      <c r="G35" s="559"/>
      <c r="H35" s="346"/>
      <c r="I35" s="629"/>
    </row>
    <row r="36" spans="1:9" ht="19.5" customHeight="1" collapsed="1" x14ac:dyDescent="0.25">
      <c r="A36" s="474">
        <v>18</v>
      </c>
      <c r="B36" s="539"/>
      <c r="C36" s="632"/>
      <c r="D36" s="633"/>
      <c r="E36" s="537"/>
      <c r="F36" s="555"/>
      <c r="G36" s="559"/>
      <c r="H36" s="346"/>
      <c r="I36" s="629"/>
    </row>
    <row r="37" spans="1:9" ht="19.5" customHeight="1" x14ac:dyDescent="0.25">
      <c r="A37" s="474">
        <f>+A36+1</f>
        <v>19</v>
      </c>
      <c r="B37" s="539" t="s">
        <v>208</v>
      </c>
      <c r="C37" s="634"/>
      <c r="D37" s="635"/>
      <c r="E37" s="686" t="s">
        <v>541</v>
      </c>
      <c r="F37" s="692"/>
      <c r="G37" s="978"/>
      <c r="H37" s="393"/>
      <c r="I37" s="629"/>
    </row>
    <row r="38" spans="1:9" ht="19.5" customHeight="1" x14ac:dyDescent="0.25">
      <c r="A38" s="474">
        <f>+A37+1</f>
        <v>20</v>
      </c>
      <c r="B38" s="539"/>
      <c r="C38" s="517"/>
      <c r="D38" s="478"/>
      <c r="E38" s="686"/>
      <c r="F38" s="686"/>
      <c r="G38" s="686"/>
      <c r="H38" s="346"/>
    </row>
    <row r="39" spans="1:9" ht="24.75" customHeight="1" thickBot="1" x14ac:dyDescent="0.35">
      <c r="A39" s="253"/>
      <c r="B39" s="1474" t="s">
        <v>257</v>
      </c>
      <c r="C39" s="1475"/>
      <c r="D39" s="1476"/>
      <c r="E39" s="751">
        <f>+'DENTAL DETAIL LIST'!E28</f>
        <v>2489756.1884837979</v>
      </c>
      <c r="F39" s="751">
        <f>+'DENTAL DETAIL LIST'!F28</f>
        <v>29821</v>
      </c>
      <c r="G39" s="751">
        <f>+'DENTAL DETAIL LIST'!G28</f>
        <v>28668.75</v>
      </c>
      <c r="H39" s="752">
        <f>+G39/2080</f>
        <v>13.783052884615385</v>
      </c>
    </row>
    <row r="40" spans="1:9" ht="19.5" customHeight="1" thickTop="1" x14ac:dyDescent="0.25">
      <c r="A40" s="253"/>
      <c r="B40" s="1497"/>
      <c r="C40" s="1497"/>
      <c r="D40" s="1497"/>
      <c r="E40" s="487"/>
      <c r="F40" s="294"/>
      <c r="G40" s="295"/>
      <c r="H40" s="300"/>
      <c r="I40" s="146"/>
    </row>
    <row r="41" spans="1:9" ht="19.5" customHeight="1" x14ac:dyDescent="0.3">
      <c r="A41" s="207" t="s">
        <v>84</v>
      </c>
      <c r="B41" s="1487" t="s">
        <v>209</v>
      </c>
      <c r="C41" s="1488"/>
      <c r="D41" s="1489"/>
      <c r="E41" s="338"/>
      <c r="F41" s="338"/>
      <c r="G41" s="390"/>
      <c r="H41" s="391"/>
    </row>
    <row r="42" spans="1:9" ht="19.5" customHeight="1" x14ac:dyDescent="0.25">
      <c r="A42" s="474">
        <v>1</v>
      </c>
      <c r="B42" s="689" t="s">
        <v>667</v>
      </c>
      <c r="C42" s="688"/>
      <c r="D42" s="690"/>
      <c r="E42" s="537"/>
      <c r="F42" s="555"/>
      <c r="G42" s="559"/>
      <c r="H42" s="346"/>
    </row>
    <row r="43" spans="1:9" ht="19.5" hidden="1" customHeight="1" outlineLevel="1" x14ac:dyDescent="0.25">
      <c r="A43" s="474">
        <v>2</v>
      </c>
      <c r="B43" s="687"/>
      <c r="C43" s="517"/>
      <c r="D43" s="478"/>
      <c r="E43" s="537"/>
      <c r="F43" s="555"/>
      <c r="G43" s="559"/>
      <c r="H43" s="346"/>
    </row>
    <row r="44" spans="1:9" ht="19.5" hidden="1" customHeight="1" outlineLevel="1" x14ac:dyDescent="0.25">
      <c r="A44" s="474">
        <v>3</v>
      </c>
      <c r="B44" s="687"/>
      <c r="C44" s="517"/>
      <c r="D44" s="478"/>
      <c r="E44" s="537"/>
      <c r="F44" s="555"/>
      <c r="G44" s="559"/>
      <c r="H44" s="346"/>
    </row>
    <row r="45" spans="1:9" ht="19.5" hidden="1" customHeight="1" outlineLevel="1" x14ac:dyDescent="0.25">
      <c r="A45" s="474">
        <v>4</v>
      </c>
      <c r="B45" s="687"/>
      <c r="C45" s="517"/>
      <c r="D45" s="478"/>
      <c r="E45" s="537"/>
      <c r="F45" s="555"/>
      <c r="G45" s="559"/>
      <c r="H45" s="346"/>
    </row>
    <row r="46" spans="1:9" ht="19.5" hidden="1" customHeight="1" outlineLevel="1" x14ac:dyDescent="0.25">
      <c r="A46" s="474">
        <v>5</v>
      </c>
      <c r="B46" s="687"/>
      <c r="C46" s="517"/>
      <c r="D46" s="478"/>
      <c r="E46" s="537"/>
      <c r="F46" s="555"/>
      <c r="G46" s="559"/>
      <c r="H46" s="346"/>
    </row>
    <row r="47" spans="1:9" ht="19.5" hidden="1" customHeight="1" outlineLevel="1" x14ac:dyDescent="0.25">
      <c r="A47" s="474">
        <v>6</v>
      </c>
      <c r="B47" s="687"/>
      <c r="C47" s="517"/>
      <c r="D47" s="478"/>
      <c r="E47" s="537"/>
      <c r="F47" s="555"/>
      <c r="G47" s="559"/>
      <c r="H47" s="346"/>
    </row>
    <row r="48" spans="1:9" ht="19.5" hidden="1" customHeight="1" outlineLevel="1" x14ac:dyDescent="0.25">
      <c r="A48" s="474">
        <v>7</v>
      </c>
      <c r="B48" s="687"/>
      <c r="C48" s="517"/>
      <c r="D48" s="478"/>
      <c r="E48" s="537"/>
      <c r="F48" s="555"/>
      <c r="G48" s="559"/>
      <c r="H48" s="346"/>
    </row>
    <row r="49" spans="1:8" ht="19.5" hidden="1" customHeight="1" outlineLevel="1" x14ac:dyDescent="0.25">
      <c r="A49" s="474">
        <v>8</v>
      </c>
      <c r="B49" s="687"/>
      <c r="C49" s="517"/>
      <c r="D49" s="478"/>
      <c r="E49" s="537"/>
      <c r="F49" s="555"/>
      <c r="G49" s="559"/>
      <c r="H49" s="346"/>
    </row>
    <row r="50" spans="1:8" ht="19.5" hidden="1" customHeight="1" outlineLevel="1" x14ac:dyDescent="0.25">
      <c r="A50" s="474">
        <v>9</v>
      </c>
      <c r="B50" s="687"/>
      <c r="C50" s="517"/>
      <c r="D50" s="478"/>
      <c r="E50" s="537"/>
      <c r="F50" s="555"/>
      <c r="G50" s="559"/>
      <c r="H50" s="346"/>
    </row>
    <row r="51" spans="1:8" ht="19.5" hidden="1" customHeight="1" outlineLevel="1" x14ac:dyDescent="0.25">
      <c r="A51" s="474">
        <v>10</v>
      </c>
      <c r="B51" s="687"/>
      <c r="C51" s="517"/>
      <c r="D51" s="478"/>
      <c r="E51" s="537"/>
      <c r="F51" s="555"/>
      <c r="G51" s="559"/>
      <c r="H51" s="346"/>
    </row>
    <row r="52" spans="1:8" ht="19.5" hidden="1" customHeight="1" outlineLevel="1" x14ac:dyDescent="0.25">
      <c r="A52" s="474">
        <v>11</v>
      </c>
      <c r="B52" s="687"/>
      <c r="C52" s="517"/>
      <c r="D52" s="478"/>
      <c r="E52" s="537"/>
      <c r="F52" s="555"/>
      <c r="G52" s="559"/>
      <c r="H52" s="346"/>
    </row>
    <row r="53" spans="1:8" ht="19.5" hidden="1" customHeight="1" outlineLevel="1" x14ac:dyDescent="0.25">
      <c r="A53" s="474">
        <v>12</v>
      </c>
      <c r="B53" s="687"/>
      <c r="C53" s="517"/>
      <c r="D53" s="478"/>
      <c r="E53" s="537"/>
      <c r="F53" s="555"/>
      <c r="G53" s="559"/>
      <c r="H53" s="346"/>
    </row>
    <row r="54" spans="1:8" ht="19.5" hidden="1" customHeight="1" outlineLevel="1" x14ac:dyDescent="0.25">
      <c r="A54" s="474">
        <v>13</v>
      </c>
      <c r="B54" s="687"/>
      <c r="C54" s="517"/>
      <c r="D54" s="478"/>
      <c r="E54" s="537"/>
      <c r="F54" s="555"/>
      <c r="G54" s="559"/>
      <c r="H54" s="346"/>
    </row>
    <row r="55" spans="1:8" ht="19.5" hidden="1" customHeight="1" outlineLevel="1" x14ac:dyDescent="0.25">
      <c r="A55" s="474">
        <v>14</v>
      </c>
      <c r="B55" s="687"/>
      <c r="C55" s="540"/>
      <c r="D55" s="541"/>
      <c r="E55" s="537"/>
      <c r="F55" s="555"/>
      <c r="G55" s="559"/>
      <c r="H55" s="346"/>
    </row>
    <row r="56" spans="1:8" ht="19.5" hidden="1" customHeight="1" outlineLevel="1" x14ac:dyDescent="0.25">
      <c r="A56" s="474">
        <v>15</v>
      </c>
      <c r="B56" s="687"/>
      <c r="C56" s="540"/>
      <c r="D56" s="541"/>
      <c r="E56" s="537"/>
      <c r="F56" s="555"/>
      <c r="G56" s="559"/>
      <c r="H56" s="346"/>
    </row>
    <row r="57" spans="1:8" ht="19.5" hidden="1" customHeight="1" outlineLevel="1" x14ac:dyDescent="0.25">
      <c r="A57" s="474">
        <v>16</v>
      </c>
      <c r="B57" s="687"/>
      <c r="C57" s="517"/>
      <c r="D57" s="478"/>
      <c r="E57" s="537"/>
      <c r="F57" s="555"/>
      <c r="G57" s="559"/>
      <c r="H57" s="346"/>
    </row>
    <row r="58" spans="1:8" ht="19.5" hidden="1" customHeight="1" outlineLevel="1" x14ac:dyDescent="0.25">
      <c r="A58" s="474">
        <v>17</v>
      </c>
      <c r="B58" s="687"/>
      <c r="C58" s="517"/>
      <c r="D58" s="478"/>
      <c r="E58" s="537"/>
      <c r="F58" s="555"/>
      <c r="G58" s="559"/>
      <c r="H58" s="346"/>
    </row>
    <row r="59" spans="1:8" ht="19.5" hidden="1" customHeight="1" outlineLevel="1" x14ac:dyDescent="0.25">
      <c r="A59" s="474">
        <v>18</v>
      </c>
      <c r="B59" s="687"/>
      <c r="C59" s="517"/>
      <c r="D59" s="478"/>
      <c r="E59" s="537"/>
      <c r="F59" s="555"/>
      <c r="G59" s="559"/>
      <c r="H59" s="346"/>
    </row>
    <row r="60" spans="1:8" ht="19.5" hidden="1" customHeight="1" outlineLevel="1" x14ac:dyDescent="0.25">
      <c r="A60" s="474">
        <v>19</v>
      </c>
      <c r="B60" s="687"/>
      <c r="C60" s="517"/>
      <c r="D60" s="478"/>
      <c r="E60" s="537"/>
      <c r="F60" s="555"/>
      <c r="G60" s="559"/>
      <c r="H60" s="346"/>
    </row>
    <row r="61" spans="1:8" ht="19.5" hidden="1" customHeight="1" outlineLevel="1" x14ac:dyDescent="0.25">
      <c r="A61" s="474">
        <v>20</v>
      </c>
      <c r="B61" s="687"/>
      <c r="C61" s="517"/>
      <c r="D61" s="478"/>
      <c r="E61" s="537"/>
      <c r="F61" s="555"/>
      <c r="G61" s="559"/>
      <c r="H61" s="346"/>
    </row>
    <row r="62" spans="1:8" ht="19.5" hidden="1" customHeight="1" outlineLevel="1" x14ac:dyDescent="0.25">
      <c r="A62" s="474">
        <v>21</v>
      </c>
      <c r="B62" s="687"/>
      <c r="C62" s="517"/>
      <c r="D62" s="478"/>
      <c r="E62" s="537"/>
      <c r="F62" s="555"/>
      <c r="G62" s="559"/>
      <c r="H62" s="346"/>
    </row>
    <row r="63" spans="1:8" ht="19.5" hidden="1" customHeight="1" outlineLevel="1" x14ac:dyDescent="0.25">
      <c r="A63" s="474">
        <v>22</v>
      </c>
      <c r="B63" s="687"/>
      <c r="C63" s="517"/>
      <c r="D63" s="478"/>
      <c r="E63" s="537"/>
      <c r="F63" s="555"/>
      <c r="G63" s="559"/>
      <c r="H63" s="346"/>
    </row>
    <row r="64" spans="1:8" ht="19.5" hidden="1" customHeight="1" outlineLevel="1" x14ac:dyDescent="0.25">
      <c r="A64" s="474">
        <v>23</v>
      </c>
      <c r="B64" s="687"/>
      <c r="C64" s="540"/>
      <c r="D64" s="541"/>
      <c r="E64" s="537"/>
      <c r="F64" s="555"/>
      <c r="G64" s="559"/>
      <c r="H64" s="346"/>
    </row>
    <row r="65" spans="1:8" ht="19.5" hidden="1" customHeight="1" outlineLevel="1" x14ac:dyDescent="0.25">
      <c r="A65" s="474">
        <v>24</v>
      </c>
      <c r="B65" s="687"/>
      <c r="C65" s="540"/>
      <c r="D65" s="541"/>
      <c r="E65" s="537"/>
      <c r="F65" s="555"/>
      <c r="G65" s="559"/>
      <c r="H65" s="346"/>
    </row>
    <row r="66" spans="1:8" ht="19.5" customHeight="1" collapsed="1" x14ac:dyDescent="0.3">
      <c r="A66" s="474">
        <v>25</v>
      </c>
      <c r="B66" s="687" t="s">
        <v>667</v>
      </c>
      <c r="C66" s="540"/>
      <c r="D66" s="541"/>
      <c r="E66" s="686"/>
      <c r="F66" s="969"/>
      <c r="G66" s="686"/>
      <c r="H66" s="346"/>
    </row>
    <row r="67" spans="1:8" ht="19.5" customHeight="1" x14ac:dyDescent="0.25">
      <c r="A67" s="474">
        <v>26</v>
      </c>
      <c r="B67" s="687"/>
      <c r="C67" s="540"/>
      <c r="D67" s="618"/>
      <c r="E67" s="686"/>
      <c r="F67" s="686"/>
      <c r="G67" s="686"/>
      <c r="H67" s="346">
        <f>ROUND(G67/2080,2)</f>
        <v>0</v>
      </c>
    </row>
    <row r="68" spans="1:8" ht="24.75" customHeight="1" thickBot="1" x14ac:dyDescent="0.35">
      <c r="A68" s="293"/>
      <c r="B68" s="1474" t="s">
        <v>258</v>
      </c>
      <c r="C68" s="1498"/>
      <c r="D68" s="1476"/>
      <c r="E68" s="751">
        <f>+'DENTAL DETAIL LIST'!E58</f>
        <v>1023041.1463775205</v>
      </c>
      <c r="F68" s="751">
        <f>+'DENTAL DETAIL LIST'!F58</f>
        <v>16849</v>
      </c>
      <c r="G68" s="751">
        <f>+'DENTAL DETAIL LIST'!G58</f>
        <v>21513.16</v>
      </c>
      <c r="H68" s="752">
        <f>ROUND(G68/2080,2)</f>
        <v>10.34</v>
      </c>
    </row>
    <row r="69" spans="1:8" s="146" customFormat="1" ht="19.5" customHeight="1" thickTop="1" x14ac:dyDescent="0.3">
      <c r="A69" s="293"/>
      <c r="B69" s="375"/>
      <c r="C69" s="375"/>
      <c r="D69" s="375"/>
      <c r="E69" s="487"/>
      <c r="F69" s="294"/>
      <c r="G69" s="295"/>
      <c r="H69" s="300"/>
    </row>
    <row r="70" spans="1:8" ht="19.5" customHeight="1" x14ac:dyDescent="0.3">
      <c r="A70" s="207" t="s">
        <v>91</v>
      </c>
      <c r="B70" s="1487" t="s">
        <v>346</v>
      </c>
      <c r="C70" s="1488"/>
      <c r="D70" s="1489"/>
      <c r="E70" s="338"/>
      <c r="F70" s="338"/>
      <c r="G70" s="390"/>
      <c r="H70" s="391"/>
    </row>
    <row r="71" spans="1:8" ht="19.5" customHeight="1" x14ac:dyDescent="0.25">
      <c r="A71" s="700">
        <v>1</v>
      </c>
      <c r="B71" s="699"/>
      <c r="C71" s="540"/>
      <c r="D71" s="541"/>
      <c r="E71" s="652"/>
      <c r="F71" s="685"/>
      <c r="G71" s="649"/>
      <c r="H71" s="650">
        <f>ROUND(G71/2080,2)</f>
        <v>0</v>
      </c>
    </row>
    <row r="72" spans="1:8" ht="19.5" customHeight="1" x14ac:dyDescent="0.25">
      <c r="A72" s="700">
        <f>A71+1</f>
        <v>2</v>
      </c>
      <c r="B72" s="699"/>
      <c r="C72" s="540"/>
      <c r="D72" s="541"/>
      <c r="E72" s="652"/>
      <c r="F72" s="685"/>
      <c r="G72" s="649"/>
      <c r="H72" s="650">
        <f t="shared" ref="H72:H80" si="0">ROUND(G72/2080,2)</f>
        <v>0</v>
      </c>
    </row>
    <row r="73" spans="1:8" ht="19.5" customHeight="1" x14ac:dyDescent="0.25">
      <c r="A73" s="474">
        <f t="shared" ref="A73:A79" si="1">+A72+1</f>
        <v>3</v>
      </c>
      <c r="B73" s="699"/>
      <c r="C73" s="540" t="s">
        <v>1258</v>
      </c>
      <c r="D73" s="541"/>
      <c r="E73" s="652"/>
      <c r="F73" s="685"/>
      <c r="G73" s="649"/>
      <c r="H73" s="650">
        <f t="shared" si="0"/>
        <v>0</v>
      </c>
    </row>
    <row r="74" spans="1:8" ht="19.5" customHeight="1" x14ac:dyDescent="0.25">
      <c r="A74" s="474">
        <f t="shared" si="1"/>
        <v>4</v>
      </c>
      <c r="B74" s="699"/>
      <c r="C74" s="540"/>
      <c r="D74" s="541"/>
      <c r="E74" s="652"/>
      <c r="F74" s="685"/>
      <c r="G74" s="649"/>
      <c r="H74" s="650">
        <f t="shared" si="0"/>
        <v>0</v>
      </c>
    </row>
    <row r="75" spans="1:8" ht="19.5" customHeight="1" x14ac:dyDescent="0.25">
      <c r="A75" s="474">
        <f t="shared" si="1"/>
        <v>5</v>
      </c>
      <c r="B75" s="699"/>
      <c r="C75" s="540"/>
      <c r="D75" s="541"/>
      <c r="E75" s="652"/>
      <c r="F75" s="685"/>
      <c r="G75" s="649"/>
      <c r="H75" s="650">
        <f t="shared" si="0"/>
        <v>0</v>
      </c>
    </row>
    <row r="76" spans="1:8" ht="19.5" customHeight="1" x14ac:dyDescent="0.25">
      <c r="A76" s="474">
        <f t="shared" si="1"/>
        <v>6</v>
      </c>
      <c r="B76" s="699"/>
      <c r="C76" s="540"/>
      <c r="D76" s="541"/>
      <c r="E76" s="652"/>
      <c r="F76" s="685"/>
      <c r="G76" s="649"/>
      <c r="H76" s="650">
        <f t="shared" si="0"/>
        <v>0</v>
      </c>
    </row>
    <row r="77" spans="1:8" ht="19.5" customHeight="1" x14ac:dyDescent="0.25">
      <c r="A77" s="474">
        <f t="shared" si="1"/>
        <v>7</v>
      </c>
      <c r="B77" s="699"/>
      <c r="C77" s="540"/>
      <c r="D77" s="541"/>
      <c r="E77" s="652"/>
      <c r="F77" s="685"/>
      <c r="G77" s="649"/>
      <c r="H77" s="650">
        <f t="shared" si="0"/>
        <v>0</v>
      </c>
    </row>
    <row r="78" spans="1:8" ht="19.5" customHeight="1" x14ac:dyDescent="0.25">
      <c r="A78" s="474">
        <f t="shared" si="1"/>
        <v>8</v>
      </c>
      <c r="B78" s="699"/>
      <c r="C78" s="540"/>
      <c r="D78" s="541"/>
      <c r="E78" s="652"/>
      <c r="F78" s="685"/>
      <c r="G78" s="649"/>
      <c r="H78" s="650">
        <f t="shared" si="0"/>
        <v>0</v>
      </c>
    </row>
    <row r="79" spans="1:8" ht="19.5" customHeight="1" x14ac:dyDescent="0.25">
      <c r="A79" s="474">
        <f t="shared" si="1"/>
        <v>9</v>
      </c>
      <c r="B79" s="699"/>
      <c r="C79" s="540"/>
      <c r="D79" s="541"/>
      <c r="E79" s="652"/>
      <c r="F79" s="685"/>
      <c r="G79" s="649"/>
      <c r="H79" s="650">
        <f t="shared" si="0"/>
        <v>0</v>
      </c>
    </row>
    <row r="80" spans="1:8" ht="24.75" customHeight="1" thickBot="1" x14ac:dyDescent="0.35">
      <c r="A80" s="293"/>
      <c r="B80" s="1474" t="s">
        <v>347</v>
      </c>
      <c r="C80" s="1475"/>
      <c r="D80" s="1476"/>
      <c r="E80" s="751">
        <f>+'DENTAL DETAIL LIST'!E103</f>
        <v>1302496.0172211039</v>
      </c>
      <c r="F80" s="751">
        <f>+'DENTAL DETAIL LIST'!F103</f>
        <v>0</v>
      </c>
      <c r="G80" s="751">
        <f>+'DENTAL DETAIL LIST'!G103</f>
        <v>46888.743999999999</v>
      </c>
      <c r="H80" s="752">
        <f t="shared" si="0"/>
        <v>22.54</v>
      </c>
    </row>
    <row r="81" spans="1:8" ht="14.25" customHeight="1" thickTop="1" thickBot="1" x14ac:dyDescent="0.35">
      <c r="A81" s="301"/>
      <c r="B81" s="309"/>
      <c r="C81" s="309"/>
      <c r="D81" s="309"/>
      <c r="E81" s="310"/>
      <c r="F81" s="311"/>
      <c r="G81" s="312"/>
      <c r="H81" s="313"/>
    </row>
    <row r="83" spans="1:8" ht="13.5" thickBot="1" x14ac:dyDescent="0.35">
      <c r="D83" s="803" t="s">
        <v>711</v>
      </c>
      <c r="E83" s="808">
        <f>+E80+E68+E39</f>
        <v>4815293.352082422</v>
      </c>
      <c r="F83" s="808">
        <f>+F80+F68+F39</f>
        <v>46670</v>
      </c>
      <c r="G83" s="808">
        <f>+G80+G68+G39</f>
        <v>97070.653999999995</v>
      </c>
      <c r="H83" s="810">
        <f>ROUND(G83/2080,2)</f>
        <v>46.67</v>
      </c>
    </row>
    <row r="84" spans="1:8" ht="13" thickTop="1" x14ac:dyDescent="0.25">
      <c r="E84" s="545"/>
      <c r="F84" s="545"/>
      <c r="G84" s="545"/>
      <c r="H84" s="720"/>
    </row>
    <row r="86" spans="1:8" ht="13" x14ac:dyDescent="0.3">
      <c r="D86" s="149"/>
      <c r="F86" s="811"/>
    </row>
    <row r="88" spans="1:8" ht="13" x14ac:dyDescent="0.3">
      <c r="D88" s="149"/>
      <c r="F88" s="851"/>
    </row>
  </sheetData>
  <mergeCells count="16">
    <mergeCell ref="B80:D80"/>
    <mergeCell ref="B70:D70"/>
    <mergeCell ref="B68:D68"/>
    <mergeCell ref="B39:D39"/>
    <mergeCell ref="B40:D40"/>
    <mergeCell ref="B41:D41"/>
    <mergeCell ref="A13:D15"/>
    <mergeCell ref="G13:H13"/>
    <mergeCell ref="B17:D17"/>
    <mergeCell ref="B18:D18"/>
    <mergeCell ref="A1:H1"/>
    <mergeCell ref="A2:H2"/>
    <mergeCell ref="A3:H3"/>
    <mergeCell ref="A4:H4"/>
    <mergeCell ref="C8:G8"/>
    <mergeCell ref="A12:H12"/>
  </mergeCells>
  <pageMargins left="0.7" right="0.7" top="0.75" bottom="0.75" header="0.3" footer="0.3"/>
  <pageSetup scale="65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CBEE7-6784-4603-8813-F7F057CB5350}">
  <dimension ref="B3:Q107"/>
  <sheetViews>
    <sheetView topLeftCell="E1" workbookViewId="0">
      <selection activeCell="G3" sqref="G3"/>
    </sheetView>
  </sheetViews>
  <sheetFormatPr defaultRowHeight="12.5" x14ac:dyDescent="0.25"/>
  <cols>
    <col min="3" max="3" width="18" customWidth="1"/>
    <col min="4" max="4" width="27.81640625" customWidth="1"/>
    <col min="5" max="8" width="18" customWidth="1"/>
    <col min="9" max="9" width="12.26953125" bestFit="1" customWidth="1"/>
  </cols>
  <sheetData>
    <row r="3" spans="2:17" ht="15.5" x14ac:dyDescent="0.35">
      <c r="C3" s="606" t="s">
        <v>517</v>
      </c>
      <c r="D3" s="606" t="s">
        <v>1025</v>
      </c>
      <c r="E3" s="606"/>
    </row>
    <row r="5" spans="2:17" ht="13" thickBot="1" x14ac:dyDescent="0.3"/>
    <row r="6" spans="2:17" ht="27" thickBot="1" x14ac:dyDescent="0.4">
      <c r="B6" s="1104" t="s">
        <v>1095</v>
      </c>
      <c r="C6" s="1103" t="s">
        <v>1026</v>
      </c>
      <c r="D6" s="1045" t="s">
        <v>1027</v>
      </c>
      <c r="E6" s="1046" t="s">
        <v>1028</v>
      </c>
      <c r="F6" s="1045" t="s">
        <v>1029</v>
      </c>
      <c r="G6" s="1047" t="s">
        <v>1030</v>
      </c>
      <c r="H6" s="1048" t="s">
        <v>203</v>
      </c>
      <c r="J6" s="794"/>
      <c r="K6" s="550"/>
      <c r="L6" s="550"/>
      <c r="M6" s="550"/>
      <c r="N6" s="550"/>
      <c r="O6" s="550"/>
      <c r="P6" s="550"/>
      <c r="Q6" s="550"/>
    </row>
    <row r="7" spans="2:17" ht="13" x14ac:dyDescent="0.3">
      <c r="B7" s="579">
        <v>1</v>
      </c>
      <c r="C7" t="s">
        <v>517</v>
      </c>
      <c r="D7" s="534" t="s">
        <v>1252</v>
      </c>
      <c r="E7" s="1049">
        <v>21773.451843871389</v>
      </c>
      <c r="F7" s="1050">
        <f>7+53</f>
        <v>60</v>
      </c>
      <c r="G7" s="1050">
        <v>225.00000000000003</v>
      </c>
      <c r="H7" s="1051">
        <f>+G7/2080</f>
        <v>0.10817307692307694</v>
      </c>
      <c r="J7" s="1082"/>
      <c r="K7" s="550"/>
      <c r="L7" s="550"/>
      <c r="M7" s="550"/>
      <c r="N7" s="550"/>
      <c r="O7" s="550"/>
      <c r="P7" s="550"/>
      <c r="Q7" s="550"/>
    </row>
    <row r="8" spans="2:17" ht="13" x14ac:dyDescent="0.3">
      <c r="B8" s="579">
        <f>+B7+1</f>
        <v>2</v>
      </c>
      <c r="C8" t="s">
        <v>517</v>
      </c>
      <c r="D8" s="534" t="s">
        <v>1252</v>
      </c>
      <c r="E8" s="1052">
        <v>186684.83998559709</v>
      </c>
      <c r="F8" s="1050">
        <v>2131</v>
      </c>
      <c r="G8" s="1053">
        <v>2128.4999999999995</v>
      </c>
      <c r="H8" s="1051">
        <f t="shared" ref="H8:H23" si="0">+G8/2080</f>
        <v>1.0233173076923074</v>
      </c>
      <c r="J8" s="1082"/>
      <c r="K8" s="550"/>
      <c r="L8" s="550"/>
      <c r="M8" s="550"/>
      <c r="N8" s="550"/>
      <c r="O8" s="550"/>
      <c r="P8" s="550"/>
      <c r="Q8" s="550"/>
    </row>
    <row r="9" spans="2:17" ht="13" x14ac:dyDescent="0.3">
      <c r="B9" s="579">
        <f t="shared" ref="B9:B23" si="1">+B8+1</f>
        <v>3</v>
      </c>
      <c r="C9" t="s">
        <v>517</v>
      </c>
      <c r="D9" s="534" t="s">
        <v>1252</v>
      </c>
      <c r="E9" s="1052">
        <v>174207.20154690722</v>
      </c>
      <c r="F9" s="1050">
        <v>2028</v>
      </c>
      <c r="G9" s="1053">
        <v>2092</v>
      </c>
      <c r="H9" s="1051">
        <f t="shared" si="0"/>
        <v>1.0057692307692307</v>
      </c>
      <c r="J9" s="1082"/>
      <c r="K9" s="550"/>
      <c r="L9" s="550"/>
      <c r="M9" s="550"/>
      <c r="N9" s="550"/>
      <c r="O9" s="550"/>
      <c r="P9" s="550"/>
      <c r="Q9" s="550"/>
    </row>
    <row r="10" spans="2:17" ht="13" x14ac:dyDescent="0.3">
      <c r="B10" s="579">
        <f t="shared" si="1"/>
        <v>4</v>
      </c>
      <c r="C10" t="s">
        <v>517</v>
      </c>
      <c r="D10" s="534" t="s">
        <v>1252</v>
      </c>
      <c r="E10" s="1052">
        <v>59141.380969138409</v>
      </c>
      <c r="F10" s="1050">
        <v>718</v>
      </c>
      <c r="G10" s="1053">
        <v>670</v>
      </c>
      <c r="H10" s="1051">
        <f t="shared" si="0"/>
        <v>0.32211538461538464</v>
      </c>
      <c r="J10" s="1082"/>
      <c r="K10" s="550"/>
      <c r="L10" s="550"/>
      <c r="M10" s="550"/>
      <c r="N10" s="550"/>
      <c r="O10" s="550"/>
      <c r="P10" s="550"/>
      <c r="Q10" s="550"/>
    </row>
    <row r="11" spans="2:17" ht="13" x14ac:dyDescent="0.3">
      <c r="B11" s="579">
        <f t="shared" si="1"/>
        <v>5</v>
      </c>
      <c r="C11" t="s">
        <v>517</v>
      </c>
      <c r="D11" s="534" t="s">
        <v>1252</v>
      </c>
      <c r="E11" s="1052">
        <v>168731.9325947531</v>
      </c>
      <c r="F11" s="1050">
        <v>2072</v>
      </c>
      <c r="G11" s="1053">
        <v>2080</v>
      </c>
      <c r="H11" s="1051">
        <f t="shared" si="0"/>
        <v>1</v>
      </c>
      <c r="J11" s="1082"/>
      <c r="K11" s="550"/>
      <c r="L11" s="550"/>
      <c r="M11" s="550"/>
      <c r="N11" s="550"/>
      <c r="O11" s="550"/>
      <c r="P11" s="550"/>
      <c r="Q11" s="550"/>
    </row>
    <row r="12" spans="2:17" ht="13" x14ac:dyDescent="0.3">
      <c r="B12" s="579">
        <f t="shared" si="1"/>
        <v>6</v>
      </c>
      <c r="C12" t="s">
        <v>517</v>
      </c>
      <c r="D12" s="534" t="s">
        <v>1252</v>
      </c>
      <c r="E12" s="1052">
        <v>163846.66590385881</v>
      </c>
      <c r="F12" s="1050">
        <v>2129</v>
      </c>
      <c r="G12" s="1053">
        <v>1964</v>
      </c>
      <c r="H12" s="1051">
        <f t="shared" si="0"/>
        <v>0.94423076923076921</v>
      </c>
      <c r="J12" s="1082"/>
      <c r="K12" s="550"/>
      <c r="L12" s="550"/>
      <c r="M12" s="550"/>
      <c r="N12" s="550"/>
      <c r="O12" s="550"/>
      <c r="P12" s="550"/>
      <c r="Q12" s="550"/>
    </row>
    <row r="13" spans="2:17" ht="13" x14ac:dyDescent="0.3">
      <c r="B13" s="579">
        <f t="shared" si="1"/>
        <v>7</v>
      </c>
      <c r="C13" t="s">
        <v>517</v>
      </c>
      <c r="D13" s="534" t="s">
        <v>1253</v>
      </c>
      <c r="E13" s="1052">
        <v>189645.17433281537</v>
      </c>
      <c r="F13" s="1050">
        <v>1969</v>
      </c>
      <c r="G13" s="1053">
        <v>2065</v>
      </c>
      <c r="H13" s="1051">
        <f t="shared" si="0"/>
        <v>0.99278846153846156</v>
      </c>
      <c r="J13" s="1082"/>
      <c r="K13" s="550"/>
      <c r="L13" s="550"/>
      <c r="M13" s="550"/>
      <c r="N13" s="550"/>
      <c r="O13" s="550"/>
      <c r="P13" s="550"/>
      <c r="Q13" s="550"/>
    </row>
    <row r="14" spans="2:17" ht="13" x14ac:dyDescent="0.3">
      <c r="B14" s="579">
        <f t="shared" si="1"/>
        <v>8</v>
      </c>
      <c r="C14" t="s">
        <v>517</v>
      </c>
      <c r="D14" s="534" t="s">
        <v>1252</v>
      </c>
      <c r="E14" s="1052">
        <v>88052.680969191424</v>
      </c>
      <c r="F14" s="1050">
        <v>1075</v>
      </c>
      <c r="G14" s="1053">
        <v>1056.25</v>
      </c>
      <c r="H14" s="1051">
        <f t="shared" si="0"/>
        <v>0.5078125</v>
      </c>
      <c r="J14" s="1082"/>
      <c r="K14" s="550"/>
      <c r="L14" s="550"/>
      <c r="M14" s="550"/>
      <c r="N14" s="550"/>
      <c r="O14" s="550"/>
      <c r="P14" s="550"/>
      <c r="Q14" s="550"/>
    </row>
    <row r="15" spans="2:17" ht="13" x14ac:dyDescent="0.3">
      <c r="B15" s="579">
        <f t="shared" si="1"/>
        <v>9</v>
      </c>
      <c r="C15" t="s">
        <v>517</v>
      </c>
      <c r="D15" s="534" t="s">
        <v>1253</v>
      </c>
      <c r="E15" s="1052">
        <v>203194.34042163339</v>
      </c>
      <c r="F15" s="1050">
        <v>2010</v>
      </c>
      <c r="G15" s="1053">
        <v>2081.5</v>
      </c>
      <c r="H15" s="1051">
        <f t="shared" si="0"/>
        <v>1.0007211538461538</v>
      </c>
      <c r="J15" s="1082"/>
      <c r="K15" s="550"/>
      <c r="L15" s="550"/>
      <c r="M15" s="550"/>
      <c r="N15" s="550"/>
      <c r="O15" s="550"/>
      <c r="P15" s="550"/>
      <c r="Q15" s="550"/>
    </row>
    <row r="16" spans="2:17" ht="13" x14ac:dyDescent="0.3">
      <c r="B16" s="579">
        <f t="shared" si="1"/>
        <v>10</v>
      </c>
      <c r="C16" t="s">
        <v>517</v>
      </c>
      <c r="D16" s="534" t="s">
        <v>1252</v>
      </c>
      <c r="E16" s="1052">
        <v>178119.01447303905</v>
      </c>
      <c r="F16" s="1050">
        <v>2074</v>
      </c>
      <c r="G16" s="1053">
        <v>2103</v>
      </c>
      <c r="H16" s="1051">
        <f t="shared" si="0"/>
        <v>1.0110576923076924</v>
      </c>
      <c r="J16" s="1082"/>
      <c r="K16" s="550"/>
      <c r="L16" s="550"/>
      <c r="M16" s="550"/>
      <c r="N16" s="550"/>
      <c r="O16" s="550"/>
      <c r="P16" s="550"/>
      <c r="Q16" s="550"/>
    </row>
    <row r="17" spans="2:17" ht="13" x14ac:dyDescent="0.3">
      <c r="B17" s="579">
        <f t="shared" si="1"/>
        <v>11</v>
      </c>
      <c r="C17" t="s">
        <v>517</v>
      </c>
      <c r="D17" s="534" t="s">
        <v>1253</v>
      </c>
      <c r="E17" s="1052">
        <v>191277.30406377281</v>
      </c>
      <c r="F17" s="1050">
        <v>2121</v>
      </c>
      <c r="G17" s="1053">
        <v>2089.9999999999991</v>
      </c>
      <c r="H17" s="1051">
        <f t="shared" si="0"/>
        <v>1.0048076923076918</v>
      </c>
      <c r="J17" s="1082"/>
      <c r="K17" s="550"/>
      <c r="L17" s="550"/>
      <c r="M17" s="550"/>
      <c r="N17" s="550"/>
      <c r="O17" s="550"/>
      <c r="P17" s="550"/>
      <c r="Q17" s="550"/>
    </row>
    <row r="18" spans="2:17" ht="13" x14ac:dyDescent="0.3">
      <c r="B18" s="579">
        <f t="shared" si="1"/>
        <v>12</v>
      </c>
      <c r="C18" t="s">
        <v>517</v>
      </c>
      <c r="D18" s="534" t="s">
        <v>1252</v>
      </c>
      <c r="E18" s="1052">
        <v>178357.5436731409</v>
      </c>
      <c r="F18" s="1050">
        <v>2212</v>
      </c>
      <c r="G18" s="1053">
        <v>2138.5</v>
      </c>
      <c r="H18" s="1051">
        <f t="shared" si="0"/>
        <v>1.028125</v>
      </c>
      <c r="J18" s="1082"/>
      <c r="K18" s="550"/>
      <c r="L18" s="550"/>
      <c r="M18" s="550"/>
      <c r="N18" s="550"/>
      <c r="O18" s="550"/>
      <c r="P18" s="550"/>
      <c r="Q18" s="550"/>
    </row>
    <row r="19" spans="2:17" ht="13" x14ac:dyDescent="0.3">
      <c r="B19" s="579">
        <f t="shared" si="1"/>
        <v>13</v>
      </c>
      <c r="C19" t="s">
        <v>517</v>
      </c>
      <c r="D19" s="534" t="s">
        <v>1252</v>
      </c>
      <c r="E19" s="1052">
        <v>176996.86095137382</v>
      </c>
      <c r="F19" s="1050">
        <v>2110</v>
      </c>
      <c r="G19" s="1053">
        <v>2084</v>
      </c>
      <c r="H19" s="1051">
        <f t="shared" si="0"/>
        <v>1.0019230769230769</v>
      </c>
      <c r="J19" s="1082"/>
      <c r="K19" s="550"/>
      <c r="L19" s="550"/>
      <c r="M19" s="550"/>
      <c r="N19" s="550"/>
      <c r="O19" s="550"/>
      <c r="P19" s="550"/>
      <c r="Q19" s="550"/>
    </row>
    <row r="20" spans="2:17" ht="13" x14ac:dyDescent="0.3">
      <c r="B20" s="579">
        <f t="shared" si="1"/>
        <v>14</v>
      </c>
      <c r="C20" t="s">
        <v>517</v>
      </c>
      <c r="D20" s="534" t="s">
        <v>1253</v>
      </c>
      <c r="E20" s="1052">
        <v>182861.39748623216</v>
      </c>
      <c r="F20" s="1050">
        <v>1779</v>
      </c>
      <c r="G20" s="1053">
        <v>2053</v>
      </c>
      <c r="H20" s="1051">
        <f t="shared" si="0"/>
        <v>0.98701923076923082</v>
      </c>
      <c r="J20" s="1082"/>
      <c r="K20" s="550"/>
      <c r="L20" s="550"/>
      <c r="M20" s="550"/>
      <c r="N20" s="550"/>
      <c r="O20" s="550"/>
      <c r="P20" s="550"/>
      <c r="Q20" s="550"/>
    </row>
    <row r="21" spans="2:17" ht="13" x14ac:dyDescent="0.3">
      <c r="B21" s="579">
        <f t="shared" si="1"/>
        <v>15</v>
      </c>
      <c r="C21" t="s">
        <v>517</v>
      </c>
      <c r="D21" s="534" t="s">
        <v>1252</v>
      </c>
      <c r="E21" s="1052">
        <v>1439.0299055116157</v>
      </c>
      <c r="F21" s="1050">
        <v>12</v>
      </c>
      <c r="G21" s="1053">
        <v>18</v>
      </c>
      <c r="H21" s="1051">
        <f t="shared" si="0"/>
        <v>8.6538461538461543E-3</v>
      </c>
      <c r="J21" s="1082"/>
      <c r="K21" s="550"/>
      <c r="L21" s="550"/>
      <c r="M21" s="550"/>
      <c r="N21" s="550"/>
      <c r="O21" s="550"/>
      <c r="P21" s="550"/>
      <c r="Q21" s="550"/>
    </row>
    <row r="22" spans="2:17" ht="13" x14ac:dyDescent="0.3">
      <c r="B22" s="579">
        <f t="shared" si="1"/>
        <v>16</v>
      </c>
      <c r="C22" t="s">
        <v>517</v>
      </c>
      <c r="D22" s="534" t="s">
        <v>1252</v>
      </c>
      <c r="E22" s="1052">
        <v>173309.33682523703</v>
      </c>
      <c r="F22" s="1050">
        <v>2012</v>
      </c>
      <c r="G22" s="1053">
        <v>2079.9999999999991</v>
      </c>
      <c r="H22" s="1051">
        <f t="shared" si="0"/>
        <v>0.99999999999999956</v>
      </c>
      <c r="J22" s="1082"/>
      <c r="K22" s="550"/>
      <c r="L22" s="550"/>
      <c r="M22" s="550"/>
      <c r="N22" s="550"/>
      <c r="O22" s="550"/>
      <c r="P22" s="550"/>
      <c r="Q22" s="550"/>
    </row>
    <row r="23" spans="2:17" ht="13" x14ac:dyDescent="0.3">
      <c r="B23" s="579">
        <f t="shared" si="1"/>
        <v>17</v>
      </c>
      <c r="C23" t="s">
        <v>517</v>
      </c>
      <c r="D23" s="534" t="s">
        <v>1253</v>
      </c>
      <c r="E23" s="1052">
        <v>152118.03253772444</v>
      </c>
      <c r="F23" s="1050">
        <f>1317+97</f>
        <v>1414</v>
      </c>
      <c r="G23" s="1053">
        <v>1740.0000000000002</v>
      </c>
      <c r="H23" s="1051">
        <f t="shared" si="0"/>
        <v>0.83653846153846168</v>
      </c>
      <c r="J23" s="1082"/>
      <c r="K23" s="550"/>
      <c r="L23" s="550"/>
      <c r="M23" s="550"/>
      <c r="N23" s="550"/>
      <c r="O23" s="550"/>
      <c r="P23" s="550"/>
      <c r="Q23" s="550"/>
    </row>
    <row r="24" spans="2:17" ht="13" x14ac:dyDescent="0.3">
      <c r="C24" s="534" t="s">
        <v>517</v>
      </c>
      <c r="E24" s="1054">
        <f>SUM(E7:E23)</f>
        <v>2489756.1884837979</v>
      </c>
      <c r="F24" s="1055">
        <f>SUM(F7:F23)</f>
        <v>27926</v>
      </c>
      <c r="G24" s="1055">
        <f>SUM(G7:G23)</f>
        <v>28668.75</v>
      </c>
      <c r="H24" s="1056">
        <f>+G24/2080</f>
        <v>13.783052884615385</v>
      </c>
      <c r="J24" s="1082"/>
      <c r="K24" s="550"/>
      <c r="L24" s="550"/>
      <c r="M24" s="550"/>
      <c r="N24" s="550"/>
      <c r="O24" s="550"/>
      <c r="P24" s="550"/>
      <c r="Q24" s="550"/>
    </row>
    <row r="25" spans="2:17" ht="13" x14ac:dyDescent="0.3">
      <c r="E25" s="839"/>
      <c r="F25" s="534"/>
      <c r="G25" s="534"/>
    </row>
    <row r="26" spans="2:17" ht="13" x14ac:dyDescent="0.3">
      <c r="B26" s="564">
        <v>3</v>
      </c>
      <c r="C26" s="949" t="s">
        <v>517</v>
      </c>
      <c r="D26" s="1057" t="s">
        <v>1031</v>
      </c>
      <c r="E26" s="1058"/>
      <c r="F26" s="1059">
        <v>1895</v>
      </c>
    </row>
    <row r="28" spans="2:17" ht="13" x14ac:dyDescent="0.3">
      <c r="C28" s="534" t="s">
        <v>1032</v>
      </c>
      <c r="D28" s="1316">
        <f>+B23+B26</f>
        <v>20</v>
      </c>
      <c r="E28" s="1060">
        <f>+E24+E26</f>
        <v>2489756.1884837979</v>
      </c>
      <c r="F28" s="609">
        <f>+F24+F26</f>
        <v>29821</v>
      </c>
      <c r="G28" s="609">
        <f>+G24+G26</f>
        <v>28668.75</v>
      </c>
      <c r="H28" s="1051">
        <f>+G28/2080</f>
        <v>13.783052884615385</v>
      </c>
    </row>
    <row r="31" spans="2:17" ht="15.5" x14ac:dyDescent="0.35">
      <c r="C31" s="606" t="s">
        <v>518</v>
      </c>
      <c r="D31" s="606" t="s">
        <v>1033</v>
      </c>
      <c r="E31" s="610"/>
    </row>
    <row r="33" spans="2:11" ht="13" thickBot="1" x14ac:dyDescent="0.3">
      <c r="J33" s="550"/>
      <c r="K33" s="550"/>
    </row>
    <row r="34" spans="2:11" ht="27" thickBot="1" x14ac:dyDescent="0.4">
      <c r="B34" s="1104" t="s">
        <v>1095</v>
      </c>
      <c r="C34" s="1073" t="s">
        <v>1026</v>
      </c>
      <c r="D34" s="1072" t="s">
        <v>1027</v>
      </c>
      <c r="E34" s="1061" t="s">
        <v>1028</v>
      </c>
      <c r="F34" s="1072" t="s">
        <v>1029</v>
      </c>
      <c r="G34" s="1062" t="s">
        <v>1030</v>
      </c>
      <c r="H34" s="1048" t="s">
        <v>203</v>
      </c>
      <c r="J34" s="1304"/>
      <c r="K34" s="794"/>
    </row>
    <row r="35" spans="2:11" ht="13" x14ac:dyDescent="0.3">
      <c r="B35" s="579">
        <v>1</v>
      </c>
      <c r="C35" s="579" t="s">
        <v>518</v>
      </c>
      <c r="D35" t="s">
        <v>1254</v>
      </c>
      <c r="E35" s="537">
        <v>51339.390531773432</v>
      </c>
      <c r="F35" s="963">
        <f>767+3</f>
        <v>770</v>
      </c>
      <c r="G35" s="1236">
        <v>1250.5</v>
      </c>
      <c r="H35" s="1051">
        <f t="shared" ref="H35:H50" si="2">+G35/2080</f>
        <v>0.60120192307692311</v>
      </c>
      <c r="J35" s="1293"/>
      <c r="K35" s="1082"/>
    </row>
    <row r="36" spans="2:11" ht="13" x14ac:dyDescent="0.3">
      <c r="B36" s="579">
        <f>+B35+1</f>
        <v>2</v>
      </c>
      <c r="C36" s="579" t="s">
        <v>518</v>
      </c>
      <c r="D36" t="s">
        <v>1254</v>
      </c>
      <c r="E36" s="537">
        <v>83180.955149977439</v>
      </c>
      <c r="F36" s="963">
        <v>1423</v>
      </c>
      <c r="G36" s="1236">
        <v>1669.25</v>
      </c>
      <c r="H36" s="1051">
        <f t="shared" si="2"/>
        <v>0.80252403846153841</v>
      </c>
      <c r="J36" s="1293"/>
      <c r="K36" s="1082"/>
    </row>
    <row r="37" spans="2:11" ht="13" x14ac:dyDescent="0.3">
      <c r="B37" s="579">
        <f t="shared" ref="B37:B50" si="3">+B36+1</f>
        <v>3</v>
      </c>
      <c r="C37" s="579" t="s">
        <v>518</v>
      </c>
      <c r="D37" t="s">
        <v>1254</v>
      </c>
      <c r="E37" s="537">
        <v>24059.111010459012</v>
      </c>
      <c r="F37" s="963">
        <f>66+431+5</f>
        <v>502</v>
      </c>
      <c r="G37" s="1236">
        <v>539.12</v>
      </c>
      <c r="H37" s="1051">
        <f t="shared" si="2"/>
        <v>0.25919230769230772</v>
      </c>
      <c r="J37" s="1293"/>
      <c r="K37" s="1082"/>
    </row>
    <row r="38" spans="2:11" s="702" customFormat="1" ht="13" x14ac:dyDescent="0.3">
      <c r="B38" s="579">
        <f t="shared" si="3"/>
        <v>4</v>
      </c>
      <c r="C38" s="779" t="s">
        <v>518</v>
      </c>
      <c r="D38" t="s">
        <v>1254</v>
      </c>
      <c r="E38" s="537">
        <v>67048.500535711573</v>
      </c>
      <c r="F38" s="963">
        <f>188+409+626+5</f>
        <v>1228</v>
      </c>
      <c r="G38" s="1236">
        <v>1578.2500000000007</v>
      </c>
      <c r="H38" s="1051">
        <f t="shared" si="2"/>
        <v>0.75877403846153879</v>
      </c>
      <c r="J38" s="1293"/>
      <c r="K38" s="1082"/>
    </row>
    <row r="39" spans="2:11" s="702" customFormat="1" ht="13" x14ac:dyDescent="0.3">
      <c r="B39" s="579">
        <f t="shared" si="3"/>
        <v>5</v>
      </c>
      <c r="C39" s="779" t="s">
        <v>518</v>
      </c>
      <c r="D39" t="s">
        <v>1254</v>
      </c>
      <c r="E39" s="537">
        <v>25478.284301927204</v>
      </c>
      <c r="F39" s="963">
        <f>15+2+259</f>
        <v>276</v>
      </c>
      <c r="G39" s="1236">
        <v>566.5</v>
      </c>
      <c r="H39" s="1051">
        <f t="shared" si="2"/>
        <v>0.27235576923076921</v>
      </c>
      <c r="J39" s="1293"/>
      <c r="K39" s="1082"/>
    </row>
    <row r="40" spans="2:11" s="702" customFormat="1" ht="13" x14ac:dyDescent="0.3">
      <c r="B40" s="579">
        <f t="shared" si="3"/>
        <v>6</v>
      </c>
      <c r="C40" s="779" t="s">
        <v>518</v>
      </c>
      <c r="D40" t="s">
        <v>1254</v>
      </c>
      <c r="E40" s="537">
        <v>107602.69170336203</v>
      </c>
      <c r="F40" s="963">
        <v>1918</v>
      </c>
      <c r="G40" s="1236">
        <v>2157.7500000000009</v>
      </c>
      <c r="H40" s="1051">
        <f t="shared" si="2"/>
        <v>1.0373798076923082</v>
      </c>
      <c r="J40" s="1293"/>
      <c r="K40" s="1082"/>
    </row>
    <row r="41" spans="2:11" s="702" customFormat="1" ht="13" x14ac:dyDescent="0.3">
      <c r="B41" s="579">
        <f t="shared" si="3"/>
        <v>7</v>
      </c>
      <c r="C41" s="779" t="s">
        <v>518</v>
      </c>
      <c r="D41" t="s">
        <v>1254</v>
      </c>
      <c r="E41" s="537">
        <v>12878.268361689525</v>
      </c>
      <c r="F41" s="963">
        <v>113</v>
      </c>
      <c r="G41" s="1236">
        <v>273.75</v>
      </c>
      <c r="H41" s="1051">
        <f t="shared" si="2"/>
        <v>0.13161057692307693</v>
      </c>
      <c r="J41" s="1293"/>
      <c r="K41" s="1082"/>
    </row>
    <row r="42" spans="2:11" s="702" customFormat="1" ht="13" x14ac:dyDescent="0.3">
      <c r="B42" s="579">
        <f t="shared" si="3"/>
        <v>8</v>
      </c>
      <c r="C42" s="779" t="s">
        <v>518</v>
      </c>
      <c r="D42" t="s">
        <v>1254</v>
      </c>
      <c r="E42" s="537">
        <v>7757.8501936660514</v>
      </c>
      <c r="F42" s="963">
        <f>86+5</f>
        <v>91</v>
      </c>
      <c r="G42" s="1236">
        <v>184.06</v>
      </c>
      <c r="H42" s="1051">
        <f t="shared" si="2"/>
        <v>8.849038461538461E-2</v>
      </c>
      <c r="J42" s="1293"/>
      <c r="K42" s="1082"/>
    </row>
    <row r="43" spans="2:11" s="702" customFormat="1" ht="13" x14ac:dyDescent="0.3">
      <c r="B43" s="579">
        <f t="shared" si="3"/>
        <v>9</v>
      </c>
      <c r="C43" s="779" t="s">
        <v>518</v>
      </c>
      <c r="D43" t="s">
        <v>1254</v>
      </c>
      <c r="E43" s="537">
        <v>83467.132229172814</v>
      </c>
      <c r="F43" s="963">
        <v>1470</v>
      </c>
      <c r="G43" s="1236">
        <v>1696.9999999999998</v>
      </c>
      <c r="H43" s="1051">
        <f t="shared" si="2"/>
        <v>0.81586538461538449</v>
      </c>
      <c r="J43" s="1293"/>
      <c r="K43" s="1082"/>
    </row>
    <row r="44" spans="2:11" s="702" customFormat="1" ht="13" x14ac:dyDescent="0.3">
      <c r="B44" s="579">
        <f t="shared" si="3"/>
        <v>10</v>
      </c>
      <c r="C44" s="779" t="s">
        <v>518</v>
      </c>
      <c r="D44" t="s">
        <v>1254</v>
      </c>
      <c r="E44" s="537">
        <v>90157.512037583001</v>
      </c>
      <c r="F44" s="963">
        <f>390+980+5</f>
        <v>1375</v>
      </c>
      <c r="G44" s="1236">
        <v>1865.25</v>
      </c>
      <c r="H44" s="1051">
        <f t="shared" si="2"/>
        <v>0.89675480769230764</v>
      </c>
      <c r="J44" s="1293"/>
      <c r="K44" s="1082"/>
    </row>
    <row r="45" spans="2:11" s="702" customFormat="1" ht="13" x14ac:dyDescent="0.3">
      <c r="B45" s="579">
        <f t="shared" si="3"/>
        <v>11</v>
      </c>
      <c r="C45" s="779" t="s">
        <v>518</v>
      </c>
      <c r="D45" t="s">
        <v>1254</v>
      </c>
      <c r="E45" s="537">
        <v>111079.66776644877</v>
      </c>
      <c r="F45" s="963">
        <v>1713</v>
      </c>
      <c r="G45" s="1236">
        <v>2122.25</v>
      </c>
      <c r="H45" s="1051">
        <f t="shared" si="2"/>
        <v>1.0203125</v>
      </c>
      <c r="J45" s="1293"/>
      <c r="K45" s="1082"/>
    </row>
    <row r="46" spans="2:11" s="702" customFormat="1" ht="13" x14ac:dyDescent="0.3">
      <c r="B46" s="579">
        <f t="shared" si="3"/>
        <v>12</v>
      </c>
      <c r="C46" s="779" t="s">
        <v>518</v>
      </c>
      <c r="D46" t="s">
        <v>1254</v>
      </c>
      <c r="E46" s="537">
        <v>96852.109003077363</v>
      </c>
      <c r="F46" s="963">
        <v>1740</v>
      </c>
      <c r="G46" s="1236">
        <v>2074.7499999999995</v>
      </c>
      <c r="H46" s="1051">
        <f t="shared" si="2"/>
        <v>0.9974759615384613</v>
      </c>
      <c r="J46" s="1293"/>
      <c r="K46" s="1082"/>
    </row>
    <row r="47" spans="2:11" s="702" customFormat="1" ht="13" x14ac:dyDescent="0.3">
      <c r="B47" s="579">
        <f t="shared" si="3"/>
        <v>13</v>
      </c>
      <c r="C47" s="779" t="s">
        <v>518</v>
      </c>
      <c r="D47" t="s">
        <v>1254</v>
      </c>
      <c r="E47" s="537">
        <v>63145.881411753799</v>
      </c>
      <c r="F47" s="963">
        <f>38+557</f>
        <v>595</v>
      </c>
      <c r="G47" s="1236">
        <v>1229.25</v>
      </c>
      <c r="H47" s="1051">
        <f t="shared" si="2"/>
        <v>0.59098557692307696</v>
      </c>
      <c r="J47" s="1293"/>
      <c r="K47" s="1082"/>
    </row>
    <row r="48" spans="2:11" s="702" customFormat="1" ht="13" x14ac:dyDescent="0.3">
      <c r="B48" s="579">
        <f t="shared" si="3"/>
        <v>14</v>
      </c>
      <c r="C48" s="779" t="s">
        <v>518</v>
      </c>
      <c r="D48" t="s">
        <v>1254</v>
      </c>
      <c r="E48" s="537">
        <v>73586.602998981572</v>
      </c>
      <c r="F48" s="963">
        <v>1229</v>
      </c>
      <c r="G48" s="1236">
        <v>1519.23</v>
      </c>
      <c r="H48" s="1051">
        <f t="shared" si="2"/>
        <v>0.73039903846153842</v>
      </c>
      <c r="J48" s="1293"/>
      <c r="K48" s="1082"/>
    </row>
    <row r="49" spans="2:11" s="702" customFormat="1" ht="13" x14ac:dyDescent="0.3">
      <c r="B49" s="579">
        <f t="shared" si="3"/>
        <v>15</v>
      </c>
      <c r="C49" s="779" t="s">
        <v>518</v>
      </c>
      <c r="D49" t="s">
        <v>1254</v>
      </c>
      <c r="E49" s="537">
        <v>73524.344969041689</v>
      </c>
      <c r="F49" s="963">
        <v>1289</v>
      </c>
      <c r="G49" s="1236">
        <v>1678.7499999999998</v>
      </c>
      <c r="H49" s="1051">
        <f t="shared" si="2"/>
        <v>0.80709134615384603</v>
      </c>
      <c r="J49" s="1293"/>
      <c r="K49" s="1082"/>
    </row>
    <row r="50" spans="2:11" s="702" customFormat="1" ht="13" x14ac:dyDescent="0.3">
      <c r="B50" s="579">
        <f t="shared" si="3"/>
        <v>16</v>
      </c>
      <c r="C50" s="779" t="s">
        <v>518</v>
      </c>
      <c r="D50" t="s">
        <v>1254</v>
      </c>
      <c r="E50" s="537">
        <v>51882.844172895173</v>
      </c>
      <c r="F50" s="963">
        <v>560</v>
      </c>
      <c r="G50" s="1236">
        <v>1107.5</v>
      </c>
      <c r="H50" s="1051">
        <f t="shared" si="2"/>
        <v>0.53245192307692313</v>
      </c>
      <c r="J50" s="1293"/>
      <c r="K50" s="1082"/>
    </row>
    <row r="51" spans="2:11" ht="13" x14ac:dyDescent="0.3">
      <c r="B51" s="579"/>
      <c r="C51" s="579"/>
      <c r="D51" s="610"/>
      <c r="E51" s="1063"/>
      <c r="F51" s="579"/>
      <c r="G51" s="1064"/>
      <c r="H51" s="1051"/>
      <c r="J51" s="550"/>
      <c r="K51" s="550"/>
    </row>
    <row r="52" spans="2:11" ht="13" x14ac:dyDescent="0.3">
      <c r="B52" s="579"/>
      <c r="C52" s="579"/>
      <c r="D52" s="610"/>
      <c r="E52" s="1063"/>
      <c r="F52" s="579"/>
      <c r="G52" s="1064"/>
      <c r="H52" s="1051"/>
    </row>
    <row r="53" spans="2:11" ht="13" x14ac:dyDescent="0.3">
      <c r="C53" s="564" t="s">
        <v>1034</v>
      </c>
      <c r="D53" s="579"/>
      <c r="E53" s="1049">
        <f>SUM(E35:E52)</f>
        <v>1023041.1463775205</v>
      </c>
      <c r="F53" s="1050">
        <f>SUM(F35:F52)</f>
        <v>16292</v>
      </c>
      <c r="G53" s="1050">
        <f>SUM(G35:G52)</f>
        <v>21513.16</v>
      </c>
      <c r="H53" s="1051">
        <f>+G53/2080</f>
        <v>10.342865384615385</v>
      </c>
    </row>
    <row r="54" spans="2:11" ht="13" x14ac:dyDescent="0.3">
      <c r="C54" s="564"/>
      <c r="D54" s="579"/>
      <c r="E54" s="1049"/>
      <c r="F54" s="1050"/>
      <c r="G54" s="1050"/>
      <c r="H54" s="1051"/>
    </row>
    <row r="55" spans="2:11" ht="13" x14ac:dyDescent="0.3">
      <c r="C55" s="564">
        <v>2</v>
      </c>
      <c r="D55" s="1057" t="s">
        <v>1279</v>
      </c>
      <c r="E55" s="1244"/>
      <c r="F55" s="949">
        <f>18+13</f>
        <v>31</v>
      </c>
      <c r="G55" s="1064"/>
      <c r="H55" s="579"/>
      <c r="I55" s="1065"/>
    </row>
    <row r="56" spans="2:11" ht="13" x14ac:dyDescent="0.3">
      <c r="C56" s="564">
        <v>6</v>
      </c>
      <c r="D56" s="1057" t="s">
        <v>1035</v>
      </c>
      <c r="E56" s="1245"/>
      <c r="F56" s="1246">
        <v>526</v>
      </c>
    </row>
    <row r="57" spans="2:11" ht="13" x14ac:dyDescent="0.3">
      <c r="C57" s="564"/>
      <c r="D57" s="746"/>
      <c r="E57" s="1247"/>
      <c r="F57" s="1248"/>
    </row>
    <row r="58" spans="2:11" ht="13" x14ac:dyDescent="0.3">
      <c r="B58" s="564"/>
      <c r="C58" s="534" t="s">
        <v>1036</v>
      </c>
      <c r="D58" s="564">
        <f>+B50+C55+C56</f>
        <v>24</v>
      </c>
      <c r="E58" s="1060">
        <f>+E53+E56</f>
        <v>1023041.1463775205</v>
      </c>
      <c r="F58" s="609">
        <f>+F53+F56+F54+F55</f>
        <v>16849</v>
      </c>
      <c r="G58" s="839">
        <f>+G53+G56</f>
        <v>21513.16</v>
      </c>
      <c r="H58" s="1051">
        <f>+G58/2080</f>
        <v>10.342865384615385</v>
      </c>
    </row>
    <row r="61" spans="2:11" ht="13" x14ac:dyDescent="0.3">
      <c r="C61" s="1066" t="s">
        <v>1037</v>
      </c>
      <c r="D61" s="1067"/>
      <c r="E61" s="1068">
        <f>+E58+E28</f>
        <v>3512797.3348613186</v>
      </c>
      <c r="F61" s="1069">
        <f>+F58+F28</f>
        <v>46670</v>
      </c>
      <c r="G61" s="1070">
        <f>+G58+G28</f>
        <v>50181.91</v>
      </c>
      <c r="H61" s="1071">
        <f>+G61/2080</f>
        <v>24.12591826923077</v>
      </c>
    </row>
    <row r="63" spans="2:11" x14ac:dyDescent="0.25">
      <c r="F63" s="537"/>
    </row>
    <row r="64" spans="2:11" ht="15.5" x14ac:dyDescent="0.35">
      <c r="C64" s="606" t="s">
        <v>519</v>
      </c>
      <c r="D64" s="606" t="s">
        <v>1256</v>
      </c>
      <c r="E64" s="536"/>
    </row>
    <row r="66" spans="2:8" ht="13" thickBot="1" x14ac:dyDescent="0.3"/>
    <row r="67" spans="2:8" ht="27" thickBot="1" x14ac:dyDescent="0.4">
      <c r="B67" s="1104" t="s">
        <v>1095</v>
      </c>
      <c r="C67" s="1073" t="s">
        <v>1026</v>
      </c>
      <c r="D67" s="1072" t="s">
        <v>1027</v>
      </c>
      <c r="E67" s="1061" t="s">
        <v>1028</v>
      </c>
      <c r="F67" s="1072" t="s">
        <v>1029</v>
      </c>
      <c r="G67" s="1062" t="s">
        <v>1030</v>
      </c>
      <c r="H67" s="1048" t="s">
        <v>203</v>
      </c>
    </row>
    <row r="68" spans="2:8" ht="13" x14ac:dyDescent="0.3">
      <c r="B68">
        <v>1</v>
      </c>
      <c r="C68" s="610" t="s">
        <v>519</v>
      </c>
      <c r="D68" t="s">
        <v>641</v>
      </c>
      <c r="E68" s="537">
        <v>40660.739340237793</v>
      </c>
      <c r="F68">
        <v>0</v>
      </c>
      <c r="G68" s="741">
        <v>1298.25</v>
      </c>
      <c r="H68" s="1051">
        <f t="shared" ref="H68:H97" si="4">+G68/2080</f>
        <v>0.62415865384615388</v>
      </c>
    </row>
    <row r="69" spans="2:8" ht="13" x14ac:dyDescent="0.3">
      <c r="B69">
        <f>1+B68</f>
        <v>2</v>
      </c>
      <c r="C69" s="610" t="s">
        <v>519</v>
      </c>
      <c r="D69" t="s">
        <v>641</v>
      </c>
      <c r="E69" s="537">
        <v>56440.281863440119</v>
      </c>
      <c r="F69">
        <v>0</v>
      </c>
      <c r="G69" s="741">
        <v>2196.5</v>
      </c>
      <c r="H69" s="1051">
        <f t="shared" si="4"/>
        <v>1.0560096153846155</v>
      </c>
    </row>
    <row r="70" spans="2:8" ht="13" x14ac:dyDescent="0.3">
      <c r="B70">
        <f t="shared" ref="B70:B100" si="5">1+B69</f>
        <v>3</v>
      </c>
      <c r="C70" s="610" t="s">
        <v>519</v>
      </c>
      <c r="D70" t="s">
        <v>641</v>
      </c>
      <c r="E70" s="537">
        <v>54953.584092308491</v>
      </c>
      <c r="F70">
        <v>0</v>
      </c>
      <c r="G70" s="741">
        <v>2158.25</v>
      </c>
      <c r="H70" s="1051">
        <f t="shared" si="4"/>
        <v>1.0376201923076922</v>
      </c>
    </row>
    <row r="71" spans="2:8" ht="13" x14ac:dyDescent="0.3">
      <c r="B71">
        <f t="shared" si="5"/>
        <v>4</v>
      </c>
      <c r="C71" s="610" t="s">
        <v>519</v>
      </c>
      <c r="D71" t="s">
        <v>641</v>
      </c>
      <c r="E71" s="537">
        <v>49250.978394873215</v>
      </c>
      <c r="F71">
        <v>0</v>
      </c>
      <c r="G71" s="741">
        <v>1663.4999999999995</v>
      </c>
      <c r="H71" s="1051">
        <f t="shared" si="4"/>
        <v>0.79975961538461515</v>
      </c>
    </row>
    <row r="72" spans="2:8" ht="13" x14ac:dyDescent="0.3">
      <c r="B72">
        <f t="shared" si="5"/>
        <v>5</v>
      </c>
      <c r="C72" s="610" t="s">
        <v>519</v>
      </c>
      <c r="D72" t="s">
        <v>641</v>
      </c>
      <c r="E72" s="537">
        <v>44924.924721218631</v>
      </c>
      <c r="F72">
        <v>0</v>
      </c>
      <c r="G72" s="741">
        <v>1920.75</v>
      </c>
      <c r="H72" s="1051">
        <f t="shared" si="4"/>
        <v>0.92343750000000002</v>
      </c>
    </row>
    <row r="73" spans="2:8" ht="13" x14ac:dyDescent="0.3">
      <c r="B73">
        <f t="shared" si="5"/>
        <v>6</v>
      </c>
      <c r="C73" s="610" t="s">
        <v>519</v>
      </c>
      <c r="D73" t="s">
        <v>641</v>
      </c>
      <c r="E73" s="537">
        <v>49361.493892963867</v>
      </c>
      <c r="F73">
        <v>0</v>
      </c>
      <c r="G73" s="741">
        <v>1747.2499999999995</v>
      </c>
      <c r="H73" s="1051">
        <f t="shared" si="4"/>
        <v>0.84002403846153828</v>
      </c>
    </row>
    <row r="74" spans="2:8" ht="13" x14ac:dyDescent="0.3">
      <c r="B74">
        <f t="shared" si="5"/>
        <v>7</v>
      </c>
      <c r="C74" s="610" t="s">
        <v>519</v>
      </c>
      <c r="D74" t="s">
        <v>641</v>
      </c>
      <c r="E74" s="537">
        <v>2987.1162926818997</v>
      </c>
      <c r="F74">
        <v>0</v>
      </c>
      <c r="G74" s="741">
        <v>78.209999999999994</v>
      </c>
      <c r="H74" s="1051">
        <f t="shared" si="4"/>
        <v>3.7600961538461534E-2</v>
      </c>
    </row>
    <row r="75" spans="2:8" ht="13" x14ac:dyDescent="0.3">
      <c r="B75">
        <f t="shared" si="5"/>
        <v>8</v>
      </c>
      <c r="C75" s="610" t="s">
        <v>519</v>
      </c>
      <c r="D75" t="s">
        <v>641</v>
      </c>
      <c r="E75" s="537">
        <v>50402.632029601526</v>
      </c>
      <c r="F75">
        <v>0</v>
      </c>
      <c r="G75" s="741">
        <v>2050.5</v>
      </c>
      <c r="H75" s="1051">
        <f t="shared" si="4"/>
        <v>0.98581730769230769</v>
      </c>
    </row>
    <row r="76" spans="2:8" ht="13" x14ac:dyDescent="0.3">
      <c r="B76">
        <f t="shared" si="5"/>
        <v>9</v>
      </c>
      <c r="C76" s="610" t="s">
        <v>519</v>
      </c>
      <c r="D76" t="s">
        <v>641</v>
      </c>
      <c r="E76" s="537">
        <v>241.83697023181318</v>
      </c>
      <c r="F76">
        <v>0</v>
      </c>
      <c r="G76" s="741">
        <v>8</v>
      </c>
      <c r="H76" s="1051">
        <f t="shared" si="4"/>
        <v>3.8461538461538464E-3</v>
      </c>
    </row>
    <row r="77" spans="2:8" ht="13" x14ac:dyDescent="0.3">
      <c r="B77">
        <f t="shared" si="5"/>
        <v>10</v>
      </c>
      <c r="C77" s="610" t="s">
        <v>519</v>
      </c>
      <c r="D77" t="s">
        <v>641</v>
      </c>
      <c r="E77" s="537">
        <v>25335.420610752248</v>
      </c>
      <c r="F77">
        <v>0</v>
      </c>
      <c r="G77" s="741">
        <v>1254</v>
      </c>
      <c r="H77" s="1051">
        <f t="shared" si="4"/>
        <v>0.60288461538461535</v>
      </c>
    </row>
    <row r="78" spans="2:8" ht="13" x14ac:dyDescent="0.3">
      <c r="B78">
        <f t="shared" si="5"/>
        <v>11</v>
      </c>
      <c r="C78" s="610" t="s">
        <v>519</v>
      </c>
      <c r="D78" t="s">
        <v>641</v>
      </c>
      <c r="E78" s="537">
        <v>68739.670465847928</v>
      </c>
      <c r="F78">
        <v>0</v>
      </c>
      <c r="G78" s="741">
        <v>2284.9999999999991</v>
      </c>
      <c r="H78" s="1051">
        <f t="shared" si="4"/>
        <v>1.0985576923076918</v>
      </c>
    </row>
    <row r="79" spans="2:8" ht="13" x14ac:dyDescent="0.3">
      <c r="B79">
        <f t="shared" si="5"/>
        <v>12</v>
      </c>
      <c r="C79" s="610" t="s">
        <v>519</v>
      </c>
      <c r="D79" t="s">
        <v>641</v>
      </c>
      <c r="E79" s="537">
        <v>5454.5629107359164</v>
      </c>
      <c r="F79">
        <v>0</v>
      </c>
      <c r="G79" s="741">
        <v>234.83</v>
      </c>
      <c r="H79" s="1051">
        <f t="shared" si="4"/>
        <v>0.11289903846153847</v>
      </c>
    </row>
    <row r="80" spans="2:8" ht="13" x14ac:dyDescent="0.3">
      <c r="B80">
        <f t="shared" si="5"/>
        <v>13</v>
      </c>
      <c r="C80" s="610" t="s">
        <v>519</v>
      </c>
      <c r="D80" t="s">
        <v>641</v>
      </c>
      <c r="E80" s="537">
        <v>48349.286253384955</v>
      </c>
      <c r="F80">
        <v>0</v>
      </c>
      <c r="G80" s="741">
        <v>2055.75</v>
      </c>
      <c r="H80" s="1051">
        <f t="shared" si="4"/>
        <v>0.98834134615384617</v>
      </c>
    </row>
    <row r="81" spans="2:8" ht="13" x14ac:dyDescent="0.3">
      <c r="B81">
        <f t="shared" si="5"/>
        <v>14</v>
      </c>
      <c r="C81" s="610" t="s">
        <v>519</v>
      </c>
      <c r="D81" t="s">
        <v>641</v>
      </c>
      <c r="E81" s="537">
        <v>47779.32048490677</v>
      </c>
      <c r="F81">
        <v>0</v>
      </c>
      <c r="G81" s="741">
        <v>1887.88</v>
      </c>
      <c r="H81" s="1051">
        <f t="shared" si="4"/>
        <v>0.90763461538461543</v>
      </c>
    </row>
    <row r="82" spans="2:8" ht="13" x14ac:dyDescent="0.3">
      <c r="B82">
        <f t="shared" si="5"/>
        <v>15</v>
      </c>
      <c r="C82" s="610" t="s">
        <v>519</v>
      </c>
      <c r="D82" t="s">
        <v>641</v>
      </c>
      <c r="E82" s="537">
        <v>50881.639116135528</v>
      </c>
      <c r="F82">
        <v>0</v>
      </c>
      <c r="G82" s="741">
        <v>2105.5</v>
      </c>
      <c r="H82" s="1051">
        <f t="shared" si="4"/>
        <v>1.0122596153846153</v>
      </c>
    </row>
    <row r="83" spans="2:8" ht="13" x14ac:dyDescent="0.3">
      <c r="B83">
        <f t="shared" si="5"/>
        <v>16</v>
      </c>
      <c r="C83" s="610" t="s">
        <v>519</v>
      </c>
      <c r="D83" t="s">
        <v>641</v>
      </c>
      <c r="E83" s="537">
        <v>42294.268128047843</v>
      </c>
      <c r="F83">
        <v>0</v>
      </c>
      <c r="G83" s="741">
        <v>1667.13</v>
      </c>
      <c r="H83" s="1051">
        <f t="shared" si="4"/>
        <v>0.8015048076923077</v>
      </c>
    </row>
    <row r="84" spans="2:8" ht="13" x14ac:dyDescent="0.3">
      <c r="B84">
        <f t="shared" si="5"/>
        <v>17</v>
      </c>
      <c r="C84" s="610" t="s">
        <v>519</v>
      </c>
      <c r="D84" t="s">
        <v>641</v>
      </c>
      <c r="E84" s="537">
        <v>59542.810353196837</v>
      </c>
      <c r="F84">
        <v>0</v>
      </c>
      <c r="G84" s="741">
        <v>2097.75</v>
      </c>
      <c r="H84" s="1051">
        <f t="shared" si="4"/>
        <v>1.0085336538461538</v>
      </c>
    </row>
    <row r="85" spans="2:8" ht="13" x14ac:dyDescent="0.3">
      <c r="B85">
        <f t="shared" si="5"/>
        <v>18</v>
      </c>
      <c r="C85" s="610" t="s">
        <v>519</v>
      </c>
      <c r="D85" t="s">
        <v>641</v>
      </c>
      <c r="E85" s="537">
        <v>60419.199552179882</v>
      </c>
      <c r="F85">
        <v>0</v>
      </c>
      <c r="G85" s="741">
        <v>2174.2499999999995</v>
      </c>
      <c r="H85" s="1051">
        <f t="shared" si="4"/>
        <v>1.0453124999999999</v>
      </c>
    </row>
    <row r="86" spans="2:8" ht="13" x14ac:dyDescent="0.3">
      <c r="B86">
        <f t="shared" si="5"/>
        <v>19</v>
      </c>
      <c r="C86" s="610" t="s">
        <v>519</v>
      </c>
      <c r="D86" t="s">
        <v>641</v>
      </c>
      <c r="E86" s="537">
        <v>8109.2832817710996</v>
      </c>
      <c r="F86">
        <v>0</v>
      </c>
      <c r="G86" s="741">
        <v>249.25</v>
      </c>
      <c r="H86" s="1051">
        <f t="shared" si="4"/>
        <v>0.11983173076923077</v>
      </c>
    </row>
    <row r="87" spans="2:8" ht="13" x14ac:dyDescent="0.3">
      <c r="B87">
        <f t="shared" si="5"/>
        <v>20</v>
      </c>
      <c r="C87" s="610" t="s">
        <v>519</v>
      </c>
      <c r="D87" t="s">
        <v>641</v>
      </c>
      <c r="E87" s="537">
        <v>123.91646408572247</v>
      </c>
      <c r="F87">
        <v>0</v>
      </c>
      <c r="G87" s="741">
        <v>5</v>
      </c>
      <c r="H87" s="1051">
        <f t="shared" si="4"/>
        <v>2.403846153846154E-3</v>
      </c>
    </row>
    <row r="88" spans="2:8" ht="13" x14ac:dyDescent="0.3">
      <c r="B88">
        <f t="shared" si="5"/>
        <v>21</v>
      </c>
      <c r="C88" s="610" t="s">
        <v>519</v>
      </c>
      <c r="D88" t="s">
        <v>641</v>
      </c>
      <c r="E88" s="537">
        <v>39883.053602204345</v>
      </c>
      <c r="F88">
        <v>0</v>
      </c>
      <c r="G88" s="741">
        <v>1465.5</v>
      </c>
      <c r="H88" s="1051">
        <f t="shared" si="4"/>
        <v>0.70456730769230769</v>
      </c>
    </row>
    <row r="89" spans="2:8" ht="13" x14ac:dyDescent="0.3">
      <c r="B89">
        <f t="shared" si="5"/>
        <v>22</v>
      </c>
      <c r="C89" s="610" t="s">
        <v>519</v>
      </c>
      <c r="D89" t="s">
        <v>641</v>
      </c>
      <c r="E89" s="537">
        <v>60148.092313939364</v>
      </c>
      <c r="F89">
        <v>0</v>
      </c>
      <c r="G89" s="741">
        <v>2165.5</v>
      </c>
      <c r="H89" s="1051">
        <f t="shared" si="4"/>
        <v>1.0411057692307693</v>
      </c>
    </row>
    <row r="90" spans="2:8" ht="13" x14ac:dyDescent="0.3">
      <c r="B90">
        <f t="shared" si="5"/>
        <v>23</v>
      </c>
      <c r="C90" s="610" t="s">
        <v>519</v>
      </c>
      <c r="D90" t="s">
        <v>641</v>
      </c>
      <c r="E90" s="537">
        <v>45402.542744163235</v>
      </c>
      <c r="F90">
        <v>0</v>
      </c>
      <c r="G90" s="741">
        <v>1807</v>
      </c>
      <c r="H90" s="1051">
        <f t="shared" si="4"/>
        <v>0.86875000000000002</v>
      </c>
    </row>
    <row r="91" spans="2:8" ht="13" x14ac:dyDescent="0.3">
      <c r="B91">
        <f t="shared" si="5"/>
        <v>24</v>
      </c>
      <c r="C91" s="610" t="s">
        <v>519</v>
      </c>
      <c r="D91" t="s">
        <v>641</v>
      </c>
      <c r="E91" s="537">
        <v>6118.0556298091005</v>
      </c>
      <c r="F91">
        <v>0</v>
      </c>
      <c r="G91" s="741">
        <v>202</v>
      </c>
      <c r="H91" s="1051">
        <f t="shared" si="4"/>
        <v>9.7115384615384617E-2</v>
      </c>
    </row>
    <row r="92" spans="2:8" ht="13" x14ac:dyDescent="0.3">
      <c r="B92">
        <f t="shared" si="5"/>
        <v>25</v>
      </c>
      <c r="C92" s="610" t="s">
        <v>519</v>
      </c>
      <c r="D92" t="s">
        <v>641</v>
      </c>
      <c r="E92" s="537">
        <v>20448.215226790751</v>
      </c>
      <c r="F92">
        <v>0</v>
      </c>
      <c r="G92" s="741">
        <v>753.5</v>
      </c>
      <c r="H92" s="1051">
        <f t="shared" si="4"/>
        <v>0.36225961538461537</v>
      </c>
    </row>
    <row r="93" spans="2:8" ht="13" x14ac:dyDescent="0.3">
      <c r="B93">
        <f t="shared" si="5"/>
        <v>26</v>
      </c>
      <c r="C93" s="610" t="s">
        <v>519</v>
      </c>
      <c r="D93" t="s">
        <v>641</v>
      </c>
      <c r="E93" s="537">
        <v>48154.967249824724</v>
      </c>
      <c r="F93">
        <v>0</v>
      </c>
      <c r="G93" s="741">
        <v>1624.5</v>
      </c>
      <c r="H93" s="1051">
        <f t="shared" si="4"/>
        <v>0.78100961538461533</v>
      </c>
    </row>
    <row r="94" spans="2:8" ht="13" x14ac:dyDescent="0.3">
      <c r="B94">
        <f t="shared" si="5"/>
        <v>27</v>
      </c>
      <c r="C94" s="610" t="s">
        <v>519</v>
      </c>
      <c r="D94" t="s">
        <v>641</v>
      </c>
      <c r="E94" s="537">
        <v>73837.59379833455</v>
      </c>
      <c r="F94">
        <v>0</v>
      </c>
      <c r="G94" s="741">
        <v>2488.75</v>
      </c>
      <c r="H94" s="1051">
        <f t="shared" si="4"/>
        <v>1.1965144230769231</v>
      </c>
    </row>
    <row r="95" spans="2:8" ht="13" x14ac:dyDescent="0.3">
      <c r="B95">
        <f t="shared" si="5"/>
        <v>28</v>
      </c>
      <c r="C95" s="610" t="s">
        <v>519</v>
      </c>
      <c r="D95" t="s">
        <v>641</v>
      </c>
      <c r="E95" s="537">
        <v>54738.668973225605</v>
      </c>
      <c r="F95">
        <v>0</v>
      </c>
      <c r="G95" s="741">
        <v>2095</v>
      </c>
      <c r="H95" s="1051">
        <f t="shared" si="4"/>
        <v>1.0072115384615385</v>
      </c>
    </row>
    <row r="96" spans="2:8" ht="13" x14ac:dyDescent="0.3">
      <c r="B96">
        <f t="shared" si="5"/>
        <v>29</v>
      </c>
      <c r="C96" s="610" t="s">
        <v>519</v>
      </c>
      <c r="D96" s="1237" t="s">
        <v>1255</v>
      </c>
      <c r="E96" s="1238">
        <v>39936.747405553746</v>
      </c>
      <c r="F96" s="1237">
        <v>0</v>
      </c>
      <c r="G96" s="1239">
        <v>1067</v>
      </c>
      <c r="H96" s="1240">
        <f t="shared" si="4"/>
        <v>0.51298076923076918</v>
      </c>
    </row>
    <row r="97" spans="2:8" ht="13" x14ac:dyDescent="0.3">
      <c r="B97">
        <f t="shared" si="5"/>
        <v>30</v>
      </c>
      <c r="C97" s="610" t="s">
        <v>519</v>
      </c>
      <c r="D97" t="s">
        <v>573</v>
      </c>
      <c r="E97" s="537">
        <v>40903.465710897333</v>
      </c>
      <c r="F97">
        <v>0</v>
      </c>
      <c r="G97" s="741">
        <v>1912</v>
      </c>
      <c r="H97" s="1051">
        <f t="shared" si="4"/>
        <v>0.91923076923076918</v>
      </c>
    </row>
    <row r="98" spans="2:8" ht="13" x14ac:dyDescent="0.3">
      <c r="B98">
        <f t="shared" si="5"/>
        <v>31</v>
      </c>
      <c r="C98" s="610" t="s">
        <v>519</v>
      </c>
      <c r="D98" t="s">
        <v>572</v>
      </c>
      <c r="E98" s="537">
        <v>27367.760547653663</v>
      </c>
      <c r="F98">
        <v>0</v>
      </c>
      <c r="G98" s="741">
        <v>632.42399999999975</v>
      </c>
      <c r="H98" s="1051">
        <f>+G98/2080</f>
        <v>0.30404999999999988</v>
      </c>
    </row>
    <row r="99" spans="2:8" ht="13" x14ac:dyDescent="0.3">
      <c r="B99">
        <f t="shared" si="5"/>
        <v>32</v>
      </c>
      <c r="C99" s="610" t="s">
        <v>519</v>
      </c>
      <c r="D99" t="s">
        <v>572</v>
      </c>
      <c r="E99" s="537">
        <v>25617.080734966439</v>
      </c>
      <c r="F99">
        <v>0</v>
      </c>
      <c r="G99" s="741">
        <v>625.60000000000014</v>
      </c>
      <c r="H99" s="1051">
        <f>+G99/2080</f>
        <v>0.30076923076923084</v>
      </c>
    </row>
    <row r="100" spans="2:8" ht="13" x14ac:dyDescent="0.3">
      <c r="B100">
        <f t="shared" si="5"/>
        <v>33</v>
      </c>
      <c r="C100" s="610" t="s">
        <v>519</v>
      </c>
      <c r="D100" s="702" t="s">
        <v>1282</v>
      </c>
      <c r="E100" s="626">
        <v>53686.808065139259</v>
      </c>
      <c r="F100">
        <v>0</v>
      </c>
      <c r="G100" s="1242">
        <v>912.42</v>
      </c>
      <c r="H100" s="1263">
        <f>+G100/2080</f>
        <v>0.43866346153846153</v>
      </c>
    </row>
    <row r="101" spans="2:8" ht="13" x14ac:dyDescent="0.3">
      <c r="C101" s="610"/>
      <c r="D101" s="702"/>
      <c r="E101" s="626"/>
      <c r="G101" s="1242"/>
      <c r="H101" s="1263"/>
    </row>
    <row r="103" spans="2:8" ht="13" x14ac:dyDescent="0.3">
      <c r="B103" s="564">
        <v>33</v>
      </c>
      <c r="C103" s="534" t="s">
        <v>1257</v>
      </c>
      <c r="E103" s="1060">
        <f>SUM(E68:E102)</f>
        <v>1302496.0172211039</v>
      </c>
      <c r="F103" s="609">
        <f>SUM(F68:F102)</f>
        <v>0</v>
      </c>
      <c r="G103" s="609">
        <f>SUM(G68:G102)</f>
        <v>46888.743999999999</v>
      </c>
      <c r="H103" s="1051">
        <f>+G103/2080</f>
        <v>22.542665384615383</v>
      </c>
    </row>
    <row r="107" spans="2:8" x14ac:dyDescent="0.25">
      <c r="G107" s="537"/>
    </row>
  </sheetData>
  <pageMargins left="0.45" right="0.45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9E42E-BA77-4672-9E58-98B9DD7262A2}">
  <sheetPr>
    <tabColor rgb="FF92D050"/>
  </sheetPr>
  <dimension ref="A1:P63"/>
  <sheetViews>
    <sheetView zoomScaleNormal="100" workbookViewId="0">
      <selection activeCell="R15" sqref="R15"/>
    </sheetView>
  </sheetViews>
  <sheetFormatPr defaultColWidth="9.7265625" defaultRowHeight="13" x14ac:dyDescent="0.3"/>
  <cols>
    <col min="1" max="1" width="4.26953125" style="12" customWidth="1"/>
    <col min="2" max="2" width="9.7265625" style="12" customWidth="1"/>
    <col min="3" max="3" width="1.7265625" style="12" customWidth="1"/>
    <col min="4" max="4" width="9.7265625" style="12"/>
    <col min="5" max="5" width="8" style="12" customWidth="1"/>
    <col min="6" max="6" width="9.7265625" style="12"/>
    <col min="7" max="7" width="1.7265625" style="12" customWidth="1"/>
    <col min="8" max="8" width="11.26953125" style="12" customWidth="1"/>
    <col min="9" max="9" width="0.81640625" style="12" customWidth="1"/>
    <col min="10" max="10" width="10.81640625" style="12" customWidth="1"/>
    <col min="11" max="11" width="9.7265625" style="12"/>
    <col min="12" max="12" width="1.7265625" style="12" customWidth="1"/>
    <col min="13" max="13" width="10.1796875" style="12" bestFit="1" customWidth="1"/>
    <col min="14" max="14" width="12.1796875" style="12" customWidth="1"/>
    <col min="15" max="15" width="12" style="12" customWidth="1"/>
    <col min="16" max="16384" width="9.7265625" style="12"/>
  </cols>
  <sheetData>
    <row r="1" spans="1:16" ht="13.5" x14ac:dyDescent="0.35">
      <c r="A1" s="1396" t="s">
        <v>45</v>
      </c>
      <c r="B1" s="1396"/>
      <c r="C1" s="1396"/>
      <c r="D1" s="1396"/>
      <c r="E1" s="1396"/>
      <c r="F1" s="1396"/>
      <c r="G1" s="1396"/>
      <c r="H1" s="1396"/>
      <c r="I1" s="1396"/>
      <c r="J1" s="1396"/>
      <c r="K1" s="1396"/>
      <c r="L1" s="1396"/>
      <c r="M1" s="1396"/>
      <c r="N1" s="1396"/>
      <c r="O1" s="1396"/>
      <c r="P1" s="75"/>
    </row>
    <row r="2" spans="1:16" ht="13.5" x14ac:dyDescent="0.35">
      <c r="A2" s="1396" t="s">
        <v>46</v>
      </c>
      <c r="B2" s="1396"/>
      <c r="C2" s="1396"/>
      <c r="D2" s="1396"/>
      <c r="E2" s="1396"/>
      <c r="F2" s="1396"/>
      <c r="G2" s="1396"/>
      <c r="H2" s="1396"/>
      <c r="I2" s="1396"/>
      <c r="J2" s="1396"/>
      <c r="K2" s="1396"/>
      <c r="L2" s="1396"/>
      <c r="M2" s="1396"/>
      <c r="N2" s="1396"/>
      <c r="O2" s="1396"/>
      <c r="P2" s="75"/>
    </row>
    <row r="3" spans="1:16" ht="13.5" x14ac:dyDescent="0.35">
      <c r="A3" s="1396" t="s">
        <v>47</v>
      </c>
      <c r="B3" s="1396"/>
      <c r="C3" s="1396"/>
      <c r="D3" s="1396"/>
      <c r="E3" s="1396"/>
      <c r="F3" s="1396"/>
      <c r="G3" s="1396"/>
      <c r="H3" s="1396"/>
      <c r="I3" s="1396"/>
      <c r="J3" s="1396"/>
      <c r="K3" s="1396"/>
      <c r="L3" s="1396"/>
      <c r="M3" s="1396"/>
      <c r="N3" s="1396"/>
      <c r="O3" s="1396"/>
      <c r="P3" s="75"/>
    </row>
    <row r="4" spans="1:16" ht="13.5" x14ac:dyDescent="0.35">
      <c r="A4" s="1396" t="s">
        <v>48</v>
      </c>
      <c r="B4" s="1396"/>
      <c r="C4" s="1396"/>
      <c r="D4" s="1396"/>
      <c r="E4" s="1396"/>
      <c r="F4" s="1396"/>
      <c r="G4" s="1396"/>
      <c r="H4" s="1396"/>
      <c r="I4" s="1396"/>
      <c r="J4" s="1396"/>
      <c r="K4" s="1396"/>
      <c r="L4" s="1396"/>
      <c r="M4" s="1396"/>
      <c r="N4" s="1396"/>
      <c r="O4" s="1396"/>
      <c r="P4" s="75"/>
    </row>
    <row r="5" spans="1:16" ht="14" thickBot="1" x14ac:dyDescent="0.4"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76"/>
    </row>
    <row r="6" spans="1:16" ht="27.75" customHeight="1" x14ac:dyDescent="0.3">
      <c r="A6" s="199"/>
      <c r="B6" s="77" t="s">
        <v>54</v>
      </c>
      <c r="C6" s="77"/>
      <c r="D6" s="77"/>
      <c r="E6" s="78" t="s">
        <v>6</v>
      </c>
      <c r="F6" s="1389">
        <f>'P1 Info &amp; Certification'!L20</f>
        <v>45108</v>
      </c>
      <c r="G6" s="1389"/>
      <c r="H6" s="1389"/>
      <c r="I6" s="82"/>
      <c r="J6" s="79"/>
      <c r="K6" s="78" t="s">
        <v>7</v>
      </c>
      <c r="L6" s="77"/>
      <c r="M6" s="1389">
        <f>'P1 Info &amp; Certification'!N20</f>
        <v>45473</v>
      </c>
      <c r="N6" s="1389"/>
      <c r="O6" s="80"/>
      <c r="P6" s="32"/>
    </row>
    <row r="7" spans="1:16" x14ac:dyDescent="0.3">
      <c r="A7" s="83"/>
      <c r="B7" s="458"/>
      <c r="C7" s="45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81"/>
      <c r="P7" s="13"/>
    </row>
    <row r="8" spans="1:16" ht="26.25" customHeight="1" thickBot="1" x14ac:dyDescent="0.35">
      <c r="A8" s="181"/>
      <c r="B8" s="84" t="s">
        <v>59</v>
      </c>
      <c r="C8" s="200"/>
      <c r="D8" s="200"/>
      <c r="E8" s="1397" t="str">
        <f>'P1 Info &amp; Certification'!E12</f>
        <v>COMMUNITY HEALTH CENTER, INC.</v>
      </c>
      <c r="F8" s="1397"/>
      <c r="G8" s="1397"/>
      <c r="H8" s="1397"/>
      <c r="I8" s="1397"/>
      <c r="J8" s="1397"/>
      <c r="K8" s="1397"/>
      <c r="L8" s="1397"/>
      <c r="M8" s="1397"/>
      <c r="N8" s="1397"/>
      <c r="O8" s="1398"/>
    </row>
    <row r="9" spans="1:16" ht="16" customHeight="1" thickBot="1" x14ac:dyDescent="0.35">
      <c r="A9" s="13"/>
      <c r="B9" s="1392"/>
      <c r="C9" s="1392"/>
      <c r="D9" s="1392"/>
      <c r="E9" s="1392"/>
      <c r="F9" s="1392"/>
      <c r="G9" s="1392"/>
      <c r="H9" s="1392"/>
      <c r="I9" s="1392"/>
      <c r="J9" s="1392"/>
      <c r="K9" s="1392"/>
      <c r="L9" s="1392"/>
      <c r="M9" s="1392"/>
      <c r="N9" s="1392"/>
      <c r="O9" s="1392"/>
      <c r="P9" s="13"/>
    </row>
    <row r="10" spans="1:16" ht="42" customHeight="1" thickBot="1" x14ac:dyDescent="0.35">
      <c r="A10" s="421" t="s">
        <v>56</v>
      </c>
      <c r="B10" s="1399" t="s">
        <v>341</v>
      </c>
      <c r="C10" s="1399"/>
      <c r="D10" s="1399"/>
      <c r="E10" s="1399"/>
      <c r="F10" s="1399"/>
      <c r="G10" s="1399"/>
      <c r="H10" s="1399"/>
      <c r="I10" s="1399"/>
      <c r="J10" s="1399"/>
      <c r="K10" s="1399"/>
      <c r="L10" s="1399"/>
      <c r="M10" s="1399"/>
      <c r="N10" s="1399"/>
      <c r="O10" s="1400"/>
    </row>
    <row r="11" spans="1:16" s="15" customFormat="1" ht="30.75" customHeight="1" x14ac:dyDescent="0.3">
      <c r="A11" s="1410" t="s">
        <v>32</v>
      </c>
      <c r="B11" s="1405"/>
      <c r="C11" s="1405"/>
      <c r="D11" s="1405"/>
      <c r="E11" s="1406"/>
      <c r="F11" s="1404" t="s">
        <v>58</v>
      </c>
      <c r="G11" s="1405"/>
      <c r="H11" s="1405"/>
      <c r="I11" s="1405"/>
      <c r="J11" s="1406"/>
      <c r="K11" s="1407" t="s">
        <v>289</v>
      </c>
      <c r="L11" s="1408"/>
      <c r="M11" s="1409"/>
      <c r="N11" s="1390" t="s">
        <v>57</v>
      </c>
      <c r="O11" s="1391"/>
    </row>
    <row r="12" spans="1:16" ht="28.5" customHeight="1" x14ac:dyDescent="0.3">
      <c r="A12" s="1393" t="s">
        <v>367</v>
      </c>
      <c r="B12" s="1394"/>
      <c r="C12" s="1394"/>
      <c r="D12" s="1394"/>
      <c r="E12" s="1395"/>
      <c r="F12" s="1377" t="s">
        <v>368</v>
      </c>
      <c r="G12" s="1377"/>
      <c r="H12" s="1377"/>
      <c r="I12" s="1377"/>
      <c r="J12" s="1377"/>
      <c r="K12" s="1380" t="s">
        <v>369</v>
      </c>
      <c r="L12" s="1381"/>
      <c r="M12" s="1382"/>
      <c r="N12" s="1378" t="s">
        <v>370</v>
      </c>
      <c r="O12" s="1379"/>
    </row>
    <row r="13" spans="1:16" ht="28.5" customHeight="1" x14ac:dyDescent="0.3">
      <c r="A13" s="1393" t="s">
        <v>367</v>
      </c>
      <c r="B13" s="1394"/>
      <c r="C13" s="1394"/>
      <c r="D13" s="1394"/>
      <c r="E13" s="1395"/>
      <c r="F13" s="1377" t="s">
        <v>371</v>
      </c>
      <c r="G13" s="1377"/>
      <c r="H13" s="1377"/>
      <c r="I13" s="1377"/>
      <c r="J13" s="1377"/>
      <c r="K13" s="1380" t="s">
        <v>369</v>
      </c>
      <c r="L13" s="1381"/>
      <c r="M13" s="1382"/>
      <c r="N13" s="1378" t="s">
        <v>372</v>
      </c>
      <c r="O13" s="1379"/>
    </row>
    <row r="14" spans="1:16" ht="28.5" customHeight="1" x14ac:dyDescent="0.3">
      <c r="A14" s="1393" t="s">
        <v>367</v>
      </c>
      <c r="B14" s="1394"/>
      <c r="C14" s="1394"/>
      <c r="D14" s="1394"/>
      <c r="E14" s="1395"/>
      <c r="F14" s="1377" t="s">
        <v>373</v>
      </c>
      <c r="G14" s="1377"/>
      <c r="H14" s="1377"/>
      <c r="I14" s="1377"/>
      <c r="J14" s="1377"/>
      <c r="K14" s="1380" t="s">
        <v>369</v>
      </c>
      <c r="L14" s="1381"/>
      <c r="M14" s="1382"/>
      <c r="N14" s="1378" t="s">
        <v>374</v>
      </c>
      <c r="O14" s="1379"/>
    </row>
    <row r="15" spans="1:16" ht="28.5" customHeight="1" x14ac:dyDescent="0.3">
      <c r="A15" s="1393" t="s">
        <v>367</v>
      </c>
      <c r="B15" s="1394"/>
      <c r="C15" s="1394"/>
      <c r="D15" s="1394"/>
      <c r="E15" s="1395"/>
      <c r="F15" s="1377" t="s">
        <v>375</v>
      </c>
      <c r="G15" s="1377"/>
      <c r="H15" s="1377"/>
      <c r="I15" s="1377"/>
      <c r="J15" s="1377"/>
      <c r="K15" s="1380" t="s">
        <v>369</v>
      </c>
      <c r="L15" s="1381"/>
      <c r="M15" s="1382"/>
      <c r="N15" s="1378" t="s">
        <v>376</v>
      </c>
      <c r="O15" s="1379"/>
    </row>
    <row r="16" spans="1:16" ht="28.5" customHeight="1" x14ac:dyDescent="0.3">
      <c r="A16" s="1393" t="s">
        <v>367</v>
      </c>
      <c r="B16" s="1394"/>
      <c r="C16" s="1394"/>
      <c r="D16" s="1394"/>
      <c r="E16" s="1395"/>
      <c r="F16" s="1377" t="s">
        <v>377</v>
      </c>
      <c r="G16" s="1377"/>
      <c r="H16" s="1377"/>
      <c r="I16" s="1377"/>
      <c r="J16" s="1377"/>
      <c r="K16" s="1380" t="s">
        <v>369</v>
      </c>
      <c r="L16" s="1381"/>
      <c r="M16" s="1382"/>
      <c r="N16" s="1378" t="s">
        <v>378</v>
      </c>
      <c r="O16" s="1379"/>
    </row>
    <row r="17" spans="1:15" ht="28.5" customHeight="1" x14ac:dyDescent="0.3">
      <c r="A17" s="1393" t="s">
        <v>367</v>
      </c>
      <c r="B17" s="1394"/>
      <c r="C17" s="1394"/>
      <c r="D17" s="1394"/>
      <c r="E17" s="1395"/>
      <c r="F17" s="1377" t="s">
        <v>379</v>
      </c>
      <c r="G17" s="1377"/>
      <c r="H17" s="1377"/>
      <c r="I17" s="1377"/>
      <c r="J17" s="1377"/>
      <c r="K17" s="1380" t="s">
        <v>369</v>
      </c>
      <c r="L17" s="1381"/>
      <c r="M17" s="1382"/>
      <c r="N17" s="1378" t="s">
        <v>380</v>
      </c>
      <c r="O17" s="1379"/>
    </row>
    <row r="18" spans="1:15" ht="28.5" customHeight="1" x14ac:dyDescent="0.3">
      <c r="A18" s="1393" t="s">
        <v>367</v>
      </c>
      <c r="B18" s="1394"/>
      <c r="C18" s="1394"/>
      <c r="D18" s="1394"/>
      <c r="E18" s="1395"/>
      <c r="F18" s="1377" t="s">
        <v>381</v>
      </c>
      <c r="G18" s="1377"/>
      <c r="H18" s="1377"/>
      <c r="I18" s="1377"/>
      <c r="J18" s="1377"/>
      <c r="K18" s="1380" t="s">
        <v>369</v>
      </c>
      <c r="L18" s="1381"/>
      <c r="M18" s="1382"/>
      <c r="N18" s="1378" t="s">
        <v>382</v>
      </c>
      <c r="O18" s="1379"/>
    </row>
    <row r="19" spans="1:15" ht="28.5" customHeight="1" x14ac:dyDescent="0.3">
      <c r="A19" s="1393" t="s">
        <v>367</v>
      </c>
      <c r="B19" s="1394"/>
      <c r="C19" s="1394"/>
      <c r="D19" s="1394"/>
      <c r="E19" s="1395"/>
      <c r="F19" s="1377" t="s">
        <v>383</v>
      </c>
      <c r="G19" s="1377"/>
      <c r="H19" s="1377"/>
      <c r="I19" s="1377"/>
      <c r="J19" s="1377"/>
      <c r="K19" s="1380" t="s">
        <v>369</v>
      </c>
      <c r="L19" s="1381"/>
      <c r="M19" s="1382"/>
      <c r="N19" s="1378" t="s">
        <v>384</v>
      </c>
      <c r="O19" s="1379"/>
    </row>
    <row r="20" spans="1:15" ht="28.5" customHeight="1" x14ac:dyDescent="0.3">
      <c r="A20" s="1393" t="s">
        <v>367</v>
      </c>
      <c r="B20" s="1394"/>
      <c r="C20" s="1394"/>
      <c r="D20" s="1394"/>
      <c r="E20" s="1395"/>
      <c r="F20" s="1377" t="s">
        <v>385</v>
      </c>
      <c r="G20" s="1377"/>
      <c r="H20" s="1377"/>
      <c r="I20" s="1377"/>
      <c r="J20" s="1377"/>
      <c r="K20" s="1380" t="s">
        <v>369</v>
      </c>
      <c r="L20" s="1381"/>
      <c r="M20" s="1382"/>
      <c r="N20" s="1378" t="s">
        <v>386</v>
      </c>
      <c r="O20" s="1379"/>
    </row>
    <row r="21" spans="1:15" ht="28.5" customHeight="1" x14ac:dyDescent="0.3">
      <c r="A21" s="1393" t="s">
        <v>367</v>
      </c>
      <c r="B21" s="1394"/>
      <c r="C21" s="1394"/>
      <c r="D21" s="1394"/>
      <c r="E21" s="1395"/>
      <c r="F21" s="1377" t="s">
        <v>387</v>
      </c>
      <c r="G21" s="1377"/>
      <c r="H21" s="1377"/>
      <c r="I21" s="1377"/>
      <c r="J21" s="1377"/>
      <c r="K21" s="1380" t="s">
        <v>369</v>
      </c>
      <c r="L21" s="1381"/>
      <c r="M21" s="1382"/>
      <c r="N21" s="1378" t="s">
        <v>388</v>
      </c>
      <c r="O21" s="1379"/>
    </row>
    <row r="22" spans="1:15" ht="28.5" customHeight="1" x14ac:dyDescent="0.3">
      <c r="A22" s="1393" t="s">
        <v>367</v>
      </c>
      <c r="B22" s="1394"/>
      <c r="C22" s="1394"/>
      <c r="D22" s="1394"/>
      <c r="E22" s="1395"/>
      <c r="F22" s="1377" t="s">
        <v>389</v>
      </c>
      <c r="G22" s="1377"/>
      <c r="H22" s="1377"/>
      <c r="I22" s="1377"/>
      <c r="J22" s="1377"/>
      <c r="K22" s="1380" t="s">
        <v>369</v>
      </c>
      <c r="L22" s="1381"/>
      <c r="M22" s="1382"/>
      <c r="N22" s="1378" t="s">
        <v>390</v>
      </c>
      <c r="O22" s="1379"/>
    </row>
    <row r="23" spans="1:15" ht="28.5" customHeight="1" x14ac:dyDescent="0.3">
      <c r="A23" s="1393" t="s">
        <v>367</v>
      </c>
      <c r="B23" s="1394"/>
      <c r="C23" s="1394"/>
      <c r="D23" s="1394"/>
      <c r="E23" s="1395"/>
      <c r="F23" s="1377" t="s">
        <v>391</v>
      </c>
      <c r="G23" s="1377"/>
      <c r="H23" s="1377"/>
      <c r="I23" s="1377"/>
      <c r="J23" s="1377"/>
      <c r="K23" s="1380" t="s">
        <v>369</v>
      </c>
      <c r="L23" s="1381"/>
      <c r="M23" s="1382"/>
      <c r="N23" s="1378" t="s">
        <v>392</v>
      </c>
      <c r="O23" s="1379"/>
    </row>
    <row r="24" spans="1:15" ht="28.5" customHeight="1" x14ac:dyDescent="0.3">
      <c r="A24" s="1401" t="s">
        <v>393</v>
      </c>
      <c r="B24" s="1381"/>
      <c r="C24" s="1381"/>
      <c r="D24" s="1381"/>
      <c r="E24" s="1382"/>
      <c r="F24" s="1377" t="s">
        <v>394</v>
      </c>
      <c r="G24" s="1377"/>
      <c r="H24" s="1377"/>
      <c r="I24" s="1377"/>
      <c r="J24" s="1377"/>
      <c r="K24" s="1380" t="s">
        <v>369</v>
      </c>
      <c r="L24" s="1381"/>
      <c r="M24" s="1382"/>
      <c r="N24" s="1378" t="s">
        <v>395</v>
      </c>
      <c r="O24" s="1379"/>
    </row>
    <row r="25" spans="1:15" ht="28.5" customHeight="1" x14ac:dyDescent="0.3">
      <c r="A25" s="1401" t="s">
        <v>396</v>
      </c>
      <c r="B25" s="1381"/>
      <c r="C25" s="1381"/>
      <c r="D25" s="1381"/>
      <c r="E25" s="1382"/>
      <c r="F25" s="1377" t="s">
        <v>397</v>
      </c>
      <c r="G25" s="1377"/>
      <c r="H25" s="1377"/>
      <c r="I25" s="1377"/>
      <c r="J25" s="1377"/>
      <c r="K25" s="1380" t="s">
        <v>369</v>
      </c>
      <c r="L25" s="1381"/>
      <c r="M25" s="1382"/>
      <c r="N25" s="1378" t="s">
        <v>395</v>
      </c>
      <c r="O25" s="1379"/>
    </row>
    <row r="26" spans="1:15" ht="28.5" customHeight="1" x14ac:dyDescent="0.3">
      <c r="A26" s="1401" t="s">
        <v>398</v>
      </c>
      <c r="B26" s="1381"/>
      <c r="C26" s="1381"/>
      <c r="D26" s="1381"/>
      <c r="E26" s="1382"/>
      <c r="F26" s="1377" t="s">
        <v>399</v>
      </c>
      <c r="G26" s="1377"/>
      <c r="H26" s="1377"/>
      <c r="I26" s="1377"/>
      <c r="J26" s="1377"/>
      <c r="K26" s="1380" t="s">
        <v>369</v>
      </c>
      <c r="L26" s="1381"/>
      <c r="M26" s="1382"/>
      <c r="N26" s="1378" t="s">
        <v>395</v>
      </c>
      <c r="O26" s="1379"/>
    </row>
    <row r="27" spans="1:15" ht="28.5" customHeight="1" x14ac:dyDescent="0.3">
      <c r="A27" s="1401" t="s">
        <v>400</v>
      </c>
      <c r="B27" s="1381"/>
      <c r="C27" s="1381"/>
      <c r="D27" s="1381"/>
      <c r="E27" s="1382"/>
      <c r="F27" s="1377" t="s">
        <v>401</v>
      </c>
      <c r="G27" s="1377"/>
      <c r="H27" s="1377"/>
      <c r="I27" s="1377"/>
      <c r="J27" s="1377"/>
      <c r="K27" s="1380" t="s">
        <v>369</v>
      </c>
      <c r="L27" s="1381"/>
      <c r="M27" s="1382"/>
      <c r="N27" s="1378" t="s">
        <v>395</v>
      </c>
      <c r="O27" s="1379"/>
    </row>
    <row r="28" spans="1:15" ht="28.5" customHeight="1" x14ac:dyDescent="0.3">
      <c r="A28" s="1401" t="s">
        <v>402</v>
      </c>
      <c r="B28" s="1381"/>
      <c r="C28" s="1381"/>
      <c r="D28" s="1381"/>
      <c r="E28" s="1382"/>
      <c r="F28" s="1377" t="s">
        <v>403</v>
      </c>
      <c r="G28" s="1377"/>
      <c r="H28" s="1377"/>
      <c r="I28" s="1377"/>
      <c r="J28" s="1377"/>
      <c r="K28" s="1380" t="s">
        <v>369</v>
      </c>
      <c r="L28" s="1381"/>
      <c r="M28" s="1382"/>
      <c r="N28" s="1378" t="s">
        <v>395</v>
      </c>
      <c r="O28" s="1379"/>
    </row>
    <row r="29" spans="1:15" ht="28.5" customHeight="1" x14ac:dyDescent="0.3">
      <c r="A29" s="1401" t="s">
        <v>404</v>
      </c>
      <c r="B29" s="1381"/>
      <c r="C29" s="1381"/>
      <c r="D29" s="1381"/>
      <c r="E29" s="1382"/>
      <c r="F29" s="1377" t="s">
        <v>405</v>
      </c>
      <c r="G29" s="1377"/>
      <c r="H29" s="1377"/>
      <c r="I29" s="1377"/>
      <c r="J29" s="1377"/>
      <c r="K29" s="1380" t="s">
        <v>369</v>
      </c>
      <c r="L29" s="1381"/>
      <c r="M29" s="1382"/>
      <c r="N29" s="1378" t="s">
        <v>406</v>
      </c>
      <c r="O29" s="1379"/>
    </row>
    <row r="30" spans="1:15" ht="28.5" customHeight="1" x14ac:dyDescent="0.3">
      <c r="A30" s="1401" t="s">
        <v>407</v>
      </c>
      <c r="B30" s="1381"/>
      <c r="C30" s="1381"/>
      <c r="D30" s="1381"/>
      <c r="E30" s="1382"/>
      <c r="F30" s="1377" t="s">
        <v>408</v>
      </c>
      <c r="G30" s="1377"/>
      <c r="H30" s="1377"/>
      <c r="I30" s="1377"/>
      <c r="J30" s="1377"/>
      <c r="K30" s="1380" t="s">
        <v>369</v>
      </c>
      <c r="L30" s="1381"/>
      <c r="M30" s="1382"/>
      <c r="N30" s="1378" t="s">
        <v>395</v>
      </c>
      <c r="O30" s="1379"/>
    </row>
    <row r="31" spans="1:15" ht="28.5" customHeight="1" thickBot="1" x14ac:dyDescent="0.35">
      <c r="A31" s="1411" t="s">
        <v>367</v>
      </c>
      <c r="B31" s="1412"/>
      <c r="C31" s="1412"/>
      <c r="D31" s="1412"/>
      <c r="E31" s="1412"/>
      <c r="F31" s="1387" t="s">
        <v>409</v>
      </c>
      <c r="G31" s="1387"/>
      <c r="H31" s="1387"/>
      <c r="I31" s="1387"/>
      <c r="J31" s="1387"/>
      <c r="K31" s="1387" t="s">
        <v>369</v>
      </c>
      <c r="L31" s="1387"/>
      <c r="M31" s="1387"/>
      <c r="N31" s="1387">
        <v>1093163883</v>
      </c>
      <c r="O31" s="1388"/>
    </row>
    <row r="32" spans="1:15" ht="30" customHeight="1" thickBot="1" x14ac:dyDescent="0.35">
      <c r="A32" s="509" t="s">
        <v>161</v>
      </c>
      <c r="B32" s="1385" t="s">
        <v>296</v>
      </c>
      <c r="C32" s="1385"/>
      <c r="D32" s="1385"/>
      <c r="E32" s="1385"/>
      <c r="F32" s="1385"/>
      <c r="G32" s="1385"/>
      <c r="H32" s="1385"/>
      <c r="I32" s="1385"/>
      <c r="J32" s="1385"/>
      <c r="K32" s="1385"/>
      <c r="L32" s="1385"/>
      <c r="M32" s="1385"/>
      <c r="N32" s="1385"/>
      <c r="O32" s="1386"/>
    </row>
    <row r="33" spans="1:15" ht="14.25" customHeight="1" x14ac:dyDescent="0.3">
      <c r="A33" s="510" t="s">
        <v>295</v>
      </c>
      <c r="B33" s="511"/>
      <c r="C33" s="511"/>
      <c r="D33" s="511"/>
      <c r="E33" s="511"/>
      <c r="F33" s="511"/>
      <c r="G33" s="511"/>
      <c r="H33" s="511"/>
      <c r="I33" s="511"/>
      <c r="J33" s="511"/>
      <c r="K33" s="511"/>
      <c r="L33" s="511"/>
      <c r="M33" s="511"/>
      <c r="N33" s="511"/>
      <c r="O33" s="512"/>
    </row>
    <row r="34" spans="1:15" ht="36" customHeight="1" thickBot="1" x14ac:dyDescent="0.35">
      <c r="A34" s="1402" t="s">
        <v>300</v>
      </c>
      <c r="B34" s="1403"/>
      <c r="C34" s="1403"/>
      <c r="D34" s="1403"/>
      <c r="E34" s="1403"/>
      <c r="F34" s="1403"/>
      <c r="G34" s="1403"/>
      <c r="H34" s="1403"/>
      <c r="I34" s="1403"/>
      <c r="J34" s="1403"/>
      <c r="K34" s="1403"/>
      <c r="L34" s="1403"/>
      <c r="M34" s="1403"/>
      <c r="N34" s="1383" t="s">
        <v>410</v>
      </c>
      <c r="O34" s="1384"/>
    </row>
    <row r="35" spans="1:15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60" spans="1:1" x14ac:dyDescent="0.3">
      <c r="A60" s="422" t="s">
        <v>300</v>
      </c>
    </row>
    <row r="61" spans="1:1" x14ac:dyDescent="0.3">
      <c r="A61" s="422" t="s">
        <v>298</v>
      </c>
    </row>
    <row r="62" spans="1:1" x14ac:dyDescent="0.3">
      <c r="A62" s="422" t="s">
        <v>299</v>
      </c>
    </row>
    <row r="63" spans="1:1" x14ac:dyDescent="0.3">
      <c r="A63" s="422" t="s">
        <v>297</v>
      </c>
    </row>
  </sheetData>
  <sheetProtection password="E1AE" sheet="1"/>
  <mergeCells count="96">
    <mergeCell ref="A34:M34"/>
    <mergeCell ref="F11:J11"/>
    <mergeCell ref="K11:M11"/>
    <mergeCell ref="A11:E11"/>
    <mergeCell ref="F29:J29"/>
    <mergeCell ref="K29:M29"/>
    <mergeCell ref="F21:J21"/>
    <mergeCell ref="K21:M21"/>
    <mergeCell ref="K23:M23"/>
    <mergeCell ref="A31:E31"/>
    <mergeCell ref="A1:O1"/>
    <mergeCell ref="A2:O2"/>
    <mergeCell ref="A4:O4"/>
    <mergeCell ref="N12:O12"/>
    <mergeCell ref="K19:M19"/>
    <mergeCell ref="A20:E20"/>
    <mergeCell ref="A19:E19"/>
    <mergeCell ref="N20:O20"/>
    <mergeCell ref="K20:M20"/>
    <mergeCell ref="N19:O19"/>
    <mergeCell ref="A30:E30"/>
    <mergeCell ref="A26:E26"/>
    <mergeCell ref="A28:E28"/>
    <mergeCell ref="A27:E27"/>
    <mergeCell ref="A21:E21"/>
    <mergeCell ref="A22:E22"/>
    <mergeCell ref="A25:E25"/>
    <mergeCell ref="A23:E23"/>
    <mergeCell ref="A24:E24"/>
    <mergeCell ref="A29:E29"/>
    <mergeCell ref="N23:O23"/>
    <mergeCell ref="A17:E17"/>
    <mergeCell ref="A18:E18"/>
    <mergeCell ref="F18:J18"/>
    <mergeCell ref="K18:M18"/>
    <mergeCell ref="F17:J17"/>
    <mergeCell ref="K17:M17"/>
    <mergeCell ref="F20:J20"/>
    <mergeCell ref="N21:O21"/>
    <mergeCell ref="F19:J19"/>
    <mergeCell ref="A14:E14"/>
    <mergeCell ref="A15:E15"/>
    <mergeCell ref="A12:E12"/>
    <mergeCell ref="A16:E16"/>
    <mergeCell ref="K16:M16"/>
    <mergeCell ref="K12:M12"/>
    <mergeCell ref="F12:J12"/>
    <mergeCell ref="K14:M14"/>
    <mergeCell ref="F16:J16"/>
    <mergeCell ref="K13:M13"/>
    <mergeCell ref="A3:O3"/>
    <mergeCell ref="M6:N6"/>
    <mergeCell ref="E8:O8"/>
    <mergeCell ref="K22:M22"/>
    <mergeCell ref="F22:J22"/>
    <mergeCell ref="F13:J13"/>
    <mergeCell ref="F14:J14"/>
    <mergeCell ref="N13:O13"/>
    <mergeCell ref="N14:O14"/>
    <mergeCell ref="B10:O10"/>
    <mergeCell ref="F6:H6"/>
    <mergeCell ref="N11:O11"/>
    <mergeCell ref="B9:O9"/>
    <mergeCell ref="N18:O18"/>
    <mergeCell ref="N15:O15"/>
    <mergeCell ref="N16:O16"/>
    <mergeCell ref="F15:J15"/>
    <mergeCell ref="K15:M15"/>
    <mergeCell ref="N17:O17"/>
    <mergeCell ref="A13:E13"/>
    <mergeCell ref="K25:M25"/>
    <mergeCell ref="K27:M27"/>
    <mergeCell ref="N27:O27"/>
    <mergeCell ref="N30:O30"/>
    <mergeCell ref="N29:O29"/>
    <mergeCell ref="N25:O25"/>
    <mergeCell ref="N34:O34"/>
    <mergeCell ref="B32:O32"/>
    <mergeCell ref="F31:J31"/>
    <mergeCell ref="F28:J28"/>
    <mergeCell ref="K28:M28"/>
    <mergeCell ref="F26:J26"/>
    <mergeCell ref="K26:M26"/>
    <mergeCell ref="N26:O26"/>
    <mergeCell ref="K31:M31"/>
    <mergeCell ref="N31:O31"/>
    <mergeCell ref="F23:J23"/>
    <mergeCell ref="N22:O22"/>
    <mergeCell ref="F24:J24"/>
    <mergeCell ref="N28:O28"/>
    <mergeCell ref="F30:J30"/>
    <mergeCell ref="K30:M30"/>
    <mergeCell ref="F27:J27"/>
    <mergeCell ref="K24:M24"/>
    <mergeCell ref="N24:O24"/>
    <mergeCell ref="F25:J25"/>
  </mergeCells>
  <dataValidations disablePrompts="1" count="1">
    <dataValidation type="list" allowBlank="1" showInputMessage="1" showErrorMessage="1" prompt="Select One:" sqref="A34:M34" xr:uid="{5E7D83E9-843F-4B5B-A3E5-51540A612B2A}">
      <formula1>$A$60:$A$63</formula1>
    </dataValidation>
  </dataValidations>
  <printOptions horizontalCentered="1"/>
  <pageMargins left="0.5" right="0.5" top="0.25" bottom="0" header="0.5" footer="0.25"/>
  <pageSetup scale="80" orientation="portrait" r:id="rId1"/>
  <headerFooter alignWithMargins="0">
    <oddFooter>&amp;LDSS-16 10-24-2016&amp;RPage 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3E5B-9729-4928-80D6-DFC5C47B54C1}">
  <sheetPr>
    <tabColor rgb="FF92D050"/>
    <pageSetUpPr fitToPage="1"/>
  </sheetPr>
  <dimension ref="A1:R41"/>
  <sheetViews>
    <sheetView topLeftCell="A22" zoomScaleNormal="100" workbookViewId="0">
      <selection activeCell="E32" sqref="E32"/>
    </sheetView>
  </sheetViews>
  <sheetFormatPr defaultColWidth="9.1796875" defaultRowHeight="12.5" x14ac:dyDescent="0.25"/>
  <cols>
    <col min="1" max="1" width="3.54296875" style="155" customWidth="1"/>
    <col min="2" max="2" width="16.453125" style="14" customWidth="1"/>
    <col min="3" max="3" width="28.453125" style="14" customWidth="1"/>
    <col min="4" max="4" width="15.453125" style="14" customWidth="1"/>
    <col min="5" max="5" width="16.453125" style="14" customWidth="1"/>
    <col min="6" max="6" width="17.453125" style="14" customWidth="1"/>
    <col min="7" max="7" width="17.7265625" style="14" customWidth="1"/>
    <col min="8" max="8" width="16.54296875" style="14" customWidth="1"/>
    <col min="9" max="16384" width="9.1796875" style="14"/>
  </cols>
  <sheetData>
    <row r="1" spans="1:18" ht="13.5" x14ac:dyDescent="0.35">
      <c r="A1" s="1396" t="s">
        <v>45</v>
      </c>
      <c r="B1" s="1396"/>
      <c r="C1" s="1396"/>
      <c r="D1" s="1396"/>
      <c r="E1" s="1396"/>
      <c r="F1" s="1396"/>
      <c r="G1" s="1396"/>
      <c r="H1" s="1396"/>
      <c r="I1" s="75"/>
      <c r="J1" s="75"/>
      <c r="K1" s="75"/>
      <c r="L1" s="75"/>
      <c r="M1" s="75"/>
      <c r="N1" s="75"/>
      <c r="O1" s="75"/>
      <c r="P1" s="75"/>
      <c r="Q1" s="75"/>
    </row>
    <row r="2" spans="1:18" ht="13.5" x14ac:dyDescent="0.35">
      <c r="A2" s="1396" t="s">
        <v>46</v>
      </c>
      <c r="B2" s="1396"/>
      <c r="C2" s="1396"/>
      <c r="D2" s="1396"/>
      <c r="E2" s="1396"/>
      <c r="F2" s="1396"/>
      <c r="G2" s="1396"/>
      <c r="H2" s="1396"/>
      <c r="I2" s="75"/>
      <c r="J2" s="75"/>
      <c r="K2" s="75"/>
      <c r="L2" s="75"/>
      <c r="M2" s="75"/>
      <c r="N2" s="75"/>
      <c r="O2" s="75"/>
      <c r="P2" s="75"/>
      <c r="Q2" s="75"/>
    </row>
    <row r="3" spans="1:18" ht="13.5" x14ac:dyDescent="0.35">
      <c r="A3" s="1396" t="s">
        <v>47</v>
      </c>
      <c r="B3" s="1396"/>
      <c r="C3" s="1396"/>
      <c r="D3" s="1396"/>
      <c r="E3" s="1396"/>
      <c r="F3" s="1396"/>
      <c r="G3" s="1396"/>
      <c r="H3" s="1396"/>
      <c r="I3" s="75"/>
      <c r="J3" s="75"/>
      <c r="K3" s="75"/>
      <c r="L3" s="75"/>
      <c r="M3" s="75"/>
      <c r="N3" s="75"/>
      <c r="O3" s="75"/>
      <c r="P3" s="75"/>
      <c r="Q3" s="75"/>
    </row>
    <row r="4" spans="1:18" ht="13.5" x14ac:dyDescent="0.35">
      <c r="A4" s="1396" t="s">
        <v>48</v>
      </c>
      <c r="B4" s="1396"/>
      <c r="C4" s="1396"/>
      <c r="D4" s="1396"/>
      <c r="E4" s="1396"/>
      <c r="F4" s="1396"/>
      <c r="G4" s="1396"/>
      <c r="H4" s="1396"/>
      <c r="I4" s="75"/>
      <c r="J4" s="75"/>
      <c r="K4" s="75"/>
      <c r="L4" s="75"/>
      <c r="M4" s="75"/>
      <c r="N4" s="75"/>
      <c r="O4" s="75"/>
      <c r="P4" s="75"/>
      <c r="Q4" s="75"/>
    </row>
    <row r="5" spans="1:18" ht="14" thickBot="1" x14ac:dyDescent="0.4">
      <c r="A5" s="151"/>
      <c r="B5" s="12"/>
      <c r="C5" s="12"/>
      <c r="D5" s="12"/>
      <c r="E5" s="440"/>
      <c r="F5" s="440"/>
      <c r="G5" s="440"/>
      <c r="H5" s="440"/>
      <c r="I5" s="85"/>
      <c r="J5" s="85"/>
      <c r="K5" s="85"/>
      <c r="L5" s="85"/>
      <c r="M5" s="85"/>
      <c r="N5" s="85"/>
      <c r="O5" s="85"/>
      <c r="P5" s="85"/>
      <c r="Q5" s="85"/>
    </row>
    <row r="6" spans="1:18" ht="21.75" customHeight="1" x14ac:dyDescent="0.35">
      <c r="A6" s="152"/>
      <c r="B6" s="77" t="s">
        <v>54</v>
      </c>
      <c r="C6" s="77"/>
      <c r="D6" s="78" t="s">
        <v>6</v>
      </c>
      <c r="E6" s="94">
        <f>'P1 Info &amp; Certification'!L20</f>
        <v>45108</v>
      </c>
      <c r="F6" s="148"/>
      <c r="G6" s="95" t="str">
        <f>'P1 Info &amp; Certification'!M20</f>
        <v>To</v>
      </c>
      <c r="H6" s="443">
        <f>'P1 Info &amp; Certification'!N20</f>
        <v>45473</v>
      </c>
      <c r="I6" s="147"/>
      <c r="J6" s="89"/>
      <c r="K6" s="13"/>
      <c r="L6" s="88"/>
      <c r="M6" s="32"/>
      <c r="N6" s="147"/>
      <c r="O6" s="147"/>
      <c r="P6" s="32"/>
      <c r="Q6" s="146"/>
      <c r="R6" s="146"/>
    </row>
    <row r="7" spans="1:18" ht="13" x14ac:dyDescent="0.3">
      <c r="A7" s="153"/>
      <c r="B7" s="458"/>
      <c r="C7" s="458"/>
      <c r="D7" s="458"/>
      <c r="E7" s="13"/>
      <c r="F7" s="13"/>
      <c r="G7" s="13"/>
      <c r="H7" s="81"/>
      <c r="I7" s="13"/>
      <c r="J7" s="13"/>
      <c r="K7" s="13"/>
      <c r="L7" s="13"/>
      <c r="M7" s="13"/>
      <c r="N7" s="13"/>
      <c r="O7" s="13"/>
      <c r="P7" s="13"/>
      <c r="Q7" s="146"/>
      <c r="R7" s="146"/>
    </row>
    <row r="8" spans="1:18" ht="22.5" customHeight="1" thickBot="1" x14ac:dyDescent="0.3">
      <c r="A8" s="154"/>
      <c r="B8" s="84" t="s">
        <v>59</v>
      </c>
      <c r="C8" s="1397" t="str">
        <f>'P1 Info &amp; Certification'!E12</f>
        <v>COMMUNITY HEALTH CENTER, INC.</v>
      </c>
      <c r="D8" s="1397"/>
      <c r="E8" s="1397"/>
      <c r="F8" s="1397"/>
      <c r="G8" s="1397"/>
      <c r="H8" s="464"/>
      <c r="I8" s="145"/>
      <c r="J8" s="145"/>
      <c r="K8" s="145"/>
      <c r="L8" s="145"/>
      <c r="M8" s="145"/>
      <c r="N8" s="145"/>
      <c r="O8" s="145"/>
      <c r="P8" s="145"/>
      <c r="Q8" s="146"/>
      <c r="R8" s="146"/>
    </row>
    <row r="9" spans="1:18" ht="13" x14ac:dyDescent="0.25">
      <c r="A9" s="471"/>
      <c r="B9" s="472"/>
      <c r="C9" s="472"/>
      <c r="D9" s="472"/>
      <c r="E9" s="472"/>
      <c r="F9" s="472"/>
      <c r="G9" s="472"/>
      <c r="H9" s="472"/>
      <c r="I9" s="43"/>
      <c r="J9" s="43"/>
      <c r="K9" s="43"/>
      <c r="L9" s="43"/>
      <c r="M9" s="43"/>
      <c r="N9" s="43"/>
      <c r="O9" s="43"/>
      <c r="P9" s="43"/>
      <c r="Q9" s="146"/>
      <c r="R9" s="146"/>
    </row>
    <row r="10" spans="1:18" x14ac:dyDescent="0.25">
      <c r="A10" s="156"/>
      <c r="B10" s="146"/>
      <c r="C10" s="146"/>
      <c r="D10" s="146"/>
      <c r="E10" s="146"/>
      <c r="F10" s="146"/>
      <c r="G10" s="146"/>
      <c r="H10" s="146"/>
    </row>
    <row r="11" spans="1:18" ht="13.5" thickBot="1" x14ac:dyDescent="0.35">
      <c r="A11" s="156"/>
      <c r="B11" s="146"/>
      <c r="C11" s="146"/>
      <c r="D11" s="146"/>
      <c r="E11" s="146"/>
      <c r="F11" s="146"/>
      <c r="G11" s="146"/>
      <c r="H11" s="296" t="s">
        <v>286</v>
      </c>
    </row>
    <row r="12" spans="1:18" ht="28.5" customHeight="1" x14ac:dyDescent="0.35">
      <c r="A12" s="1465" t="s">
        <v>283</v>
      </c>
      <c r="B12" s="1466"/>
      <c r="C12" s="1466"/>
      <c r="D12" s="1466"/>
      <c r="E12" s="1466"/>
      <c r="F12" s="1466"/>
      <c r="G12" s="1466"/>
      <c r="H12" s="1468"/>
    </row>
    <row r="13" spans="1:18" ht="13" x14ac:dyDescent="0.3">
      <c r="A13" s="1477" t="s">
        <v>282</v>
      </c>
      <c r="B13" s="1478"/>
      <c r="C13" s="1478"/>
      <c r="D13" s="1493"/>
      <c r="E13" s="366"/>
      <c r="F13" s="413"/>
      <c r="G13" s="1469" t="s">
        <v>271</v>
      </c>
      <c r="H13" s="1470"/>
    </row>
    <row r="14" spans="1:18" ht="13" x14ac:dyDescent="0.3">
      <c r="A14" s="1479"/>
      <c r="B14" s="1480"/>
      <c r="C14" s="1480"/>
      <c r="D14" s="1480"/>
      <c r="E14" s="364"/>
      <c r="F14" s="414"/>
      <c r="G14" s="169" t="s">
        <v>272</v>
      </c>
      <c r="H14" s="204" t="s">
        <v>203</v>
      </c>
    </row>
    <row r="15" spans="1:18" ht="12.75" customHeight="1" x14ac:dyDescent="0.3">
      <c r="A15" s="1481"/>
      <c r="B15" s="1461"/>
      <c r="C15" s="1461"/>
      <c r="D15" s="1461"/>
      <c r="E15" s="367" t="s">
        <v>266</v>
      </c>
      <c r="F15" s="415" t="s">
        <v>254</v>
      </c>
      <c r="G15" s="170" t="s">
        <v>205</v>
      </c>
      <c r="H15" s="205" t="s">
        <v>204</v>
      </c>
    </row>
    <row r="16" spans="1:18" ht="12.75" customHeight="1" x14ac:dyDescent="0.3">
      <c r="A16" s="452"/>
      <c r="B16" s="447"/>
      <c r="C16" s="447"/>
      <c r="D16" s="447"/>
      <c r="E16" s="417" t="s">
        <v>61</v>
      </c>
      <c r="F16" s="418" t="s">
        <v>62</v>
      </c>
      <c r="G16" s="419" t="s">
        <v>63</v>
      </c>
      <c r="H16" s="420" t="s">
        <v>64</v>
      </c>
    </row>
    <row r="17" spans="1:9" ht="12.75" customHeight="1" x14ac:dyDescent="0.3">
      <c r="A17" s="298"/>
      <c r="B17" s="1458" t="s">
        <v>280</v>
      </c>
      <c r="C17" s="1459"/>
      <c r="D17" s="1459"/>
      <c r="E17" s="365">
        <v>125000</v>
      </c>
      <c r="F17" s="365">
        <v>1500</v>
      </c>
      <c r="G17" s="337">
        <v>1040</v>
      </c>
      <c r="H17" s="341">
        <f>G17/2080</f>
        <v>0.5</v>
      </c>
    </row>
    <row r="18" spans="1:9" ht="19.5" customHeight="1" x14ac:dyDescent="0.3">
      <c r="A18" s="207" t="s">
        <v>83</v>
      </c>
      <c r="B18" s="1460" t="s">
        <v>210</v>
      </c>
      <c r="C18" s="1461"/>
      <c r="D18" s="1499"/>
      <c r="E18" s="102"/>
      <c r="F18" s="102"/>
      <c r="G18" s="292"/>
      <c r="H18" s="299"/>
    </row>
    <row r="19" spans="1:9" ht="19.5" customHeight="1" x14ac:dyDescent="0.25">
      <c r="A19" s="474" t="s">
        <v>49</v>
      </c>
      <c r="B19" s="1471" t="s">
        <v>476</v>
      </c>
      <c r="C19" s="1472"/>
      <c r="D19" s="1473"/>
      <c r="E19" s="340">
        <f>+'P5 Form A-3 - Mental Health'!D19</f>
        <v>3040379.2364870217</v>
      </c>
      <c r="F19" s="476">
        <f>+'Form B-3 Detail'!F76</f>
        <v>27658</v>
      </c>
      <c r="G19" s="394">
        <f>+'Form B-3 Detail'!G76</f>
        <v>67113.11</v>
      </c>
      <c r="H19" s="343">
        <f>ROUND(G19/2080,2)</f>
        <v>32.270000000000003</v>
      </c>
    </row>
    <row r="20" spans="1:9" ht="19.5" customHeight="1" x14ac:dyDescent="0.25">
      <c r="A20" s="474" t="s">
        <v>50</v>
      </c>
      <c r="B20" s="1471"/>
      <c r="C20" s="1472"/>
      <c r="D20" s="1473"/>
      <c r="E20" s="340"/>
      <c r="F20" s="477"/>
      <c r="G20" s="394"/>
      <c r="H20" s="343">
        <f>ROUND(G20/2080,2)</f>
        <v>0</v>
      </c>
    </row>
    <row r="21" spans="1:9" ht="19.5" customHeight="1" x14ac:dyDescent="0.25">
      <c r="A21" s="474" t="s">
        <v>82</v>
      </c>
      <c r="B21" s="1471"/>
      <c r="C21" s="1472"/>
      <c r="D21" s="1473"/>
      <c r="E21" s="340"/>
      <c r="F21" s="476"/>
      <c r="G21" s="394"/>
      <c r="H21" s="343">
        <f>ROUND(G21/2080,2)</f>
        <v>0</v>
      </c>
    </row>
    <row r="22" spans="1:9" ht="19.5" customHeight="1" x14ac:dyDescent="0.25">
      <c r="A22" s="474" t="s">
        <v>51</v>
      </c>
      <c r="B22" s="1471"/>
      <c r="C22" s="1472"/>
      <c r="D22" s="1473"/>
      <c r="E22" s="340"/>
      <c r="F22" s="477"/>
      <c r="G22" s="394"/>
      <c r="H22" s="343">
        <f>ROUND(G22/2080,2)</f>
        <v>0</v>
      </c>
    </row>
    <row r="23" spans="1:9" ht="19.5" customHeight="1" x14ac:dyDescent="0.25">
      <c r="A23" s="474" t="s">
        <v>156</v>
      </c>
      <c r="B23" s="1471"/>
      <c r="C23" s="1472"/>
      <c r="D23" s="1473"/>
      <c r="E23" s="340"/>
      <c r="F23" s="477"/>
      <c r="G23" s="394"/>
      <c r="H23" s="343">
        <f>ROUND(G23/2080,2)</f>
        <v>0</v>
      </c>
    </row>
    <row r="24" spans="1:9" ht="24.75" customHeight="1" thickBot="1" x14ac:dyDescent="0.35">
      <c r="A24" s="253"/>
      <c r="B24" s="1474" t="s">
        <v>259</v>
      </c>
      <c r="C24" s="1475"/>
      <c r="D24" s="1476"/>
      <c r="E24" s="352">
        <f>SUM(E19:E23)</f>
        <v>3040379.2364870217</v>
      </c>
      <c r="F24" s="352">
        <f>SUM(F19:F23)</f>
        <v>27658</v>
      </c>
      <c r="G24" s="352">
        <f>SUM(G19:G23)</f>
        <v>67113.11</v>
      </c>
      <c r="H24" s="344">
        <f>SUM(H19:H23)</f>
        <v>32.270000000000003</v>
      </c>
    </row>
    <row r="25" spans="1:9" ht="19.5" customHeight="1" thickTop="1" x14ac:dyDescent="0.25">
      <c r="A25" s="253"/>
      <c r="B25" s="1497"/>
      <c r="C25" s="1497"/>
      <c r="D25" s="1497"/>
      <c r="E25" s="487"/>
      <c r="F25" s="294"/>
      <c r="G25" s="295"/>
      <c r="H25" s="300"/>
      <c r="I25" s="146"/>
    </row>
    <row r="26" spans="1:9" ht="19.5" customHeight="1" x14ac:dyDescent="0.3">
      <c r="A26" s="207" t="s">
        <v>84</v>
      </c>
      <c r="B26" s="1487" t="s">
        <v>211</v>
      </c>
      <c r="C26" s="1488"/>
      <c r="D26" s="1489"/>
      <c r="E26" s="338"/>
      <c r="F26" s="338"/>
      <c r="G26" s="390"/>
      <c r="H26" s="391"/>
    </row>
    <row r="27" spans="1:9" ht="19.5" customHeight="1" x14ac:dyDescent="0.25">
      <c r="A27" s="474" t="s">
        <v>49</v>
      </c>
      <c r="B27" s="1471" t="s">
        <v>476</v>
      </c>
      <c r="C27" s="1472"/>
      <c r="D27" s="1473"/>
      <c r="E27" s="392">
        <f>+'P5 Form A-3 - Mental Health'!D20</f>
        <v>13702530.800930675</v>
      </c>
      <c r="F27" s="480">
        <f>+'Form B-3 Detail'!F269</f>
        <v>188889</v>
      </c>
      <c r="G27" s="392">
        <f>+'Form B-3 Detail'!G269</f>
        <v>375803.35</v>
      </c>
      <c r="H27" s="393">
        <f>ROUND(G27/2080,2)</f>
        <v>180.67</v>
      </c>
    </row>
    <row r="28" spans="1:9" ht="19.5" customHeight="1" x14ac:dyDescent="0.25">
      <c r="A28" s="474" t="s">
        <v>50</v>
      </c>
      <c r="B28" s="1462"/>
      <c r="C28" s="1463"/>
      <c r="D28" s="1464"/>
      <c r="E28" s="394"/>
      <c r="F28" s="477"/>
      <c r="G28" s="394"/>
      <c r="H28" s="393">
        <f>ROUND(G28/2080,2)</f>
        <v>0</v>
      </c>
    </row>
    <row r="29" spans="1:9" ht="19.5" customHeight="1" x14ac:dyDescent="0.25">
      <c r="A29" s="474" t="s">
        <v>82</v>
      </c>
      <c r="B29" s="1462"/>
      <c r="C29" s="1463"/>
      <c r="D29" s="1464"/>
      <c r="E29" s="394"/>
      <c r="F29" s="477"/>
      <c r="G29" s="394"/>
      <c r="H29" s="393">
        <f>ROUND(G29/2080,2)</f>
        <v>0</v>
      </c>
    </row>
    <row r="30" spans="1:9" ht="19.5" customHeight="1" x14ac:dyDescent="0.25">
      <c r="A30" s="474" t="s">
        <v>51</v>
      </c>
      <c r="B30" s="1462"/>
      <c r="C30" s="1463"/>
      <c r="D30" s="1464"/>
      <c r="E30" s="394"/>
      <c r="F30" s="477"/>
      <c r="G30" s="394"/>
      <c r="H30" s="393">
        <f>ROUND(G30/2080,2)</f>
        <v>0</v>
      </c>
    </row>
    <row r="31" spans="1:9" ht="19.5" customHeight="1" x14ac:dyDescent="0.25">
      <c r="A31" s="474" t="s">
        <v>156</v>
      </c>
      <c r="B31" s="1462"/>
      <c r="C31" s="1463"/>
      <c r="D31" s="1464"/>
      <c r="E31" s="394"/>
      <c r="F31" s="477"/>
      <c r="G31" s="394"/>
      <c r="H31" s="393">
        <f>ROUND(G31/2080,2)</f>
        <v>0</v>
      </c>
    </row>
    <row r="32" spans="1:9" ht="24.75" customHeight="1" thickBot="1" x14ac:dyDescent="0.35">
      <c r="A32" s="293"/>
      <c r="B32" s="1482" t="s">
        <v>260</v>
      </c>
      <c r="C32" s="1483"/>
      <c r="D32" s="1484"/>
      <c r="E32" s="473">
        <f>SUM(E27:E31)</f>
        <v>13702530.800930675</v>
      </c>
      <c r="F32" s="473">
        <f>SUM(F27:F31)</f>
        <v>188889</v>
      </c>
      <c r="G32" s="473">
        <f>SUM(G27:G31)</f>
        <v>375803.35</v>
      </c>
      <c r="H32" s="395">
        <f>SUM(H27:H31)</f>
        <v>180.67</v>
      </c>
    </row>
    <row r="33" spans="1:8" s="146" customFormat="1" ht="19.5" customHeight="1" thickTop="1" x14ac:dyDescent="0.3">
      <c r="A33" s="293"/>
      <c r="B33" s="375"/>
      <c r="C33" s="375"/>
      <c r="D33" s="375"/>
      <c r="E33" s="295"/>
      <c r="F33" s="294"/>
      <c r="G33" s="295"/>
      <c r="H33" s="396"/>
    </row>
    <row r="34" spans="1:8" ht="19.5" customHeight="1" x14ac:dyDescent="0.3">
      <c r="A34" s="207" t="s">
        <v>91</v>
      </c>
      <c r="B34" s="1487" t="s">
        <v>304</v>
      </c>
      <c r="C34" s="1488"/>
      <c r="D34" s="1489"/>
      <c r="E34" s="338"/>
      <c r="F34" s="338"/>
      <c r="G34" s="390"/>
      <c r="H34" s="391"/>
    </row>
    <row r="35" spans="1:8" ht="19.5" customHeight="1" x14ac:dyDescent="0.25">
      <c r="A35" s="474" t="s">
        <v>49</v>
      </c>
      <c r="B35" s="1471" t="s">
        <v>476</v>
      </c>
      <c r="C35" s="1472"/>
      <c r="D35" s="1473"/>
      <c r="E35" s="345">
        <f>+'Form B-3 Detail'!E379</f>
        <v>23484711.390426628</v>
      </c>
      <c r="F35" s="345">
        <f>+'Form B-3 Detail'!F379</f>
        <v>254384</v>
      </c>
      <c r="G35" s="345">
        <f>+'Form B-3 Detail'!G379</f>
        <v>665049.40179199993</v>
      </c>
      <c r="H35" s="346">
        <f>ROUND(G35/2080,2)</f>
        <v>319.74</v>
      </c>
    </row>
    <row r="36" spans="1:8" ht="19.5" customHeight="1" x14ac:dyDescent="0.25">
      <c r="A36" s="474" t="s">
        <v>50</v>
      </c>
      <c r="B36" s="1471"/>
      <c r="C36" s="1472"/>
      <c r="D36" s="1473"/>
      <c r="E36" s="340"/>
      <c r="F36" s="477"/>
      <c r="G36" s="394"/>
      <c r="H36" s="346">
        <f>ROUND(G36/2080,2)</f>
        <v>0</v>
      </c>
    </row>
    <row r="37" spans="1:8" ht="19.5" customHeight="1" x14ac:dyDescent="0.25">
      <c r="A37" s="474" t="s">
        <v>82</v>
      </c>
      <c r="B37" s="1471"/>
      <c r="C37" s="1472"/>
      <c r="D37" s="1473"/>
      <c r="E37" s="340"/>
      <c r="F37" s="477"/>
      <c r="G37" s="394"/>
      <c r="H37" s="346">
        <f>ROUND(G37/2080,2)</f>
        <v>0</v>
      </c>
    </row>
    <row r="38" spans="1:8" ht="19.5" customHeight="1" x14ac:dyDescent="0.25">
      <c r="A38" s="474" t="s">
        <v>51</v>
      </c>
      <c r="B38" s="1471"/>
      <c r="C38" s="1472"/>
      <c r="D38" s="1473"/>
      <c r="E38" s="340"/>
      <c r="F38" s="477"/>
      <c r="G38" s="394"/>
      <c r="H38" s="346">
        <f>ROUND(G38/2080,2)</f>
        <v>0</v>
      </c>
    </row>
    <row r="39" spans="1:8" ht="19.5" customHeight="1" x14ac:dyDescent="0.25">
      <c r="A39" s="488" t="s">
        <v>156</v>
      </c>
      <c r="B39" s="1462"/>
      <c r="C39" s="1463"/>
      <c r="D39" s="1464"/>
      <c r="E39" s="394"/>
      <c r="F39" s="477"/>
      <c r="G39" s="394"/>
      <c r="H39" s="393">
        <f>ROUND(G39/2080,2)</f>
        <v>0</v>
      </c>
    </row>
    <row r="40" spans="1:8" ht="24.75" customHeight="1" thickBot="1" x14ac:dyDescent="0.35">
      <c r="A40" s="399"/>
      <c r="B40" s="1482" t="s">
        <v>348</v>
      </c>
      <c r="C40" s="1483"/>
      <c r="D40" s="1484"/>
      <c r="E40" s="473">
        <f>SUM(E35:E39)</f>
        <v>23484711.390426628</v>
      </c>
      <c r="F40" s="473">
        <f>SUM(F35:F39)</f>
        <v>254384</v>
      </c>
      <c r="G40" s="473">
        <f>SUM(G35:G39)</f>
        <v>665049.40179199993</v>
      </c>
      <c r="H40" s="395">
        <f>SUM(H35:H39)</f>
        <v>319.74</v>
      </c>
    </row>
    <row r="41" spans="1:8" ht="19.5" customHeight="1" thickTop="1" thickBot="1" x14ac:dyDescent="0.35">
      <c r="A41" s="400"/>
      <c r="B41" s="401"/>
      <c r="C41" s="401"/>
      <c r="D41" s="401"/>
      <c r="E41" s="312"/>
      <c r="F41" s="311"/>
      <c r="G41" s="312"/>
      <c r="H41" s="402"/>
    </row>
  </sheetData>
  <sheetProtection password="E1AE" sheet="1" formatColumns="0" formatRows="0"/>
  <mergeCells count="31">
    <mergeCell ref="B25:D25"/>
    <mergeCell ref="B28:D28"/>
    <mergeCell ref="B19:D19"/>
    <mergeCell ref="B31:D31"/>
    <mergeCell ref="B29:D29"/>
    <mergeCell ref="B34:D34"/>
    <mergeCell ref="B21:D21"/>
    <mergeCell ref="B24:D24"/>
    <mergeCell ref="A1:H1"/>
    <mergeCell ref="A2:H2"/>
    <mergeCell ref="A3:H3"/>
    <mergeCell ref="A4:H4"/>
    <mergeCell ref="C8:G8"/>
    <mergeCell ref="A13:D15"/>
    <mergeCell ref="G13:H13"/>
    <mergeCell ref="B18:D18"/>
    <mergeCell ref="B17:D17"/>
    <mergeCell ref="B22:D22"/>
    <mergeCell ref="A12:H12"/>
    <mergeCell ref="B23:D23"/>
    <mergeCell ref="B20:D20"/>
    <mergeCell ref="B40:D40"/>
    <mergeCell ref="B39:D39"/>
    <mergeCell ref="B30:D30"/>
    <mergeCell ref="B26:D26"/>
    <mergeCell ref="B35:D35"/>
    <mergeCell ref="B37:D37"/>
    <mergeCell ref="B38:D38"/>
    <mergeCell ref="B32:D32"/>
    <mergeCell ref="B36:D36"/>
    <mergeCell ref="B27:D27"/>
  </mergeCells>
  <printOptions horizontalCentered="1" verticalCentered="1"/>
  <pageMargins left="0.25" right="0.25" top="0.25" bottom="0.25" header="0.5" footer="0.25"/>
  <pageSetup scale="82" orientation="landscape" r:id="rId1"/>
  <headerFooter alignWithMargins="0">
    <oddFooter>&amp;LDSS-16 10-24-2016&amp;RPage 11</oddFooter>
  </headerFooter>
  <rowBreaks count="1" manualBreakCount="1">
    <brk id="3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2287A-1124-4040-B0A2-1444E7756932}">
  <sheetPr>
    <tabColor theme="8" tint="-0.249977111117893"/>
    <pageSetUpPr fitToPage="1"/>
  </sheetPr>
  <dimension ref="A1:J387"/>
  <sheetViews>
    <sheetView topLeftCell="A16" workbookViewId="0">
      <selection activeCell="E269" sqref="E269"/>
    </sheetView>
  </sheetViews>
  <sheetFormatPr defaultColWidth="9.1796875" defaultRowHeight="12.5" outlineLevelRow="1" x14ac:dyDescent="0.25"/>
  <cols>
    <col min="1" max="1" width="6" style="155" customWidth="1"/>
    <col min="2" max="2" width="18.26953125" style="14" customWidth="1"/>
    <col min="3" max="3" width="28.453125" style="14" customWidth="1"/>
    <col min="4" max="4" width="15.453125" style="14" customWidth="1"/>
    <col min="5" max="5" width="16.453125" style="14" customWidth="1"/>
    <col min="6" max="6" width="17.453125" style="14" customWidth="1"/>
    <col min="7" max="7" width="17.7265625" style="14" customWidth="1"/>
    <col min="8" max="8" width="16.54296875" style="14" customWidth="1"/>
    <col min="9" max="9" width="7.1796875" style="14" customWidth="1"/>
    <col min="10" max="16384" width="9.1796875" style="14"/>
  </cols>
  <sheetData>
    <row r="1" spans="1:9" ht="13.5" x14ac:dyDescent="0.35">
      <c r="A1" s="1396" t="s">
        <v>45</v>
      </c>
      <c r="B1" s="1396"/>
      <c r="C1" s="1396"/>
      <c r="D1" s="1396"/>
      <c r="E1" s="1396"/>
      <c r="F1" s="1396"/>
      <c r="G1" s="1396"/>
      <c r="H1" s="1396"/>
      <c r="I1" s="75"/>
    </row>
    <row r="2" spans="1:9" ht="13.5" x14ac:dyDescent="0.35">
      <c r="A2" s="1396" t="s">
        <v>46</v>
      </c>
      <c r="B2" s="1396"/>
      <c r="C2" s="1396"/>
      <c r="D2" s="1396"/>
      <c r="E2" s="1396"/>
      <c r="F2" s="1396"/>
      <c r="G2" s="1396"/>
      <c r="H2" s="1396"/>
      <c r="I2" s="75"/>
    </row>
    <row r="3" spans="1:9" ht="13.5" x14ac:dyDescent="0.35">
      <c r="A3" s="1396" t="s">
        <v>47</v>
      </c>
      <c r="B3" s="1396"/>
      <c r="C3" s="1396"/>
      <c r="D3" s="1396"/>
      <c r="E3" s="1396"/>
      <c r="F3" s="1396"/>
      <c r="G3" s="1396"/>
      <c r="H3" s="1396"/>
      <c r="I3" s="75"/>
    </row>
    <row r="4" spans="1:9" ht="13.5" x14ac:dyDescent="0.35">
      <c r="A4" s="1396" t="s">
        <v>48</v>
      </c>
      <c r="B4" s="1396"/>
      <c r="C4" s="1396"/>
      <c r="D4" s="1396"/>
      <c r="E4" s="1396"/>
      <c r="F4" s="1396"/>
      <c r="G4" s="1396"/>
      <c r="H4" s="1396"/>
      <c r="I4" s="75"/>
    </row>
    <row r="5" spans="1:9" ht="14" thickBot="1" x14ac:dyDescent="0.4">
      <c r="A5" s="151"/>
      <c r="B5" s="12"/>
      <c r="C5" s="12"/>
      <c r="D5" s="12"/>
      <c r="E5" s="514"/>
      <c r="F5" s="514"/>
      <c r="G5" s="514"/>
      <c r="H5" s="514"/>
      <c r="I5" s="514"/>
    </row>
    <row r="6" spans="1:9" ht="21.75" customHeight="1" x14ac:dyDescent="0.35">
      <c r="A6" s="152"/>
      <c r="B6" s="77" t="s">
        <v>54</v>
      </c>
      <c r="C6" s="77"/>
      <c r="D6" s="78" t="s">
        <v>6</v>
      </c>
      <c r="E6" s="94">
        <f>'P1 Info &amp; Certification'!L20</f>
        <v>45108</v>
      </c>
      <c r="F6" s="148"/>
      <c r="G6" s="95" t="str">
        <f>'P1 Info &amp; Certification'!M20</f>
        <v>To</v>
      </c>
      <c r="H6" s="516">
        <f>'P1 Info &amp; Certification'!N20</f>
        <v>45473</v>
      </c>
      <c r="I6" s="147"/>
    </row>
    <row r="7" spans="1:9" ht="13" x14ac:dyDescent="0.3">
      <c r="A7" s="153"/>
      <c r="B7" s="526"/>
      <c r="C7" s="526"/>
      <c r="D7" s="526"/>
      <c r="E7" s="13"/>
      <c r="F7" s="13"/>
      <c r="G7" s="13"/>
      <c r="H7" s="81"/>
      <c r="I7" s="13"/>
    </row>
    <row r="8" spans="1:9" ht="22.5" customHeight="1" thickBot="1" x14ac:dyDescent="0.3">
      <c r="A8" s="154"/>
      <c r="B8" s="84" t="s">
        <v>59</v>
      </c>
      <c r="C8" s="1397" t="str">
        <f>'P1 Info &amp; Certification'!E12</f>
        <v>COMMUNITY HEALTH CENTER, INC.</v>
      </c>
      <c r="D8" s="1397"/>
      <c r="E8" s="1397"/>
      <c r="F8" s="1397"/>
      <c r="G8" s="1397"/>
      <c r="H8" s="464"/>
      <c r="I8" s="525"/>
    </row>
    <row r="9" spans="1:9" ht="13" x14ac:dyDescent="0.25">
      <c r="A9" s="471"/>
      <c r="B9" s="515"/>
      <c r="C9" s="515"/>
      <c r="D9" s="515"/>
      <c r="E9" s="515"/>
      <c r="F9" s="515"/>
      <c r="G9" s="515"/>
      <c r="H9" s="515"/>
      <c r="I9" s="527"/>
    </row>
    <row r="10" spans="1:9" x14ac:dyDescent="0.25">
      <c r="A10" s="156"/>
      <c r="B10" s="146"/>
      <c r="C10" s="146"/>
      <c r="D10" s="146"/>
      <c r="E10" s="146"/>
      <c r="F10" s="146"/>
      <c r="G10" s="146"/>
      <c r="H10" s="146"/>
    </row>
    <row r="11" spans="1:9" ht="13.5" thickBot="1" x14ac:dyDescent="0.35">
      <c r="A11" s="156"/>
      <c r="B11" s="146"/>
      <c r="C11" s="146"/>
      <c r="D11" s="146"/>
      <c r="E11" s="146"/>
      <c r="F11" s="146"/>
      <c r="G11" s="146"/>
      <c r="H11" s="296" t="s">
        <v>286</v>
      </c>
    </row>
    <row r="12" spans="1:9" ht="28.5" customHeight="1" x14ac:dyDescent="0.35">
      <c r="A12" s="1465" t="s">
        <v>283</v>
      </c>
      <c r="B12" s="1466"/>
      <c r="C12" s="1466"/>
      <c r="D12" s="1466"/>
      <c r="E12" s="1466"/>
      <c r="F12" s="1466"/>
      <c r="G12" s="1466"/>
      <c r="H12" s="1468"/>
    </row>
    <row r="13" spans="1:9" ht="13" x14ac:dyDescent="0.3">
      <c r="A13" s="1477" t="s">
        <v>282</v>
      </c>
      <c r="B13" s="1478"/>
      <c r="C13" s="1478"/>
      <c r="D13" s="1493"/>
      <c r="E13" s="366"/>
      <c r="F13" s="413"/>
      <c r="G13" s="1469" t="s">
        <v>271</v>
      </c>
      <c r="H13" s="1470"/>
    </row>
    <row r="14" spans="1:9" ht="13" x14ac:dyDescent="0.3">
      <c r="A14" s="1479"/>
      <c r="B14" s="1480"/>
      <c r="C14" s="1480"/>
      <c r="D14" s="1480"/>
      <c r="E14" s="364"/>
      <c r="F14" s="414"/>
      <c r="G14" s="169" t="s">
        <v>272</v>
      </c>
      <c r="H14" s="204" t="s">
        <v>203</v>
      </c>
    </row>
    <row r="15" spans="1:9" ht="12.75" customHeight="1" x14ac:dyDescent="0.3">
      <c r="A15" s="1481"/>
      <c r="B15" s="1461"/>
      <c r="C15" s="1461"/>
      <c r="D15" s="1461"/>
      <c r="E15" s="367" t="s">
        <v>266</v>
      </c>
      <c r="F15" s="415" t="s">
        <v>254</v>
      </c>
      <c r="G15" s="170" t="s">
        <v>205</v>
      </c>
      <c r="H15" s="205" t="s">
        <v>204</v>
      </c>
    </row>
    <row r="16" spans="1:9" ht="12.75" customHeight="1" x14ac:dyDescent="0.3">
      <c r="A16" s="519"/>
      <c r="B16" s="520"/>
      <c r="C16" s="520"/>
      <c r="D16" s="520"/>
      <c r="E16" s="417" t="s">
        <v>61</v>
      </c>
      <c r="F16" s="418" t="s">
        <v>62</v>
      </c>
      <c r="G16" s="419" t="s">
        <v>63</v>
      </c>
      <c r="H16" s="420" t="s">
        <v>64</v>
      </c>
    </row>
    <row r="17" spans="1:9" ht="12.75" customHeight="1" x14ac:dyDescent="0.3">
      <c r="A17" s="298"/>
      <c r="B17" s="1458" t="s">
        <v>280</v>
      </c>
      <c r="C17" s="1459"/>
      <c r="D17" s="1459"/>
      <c r="E17" s="365">
        <v>125000</v>
      </c>
      <c r="F17" s="365">
        <v>1500</v>
      </c>
      <c r="G17" s="337">
        <v>1040</v>
      </c>
      <c r="H17" s="341">
        <f>G17/2080</f>
        <v>0.5</v>
      </c>
    </row>
    <row r="18" spans="1:9" ht="19.5" customHeight="1" x14ac:dyDescent="0.3">
      <c r="A18" s="207" t="s">
        <v>83</v>
      </c>
      <c r="B18" s="1460" t="s">
        <v>210</v>
      </c>
      <c r="C18" s="1461"/>
      <c r="D18" s="1499"/>
      <c r="E18" s="102"/>
      <c r="F18" s="102"/>
      <c r="G18" s="292"/>
      <c r="H18" s="299"/>
    </row>
    <row r="19" spans="1:9" ht="19.5" customHeight="1" x14ac:dyDescent="0.25">
      <c r="A19" s="474">
        <v>1</v>
      </c>
      <c r="B19" s="539" t="s">
        <v>210</v>
      </c>
      <c r="C19" s="540"/>
      <c r="D19" s="541"/>
      <c r="E19" s="878"/>
      <c r="F19" s="972"/>
      <c r="G19" s="964"/>
      <c r="H19" s="343"/>
      <c r="I19" s="544"/>
    </row>
    <row r="20" spans="1:9" ht="19.5" hidden="1" customHeight="1" outlineLevel="1" x14ac:dyDescent="0.25">
      <c r="A20" s="474">
        <v>2</v>
      </c>
      <c r="B20" s="539"/>
      <c r="C20" s="540"/>
      <c r="D20" s="541"/>
      <c r="E20" s="878"/>
      <c r="F20" s="972"/>
      <c r="G20" s="964"/>
      <c r="H20" s="343"/>
      <c r="I20" s="544"/>
    </row>
    <row r="21" spans="1:9" ht="19.5" hidden="1" customHeight="1" outlineLevel="1" x14ac:dyDescent="0.25">
      <c r="A21" s="474">
        <v>3</v>
      </c>
      <c r="B21" s="539"/>
      <c r="C21" s="540"/>
      <c r="D21" s="541"/>
      <c r="E21" s="878"/>
      <c r="F21" s="972"/>
      <c r="G21" s="964"/>
      <c r="H21" s="343"/>
      <c r="I21" s="544"/>
    </row>
    <row r="22" spans="1:9" ht="19.5" hidden="1" customHeight="1" outlineLevel="1" x14ac:dyDescent="0.25">
      <c r="A22" s="474">
        <v>4</v>
      </c>
      <c r="B22" s="539"/>
      <c r="C22" s="540"/>
      <c r="D22" s="541"/>
      <c r="E22" s="878"/>
      <c r="F22" s="972"/>
      <c r="G22" s="964"/>
      <c r="H22" s="343"/>
      <c r="I22" s="544"/>
    </row>
    <row r="23" spans="1:9" ht="19.5" hidden="1" customHeight="1" outlineLevel="1" x14ac:dyDescent="0.25">
      <c r="A23" s="474">
        <v>5</v>
      </c>
      <c r="B23" s="539"/>
      <c r="C23" s="540"/>
      <c r="D23" s="541"/>
      <c r="E23" s="878"/>
      <c r="F23" s="972"/>
      <c r="G23" s="964"/>
      <c r="H23" s="343"/>
      <c r="I23" s="641"/>
    </row>
    <row r="24" spans="1:9" ht="19.5" hidden="1" customHeight="1" outlineLevel="1" x14ac:dyDescent="0.25">
      <c r="A24" s="474">
        <v>6</v>
      </c>
      <c r="B24" s="539"/>
      <c r="C24" s="540"/>
      <c r="D24" s="541"/>
      <c r="E24" s="878"/>
      <c r="F24" s="972"/>
      <c r="G24" s="964"/>
      <c r="H24" s="343"/>
      <c r="I24" s="641"/>
    </row>
    <row r="25" spans="1:9" ht="19.5" hidden="1" customHeight="1" outlineLevel="1" x14ac:dyDescent="0.25">
      <c r="A25" s="474">
        <v>7</v>
      </c>
      <c r="B25" s="539"/>
      <c r="C25" s="540"/>
      <c r="D25" s="541"/>
      <c r="E25" s="878"/>
      <c r="F25" s="972"/>
      <c r="G25" s="964"/>
      <c r="H25" s="343"/>
      <c r="I25" s="641"/>
    </row>
    <row r="26" spans="1:9" ht="19.5" hidden="1" customHeight="1" outlineLevel="1" x14ac:dyDescent="0.25">
      <c r="A26" s="474">
        <v>8</v>
      </c>
      <c r="B26" s="539"/>
      <c r="C26" s="540"/>
      <c r="D26" s="541"/>
      <c r="E26" s="878"/>
      <c r="F26" s="972"/>
      <c r="G26" s="964"/>
      <c r="H26" s="343"/>
      <c r="I26" s="641"/>
    </row>
    <row r="27" spans="1:9" ht="19.5" hidden="1" customHeight="1" outlineLevel="1" x14ac:dyDescent="0.25">
      <c r="A27" s="474">
        <v>9</v>
      </c>
      <c r="B27" s="539"/>
      <c r="C27" s="540"/>
      <c r="D27" s="541"/>
      <c r="E27" s="878"/>
      <c r="F27" s="972"/>
      <c r="G27" s="964"/>
      <c r="H27" s="343"/>
      <c r="I27" s="641"/>
    </row>
    <row r="28" spans="1:9" ht="19.5" hidden="1" customHeight="1" outlineLevel="1" x14ac:dyDescent="0.25">
      <c r="A28" s="474">
        <v>10</v>
      </c>
      <c r="B28" s="643"/>
      <c r="C28" s="632"/>
      <c r="D28" s="633"/>
      <c r="E28" s="878"/>
      <c r="F28" s="972"/>
      <c r="G28" s="964"/>
      <c r="H28" s="644"/>
      <c r="I28" s="641"/>
    </row>
    <row r="29" spans="1:9" ht="19.5" hidden="1" customHeight="1" outlineLevel="1" x14ac:dyDescent="0.25">
      <c r="A29" s="474">
        <v>11</v>
      </c>
      <c r="B29" s="643"/>
      <c r="C29" s="632"/>
      <c r="D29" s="633"/>
      <c r="E29" s="878"/>
      <c r="F29" s="972"/>
      <c r="G29" s="964"/>
      <c r="H29" s="343"/>
      <c r="I29" s="641"/>
    </row>
    <row r="30" spans="1:9" ht="19.5" hidden="1" customHeight="1" outlineLevel="1" x14ac:dyDescent="0.25">
      <c r="A30" s="474">
        <v>12</v>
      </c>
      <c r="B30" s="539"/>
      <c r="C30" s="540"/>
      <c r="D30" s="541"/>
      <c r="E30" s="878"/>
      <c r="F30" s="972"/>
      <c r="G30" s="964"/>
      <c r="H30" s="343"/>
      <c r="I30" s="544"/>
    </row>
    <row r="31" spans="1:9" ht="19.5" hidden="1" customHeight="1" outlineLevel="1" x14ac:dyDescent="0.25">
      <c r="A31" s="474">
        <v>13</v>
      </c>
      <c r="B31" s="539"/>
      <c r="C31" s="623"/>
      <c r="D31" s="624"/>
      <c r="E31" s="878"/>
      <c r="F31" s="972"/>
      <c r="G31" s="964"/>
      <c r="H31" s="393"/>
      <c r="I31" s="544"/>
    </row>
    <row r="32" spans="1:9" ht="19.5" hidden="1" customHeight="1" outlineLevel="1" x14ac:dyDescent="0.25">
      <c r="A32" s="474">
        <v>14</v>
      </c>
      <c r="B32" s="539"/>
      <c r="C32" s="542"/>
      <c r="D32" s="543"/>
      <c r="E32" s="878"/>
      <c r="F32" s="972"/>
      <c r="G32" s="964"/>
      <c r="H32" s="393"/>
      <c r="I32" s="544"/>
    </row>
    <row r="33" spans="1:9" ht="19.5" hidden="1" customHeight="1" outlineLevel="1" x14ac:dyDescent="0.25">
      <c r="A33" s="474">
        <v>15</v>
      </c>
      <c r="B33" s="539"/>
      <c r="C33" s="623"/>
      <c r="D33" s="624"/>
      <c r="E33" s="878"/>
      <c r="F33" s="972"/>
      <c r="G33" s="964"/>
      <c r="H33" s="393"/>
      <c r="I33" s="544"/>
    </row>
    <row r="34" spans="1:9" ht="19.5" hidden="1" customHeight="1" outlineLevel="1" x14ac:dyDescent="0.25">
      <c r="A34" s="474">
        <v>16</v>
      </c>
      <c r="B34" s="539"/>
      <c r="C34" s="639"/>
      <c r="D34" s="640"/>
      <c r="E34" s="878"/>
      <c r="F34" s="972"/>
      <c r="G34" s="964"/>
      <c r="H34" s="393"/>
      <c r="I34" s="544"/>
    </row>
    <row r="35" spans="1:9" ht="19.5" hidden="1" customHeight="1" outlineLevel="1" x14ac:dyDescent="0.25">
      <c r="A35" s="474">
        <f>1+A34</f>
        <v>17</v>
      </c>
      <c r="B35" s="539"/>
      <c r="C35" s="639"/>
      <c r="D35" s="640"/>
      <c r="E35" s="878"/>
      <c r="F35" s="972"/>
      <c r="G35" s="964"/>
      <c r="H35" s="393"/>
      <c r="I35" s="544"/>
    </row>
    <row r="36" spans="1:9" ht="19.5" hidden="1" customHeight="1" outlineLevel="1" x14ac:dyDescent="0.25">
      <c r="A36" s="474">
        <f t="shared" ref="A36:A75" si="0">1+A35</f>
        <v>18</v>
      </c>
      <c r="B36" s="539"/>
      <c r="C36" s="639"/>
      <c r="D36" s="640"/>
      <c r="E36" s="878"/>
      <c r="F36" s="972"/>
      <c r="G36" s="964"/>
      <c r="H36" s="393"/>
      <c r="I36" s="544"/>
    </row>
    <row r="37" spans="1:9" ht="19.5" hidden="1" customHeight="1" outlineLevel="1" x14ac:dyDescent="0.25">
      <c r="A37" s="474">
        <f t="shared" si="0"/>
        <v>19</v>
      </c>
      <c r="B37" s="539"/>
      <c r="C37" s="639"/>
      <c r="D37" s="640"/>
      <c r="E37" s="878"/>
      <c r="F37" s="972"/>
      <c r="G37" s="964"/>
      <c r="H37" s="393"/>
      <c r="I37" s="544"/>
    </row>
    <row r="38" spans="1:9" ht="19.5" hidden="1" customHeight="1" outlineLevel="1" x14ac:dyDescent="0.25">
      <c r="A38" s="474">
        <f t="shared" si="0"/>
        <v>20</v>
      </c>
      <c r="B38" s="539"/>
      <c r="C38" s="639"/>
      <c r="D38" s="640"/>
      <c r="E38" s="878"/>
      <c r="F38" s="972"/>
      <c r="G38" s="964"/>
      <c r="H38" s="393"/>
      <c r="I38" s="544"/>
    </row>
    <row r="39" spans="1:9" ht="19.5" hidden="1" customHeight="1" outlineLevel="1" x14ac:dyDescent="0.25">
      <c r="A39" s="474">
        <f t="shared" si="0"/>
        <v>21</v>
      </c>
      <c r="B39" s="539"/>
      <c r="C39" s="639"/>
      <c r="D39" s="640"/>
      <c r="E39" s="878"/>
      <c r="F39" s="972"/>
      <c r="G39" s="964"/>
      <c r="H39" s="393"/>
      <c r="I39" s="544"/>
    </row>
    <row r="40" spans="1:9" ht="19.5" hidden="1" customHeight="1" outlineLevel="1" x14ac:dyDescent="0.25">
      <c r="A40" s="474">
        <f t="shared" si="0"/>
        <v>22</v>
      </c>
      <c r="B40" s="539"/>
      <c r="C40" s="639"/>
      <c r="D40" s="640"/>
      <c r="E40" s="878"/>
      <c r="F40" s="972"/>
      <c r="G40" s="964"/>
      <c r="H40" s="393"/>
      <c r="I40" s="544"/>
    </row>
    <row r="41" spans="1:9" ht="19.5" hidden="1" customHeight="1" outlineLevel="1" x14ac:dyDescent="0.25">
      <c r="A41" s="474">
        <f t="shared" si="0"/>
        <v>23</v>
      </c>
      <c r="B41" s="539"/>
      <c r="C41" s="639"/>
      <c r="D41" s="640"/>
      <c r="E41" s="878"/>
      <c r="F41" s="972"/>
      <c r="G41" s="964"/>
      <c r="H41" s="393"/>
      <c r="I41" s="544"/>
    </row>
    <row r="42" spans="1:9" ht="19.5" hidden="1" customHeight="1" outlineLevel="1" x14ac:dyDescent="0.25">
      <c r="A42" s="474">
        <f t="shared" si="0"/>
        <v>24</v>
      </c>
      <c r="B42" s="539"/>
      <c r="C42" s="639"/>
      <c r="D42" s="640"/>
      <c r="E42" s="878"/>
      <c r="F42" s="972"/>
      <c r="G42" s="964"/>
      <c r="H42" s="393"/>
      <c r="I42" s="544"/>
    </row>
    <row r="43" spans="1:9" ht="19.5" hidden="1" customHeight="1" outlineLevel="1" x14ac:dyDescent="0.25">
      <c r="A43" s="474">
        <f t="shared" si="0"/>
        <v>25</v>
      </c>
      <c r="B43" s="539"/>
      <c r="C43" s="639"/>
      <c r="D43" s="640"/>
      <c r="E43" s="878"/>
      <c r="F43" s="972"/>
      <c r="G43" s="964"/>
      <c r="H43" s="393"/>
      <c r="I43" s="544"/>
    </row>
    <row r="44" spans="1:9" ht="19.5" hidden="1" customHeight="1" outlineLevel="1" x14ac:dyDescent="0.25">
      <c r="A44" s="474">
        <f t="shared" si="0"/>
        <v>26</v>
      </c>
      <c r="B44" s="539"/>
      <c r="C44" s="639"/>
      <c r="D44" s="640"/>
      <c r="E44" s="878"/>
      <c r="F44" s="972"/>
      <c r="G44" s="964"/>
      <c r="H44" s="393"/>
      <c r="I44" s="544"/>
    </row>
    <row r="45" spans="1:9" ht="19.5" hidden="1" customHeight="1" outlineLevel="1" x14ac:dyDescent="0.25">
      <c r="A45" s="474">
        <f t="shared" si="0"/>
        <v>27</v>
      </c>
      <c r="B45" s="539"/>
      <c r="C45" s="639"/>
      <c r="D45" s="640"/>
      <c r="E45" s="878"/>
      <c r="F45" s="972"/>
      <c r="G45" s="964"/>
      <c r="H45" s="393"/>
      <c r="I45" s="544"/>
    </row>
    <row r="46" spans="1:9" ht="19.5" hidden="1" customHeight="1" outlineLevel="1" x14ac:dyDescent="0.25">
      <c r="A46" s="474">
        <f t="shared" si="0"/>
        <v>28</v>
      </c>
      <c r="B46" s="539"/>
      <c r="C46" s="639"/>
      <c r="D46" s="640"/>
      <c r="E46" s="878"/>
      <c r="F46" s="972"/>
      <c r="G46" s="964"/>
      <c r="H46" s="393"/>
      <c r="I46" s="544"/>
    </row>
    <row r="47" spans="1:9" ht="19.5" hidden="1" customHeight="1" outlineLevel="1" x14ac:dyDescent="0.25">
      <c r="A47" s="474">
        <f t="shared" si="0"/>
        <v>29</v>
      </c>
      <c r="B47" s="539"/>
      <c r="C47" s="639"/>
      <c r="D47" s="640"/>
      <c r="E47" s="878"/>
      <c r="F47" s="972"/>
      <c r="G47" s="964"/>
      <c r="H47" s="393"/>
      <c r="I47" s="544"/>
    </row>
    <row r="48" spans="1:9" ht="19.5" hidden="1" customHeight="1" outlineLevel="1" x14ac:dyDescent="0.25">
      <c r="A48" s="474">
        <f t="shared" si="0"/>
        <v>30</v>
      </c>
      <c r="B48" s="539"/>
      <c r="C48" s="638"/>
      <c r="D48" s="479"/>
      <c r="E48" s="878"/>
      <c r="F48" s="972"/>
      <c r="G48" s="964"/>
      <c r="H48" s="393"/>
      <c r="I48" s="544"/>
    </row>
    <row r="49" spans="1:9" ht="19.5" hidden="1" customHeight="1" outlineLevel="1" x14ac:dyDescent="0.25">
      <c r="A49" s="474">
        <f t="shared" si="0"/>
        <v>31</v>
      </c>
      <c r="B49" s="539"/>
      <c r="C49" s="639"/>
      <c r="D49" s="640"/>
      <c r="E49" s="878"/>
      <c r="F49" s="964"/>
      <c r="G49" s="964"/>
      <c r="H49" s="393"/>
      <c r="I49" s="544"/>
    </row>
    <row r="50" spans="1:9" ht="19.5" hidden="1" customHeight="1" outlineLevel="1" x14ac:dyDescent="0.25">
      <c r="A50" s="474">
        <f t="shared" si="0"/>
        <v>32</v>
      </c>
      <c r="B50" s="539"/>
      <c r="C50" s="697"/>
      <c r="D50" s="698"/>
      <c r="E50" s="878"/>
      <c r="F50" s="964"/>
      <c r="G50" s="964"/>
      <c r="H50" s="393"/>
      <c r="I50" s="544"/>
    </row>
    <row r="51" spans="1:9" ht="19.5" hidden="1" customHeight="1" outlineLevel="1" x14ac:dyDescent="0.25">
      <c r="A51" s="474">
        <f t="shared" si="0"/>
        <v>33</v>
      </c>
      <c r="B51" s="539"/>
      <c r="C51" s="639"/>
      <c r="D51" s="640"/>
      <c r="E51" s="878"/>
      <c r="F51" s="964"/>
      <c r="G51" s="964"/>
      <c r="H51" s="393"/>
      <c r="I51" s="544"/>
    </row>
    <row r="52" spans="1:9" ht="19.5" hidden="1" customHeight="1" outlineLevel="1" x14ac:dyDescent="0.25">
      <c r="A52" s="474">
        <f t="shared" si="0"/>
        <v>34</v>
      </c>
      <c r="B52" s="539"/>
      <c r="C52" s="639"/>
      <c r="D52" s="640"/>
      <c r="E52" s="878"/>
      <c r="F52" s="964"/>
      <c r="G52" s="964"/>
      <c r="H52" s="393"/>
      <c r="I52" s="544"/>
    </row>
    <row r="53" spans="1:9" ht="19.5" hidden="1" customHeight="1" outlineLevel="1" x14ac:dyDescent="0.25">
      <c r="A53" s="474">
        <f t="shared" si="0"/>
        <v>35</v>
      </c>
      <c r="B53" s="539"/>
      <c r="C53" s="639"/>
      <c r="D53" s="640"/>
      <c r="E53" s="878"/>
      <c r="F53" s="964"/>
      <c r="G53" s="964"/>
      <c r="H53" s="393"/>
      <c r="I53" s="544"/>
    </row>
    <row r="54" spans="1:9" ht="19.5" hidden="1" customHeight="1" outlineLevel="1" x14ac:dyDescent="0.25">
      <c r="A54" s="474">
        <f t="shared" si="0"/>
        <v>36</v>
      </c>
      <c r="B54" s="539"/>
      <c r="C54" s="639"/>
      <c r="D54" s="640"/>
      <c r="E54" s="878"/>
      <c r="F54" s="964"/>
      <c r="G54" s="964"/>
      <c r="H54" s="393"/>
      <c r="I54" s="544"/>
    </row>
    <row r="55" spans="1:9" ht="19.5" hidden="1" customHeight="1" outlineLevel="1" x14ac:dyDescent="0.25">
      <c r="A55" s="474">
        <f t="shared" si="0"/>
        <v>37</v>
      </c>
      <c r="B55" s="539"/>
      <c r="C55" s="639"/>
      <c r="D55" s="640"/>
      <c r="E55" s="878"/>
      <c r="F55" s="964"/>
      <c r="G55" s="964"/>
      <c r="H55" s="393"/>
      <c r="I55" s="544"/>
    </row>
    <row r="56" spans="1:9" ht="19.5" hidden="1" customHeight="1" outlineLevel="1" x14ac:dyDescent="0.25">
      <c r="A56" s="474">
        <f t="shared" si="0"/>
        <v>38</v>
      </c>
      <c r="B56" s="539"/>
      <c r="C56" s="639"/>
      <c r="D56" s="640"/>
      <c r="E56" s="878"/>
      <c r="F56" s="964"/>
      <c r="G56" s="964"/>
      <c r="H56" s="393"/>
      <c r="I56" s="544"/>
    </row>
    <row r="57" spans="1:9" ht="19.5" hidden="1" customHeight="1" outlineLevel="1" x14ac:dyDescent="0.25">
      <c r="A57" s="474">
        <f t="shared" si="0"/>
        <v>39</v>
      </c>
      <c r="B57" s="539"/>
      <c r="C57" s="639"/>
      <c r="D57" s="640"/>
      <c r="E57" s="878"/>
      <c r="F57" s="964"/>
      <c r="G57" s="964"/>
      <c r="H57" s="393"/>
      <c r="I57" s="544"/>
    </row>
    <row r="58" spans="1:9" ht="19.5" hidden="1" customHeight="1" outlineLevel="1" x14ac:dyDescent="0.25">
      <c r="A58" s="474">
        <f t="shared" si="0"/>
        <v>40</v>
      </c>
      <c r="B58" s="539"/>
      <c r="C58" s="639"/>
      <c r="D58" s="640"/>
      <c r="E58" s="878"/>
      <c r="F58" s="964"/>
      <c r="G58" s="964"/>
      <c r="H58" s="393"/>
      <c r="I58" s="544"/>
    </row>
    <row r="59" spans="1:9" ht="19.5" hidden="1" customHeight="1" outlineLevel="1" x14ac:dyDescent="0.25">
      <c r="A59" s="474">
        <f t="shared" si="0"/>
        <v>41</v>
      </c>
      <c r="B59" s="539"/>
      <c r="C59" s="639"/>
      <c r="D59" s="640"/>
      <c r="E59" s="878"/>
      <c r="F59" s="964"/>
      <c r="G59" s="964"/>
      <c r="H59" s="393"/>
      <c r="I59" s="544"/>
    </row>
    <row r="60" spans="1:9" ht="19.5" hidden="1" customHeight="1" outlineLevel="1" x14ac:dyDescent="0.25">
      <c r="A60" s="474">
        <f t="shared" si="0"/>
        <v>42</v>
      </c>
      <c r="B60" s="539"/>
      <c r="C60" s="639"/>
      <c r="D60" s="640"/>
      <c r="E60" s="878"/>
      <c r="F60" s="964"/>
      <c r="G60" s="964"/>
      <c r="H60" s="393"/>
      <c r="I60" s="544"/>
    </row>
    <row r="61" spans="1:9" ht="19.5" hidden="1" customHeight="1" outlineLevel="1" x14ac:dyDescent="0.25">
      <c r="A61" s="474">
        <f t="shared" si="0"/>
        <v>43</v>
      </c>
      <c r="B61" s="539"/>
      <c r="C61" s="639"/>
      <c r="D61" s="640"/>
      <c r="E61" s="878"/>
      <c r="F61" s="964"/>
      <c r="G61" s="964"/>
      <c r="H61" s="393"/>
      <c r="I61" s="544"/>
    </row>
    <row r="62" spans="1:9" ht="19.5" hidden="1" customHeight="1" outlineLevel="1" x14ac:dyDescent="0.25">
      <c r="A62" s="474">
        <f t="shared" si="0"/>
        <v>44</v>
      </c>
      <c r="B62" s="539"/>
      <c r="C62" s="639"/>
      <c r="D62" s="640"/>
      <c r="E62" s="878"/>
      <c r="F62" s="964"/>
      <c r="G62" s="964"/>
      <c r="H62" s="393"/>
      <c r="I62" s="544"/>
    </row>
    <row r="63" spans="1:9" ht="19.5" hidden="1" customHeight="1" outlineLevel="1" x14ac:dyDescent="0.25">
      <c r="A63" s="474">
        <f t="shared" si="0"/>
        <v>45</v>
      </c>
      <c r="B63" s="539"/>
      <c r="C63" s="639"/>
      <c r="D63" s="640"/>
      <c r="E63" s="878"/>
      <c r="F63" s="964"/>
      <c r="G63" s="964"/>
      <c r="H63" s="393"/>
      <c r="I63" s="544"/>
    </row>
    <row r="64" spans="1:9" ht="19.5" hidden="1" customHeight="1" outlineLevel="1" x14ac:dyDescent="0.25">
      <c r="A64" s="474">
        <f t="shared" si="0"/>
        <v>46</v>
      </c>
      <c r="B64" s="539"/>
      <c r="C64" s="639"/>
      <c r="D64" s="640"/>
      <c r="E64" s="878"/>
      <c r="F64" s="964"/>
      <c r="G64" s="964"/>
      <c r="H64" s="393"/>
      <c r="I64" s="544"/>
    </row>
    <row r="65" spans="1:9" ht="19.5" hidden="1" customHeight="1" outlineLevel="1" x14ac:dyDescent="0.25">
      <c r="A65" s="474">
        <f t="shared" si="0"/>
        <v>47</v>
      </c>
      <c r="B65" s="539"/>
      <c r="C65" s="639"/>
      <c r="D65" s="640"/>
      <c r="E65" s="878"/>
      <c r="F65" s="964"/>
      <c r="G65" s="964"/>
      <c r="H65" s="393"/>
      <c r="I65" s="544"/>
    </row>
    <row r="66" spans="1:9" ht="19.5" hidden="1" customHeight="1" outlineLevel="1" x14ac:dyDescent="0.25">
      <c r="A66" s="474">
        <f t="shared" si="0"/>
        <v>48</v>
      </c>
      <c r="B66" s="539"/>
      <c r="C66" s="639"/>
      <c r="D66" s="640"/>
      <c r="E66" s="878"/>
      <c r="F66" s="964"/>
      <c r="G66" s="964"/>
      <c r="H66" s="393"/>
      <c r="I66" s="544"/>
    </row>
    <row r="67" spans="1:9" ht="19.5" hidden="1" customHeight="1" outlineLevel="1" x14ac:dyDescent="0.25">
      <c r="A67" s="474">
        <f t="shared" si="0"/>
        <v>49</v>
      </c>
      <c r="B67" s="539"/>
      <c r="C67" s="146"/>
      <c r="D67" s="829"/>
      <c r="E67" s="878"/>
      <c r="F67" s="964"/>
      <c r="G67" s="964"/>
      <c r="H67" s="393"/>
      <c r="I67" s="544"/>
    </row>
    <row r="68" spans="1:9" ht="19.5" hidden="1" customHeight="1" outlineLevel="1" x14ac:dyDescent="0.25">
      <c r="A68" s="474">
        <f t="shared" si="0"/>
        <v>50</v>
      </c>
      <c r="B68" s="539"/>
      <c r="C68" s="146"/>
      <c r="D68" s="829"/>
      <c r="E68" s="973"/>
      <c r="F68" s="973"/>
      <c r="G68" s="964"/>
      <c r="H68" s="393"/>
      <c r="I68" s="544"/>
    </row>
    <row r="69" spans="1:9" ht="19.5" hidden="1" customHeight="1" outlineLevel="1" x14ac:dyDescent="0.25">
      <c r="A69" s="474">
        <f t="shared" si="0"/>
        <v>51</v>
      </c>
      <c r="B69" s="539"/>
      <c r="C69" s="146"/>
      <c r="D69" s="829"/>
      <c r="E69" s="964"/>
      <c r="F69" s="972"/>
      <c r="G69" s="964"/>
      <c r="H69" s="393"/>
      <c r="I69" s="544"/>
    </row>
    <row r="70" spans="1:9" ht="19.5" hidden="1" customHeight="1" outlineLevel="1" x14ac:dyDescent="0.3">
      <c r="A70" s="474">
        <f t="shared" si="0"/>
        <v>52</v>
      </c>
      <c r="B70" s="539"/>
      <c r="C70" s="146"/>
      <c r="D70" s="829"/>
      <c r="E70" s="964"/>
      <c r="F70" s="972"/>
      <c r="G70" s="811"/>
      <c r="H70" s="393"/>
      <c r="I70" s="544"/>
    </row>
    <row r="71" spans="1:9" ht="19.5" hidden="1" customHeight="1" outlineLevel="1" x14ac:dyDescent="0.25">
      <c r="A71" s="474">
        <f t="shared" si="0"/>
        <v>53</v>
      </c>
      <c r="B71" s="539"/>
      <c r="C71" s="146"/>
      <c r="D71" s="829"/>
      <c r="E71" s="878"/>
      <c r="F71" s="964"/>
      <c r="G71" s="964"/>
      <c r="H71" s="393"/>
      <c r="I71" s="544"/>
    </row>
    <row r="72" spans="1:9" ht="19.5" hidden="1" customHeight="1" outlineLevel="1" x14ac:dyDescent="0.25">
      <c r="A72" s="474">
        <f t="shared" si="0"/>
        <v>54</v>
      </c>
      <c r="B72" s="539"/>
      <c r="C72" s="146"/>
      <c r="D72" s="829"/>
      <c r="E72" s="971"/>
      <c r="F72" s="964"/>
      <c r="G72" s="964"/>
      <c r="H72" s="393"/>
      <c r="I72" s="544"/>
    </row>
    <row r="73" spans="1:9" ht="19.5" hidden="1" customHeight="1" outlineLevel="1" x14ac:dyDescent="0.25">
      <c r="A73" s="474">
        <f t="shared" si="0"/>
        <v>55</v>
      </c>
      <c r="B73" s="539"/>
      <c r="C73" s="146"/>
      <c r="D73" s="829"/>
      <c r="E73" s="830"/>
      <c r="F73" s="830"/>
      <c r="G73" s="830"/>
      <c r="H73" s="393"/>
      <c r="I73" s="544"/>
    </row>
    <row r="74" spans="1:9" ht="19.5" hidden="1" customHeight="1" outlineLevel="1" x14ac:dyDescent="0.25">
      <c r="A74" s="474">
        <f t="shared" si="0"/>
        <v>56</v>
      </c>
      <c r="B74" s="539"/>
      <c r="C74" s="146"/>
      <c r="D74" s="829"/>
      <c r="E74" s="830"/>
      <c r="F74" s="830"/>
      <c r="G74" s="830"/>
      <c r="H74" s="393"/>
      <c r="I74" s="544"/>
    </row>
    <row r="75" spans="1:9" ht="19.5" hidden="1" customHeight="1" outlineLevel="1" x14ac:dyDescent="0.25">
      <c r="A75" s="474">
        <f t="shared" si="0"/>
        <v>57</v>
      </c>
      <c r="B75" s="539"/>
      <c r="C75" s="146"/>
      <c r="D75" s="829"/>
      <c r="E75" s="830"/>
      <c r="F75" s="830"/>
      <c r="G75" s="830"/>
      <c r="H75" s="393"/>
      <c r="I75" s="544"/>
    </row>
    <row r="76" spans="1:9" ht="24.75" customHeight="1" collapsed="1" thickBot="1" x14ac:dyDescent="0.35">
      <c r="A76" s="253"/>
      <c r="B76" s="1474" t="s">
        <v>259</v>
      </c>
      <c r="C76" s="1475"/>
      <c r="D76" s="1476"/>
      <c r="E76" s="1090">
        <f>+'MH DETAIL LIST'!E59</f>
        <v>3040378.8911833675</v>
      </c>
      <c r="F76" s="1090">
        <f>+'MH DETAIL LIST'!F59</f>
        <v>27658</v>
      </c>
      <c r="G76" s="1090">
        <f>+'MH DETAIL LIST'!G59</f>
        <v>67113.11</v>
      </c>
      <c r="H76" s="395">
        <f>ROUND(G76/2080,2)</f>
        <v>32.270000000000003</v>
      </c>
      <c r="I76" s="544"/>
    </row>
    <row r="77" spans="1:9" ht="19.5" customHeight="1" thickTop="1" x14ac:dyDescent="0.25">
      <c r="A77" s="253"/>
      <c r="B77" s="1497"/>
      <c r="C77" s="1497"/>
      <c r="D77" s="1497"/>
      <c r="E77" s="487"/>
      <c r="F77" s="831"/>
      <c r="G77" s="295"/>
      <c r="H77" s="300"/>
      <c r="I77" s="544"/>
    </row>
    <row r="78" spans="1:9" ht="19.5" customHeight="1" x14ac:dyDescent="0.3">
      <c r="A78" s="207" t="s">
        <v>84</v>
      </c>
      <c r="B78" s="1487" t="s">
        <v>211</v>
      </c>
      <c r="C78" s="1488"/>
      <c r="D78" s="1489"/>
      <c r="E78" s="338"/>
      <c r="F78" s="338"/>
      <c r="G78" s="390"/>
      <c r="H78" s="391"/>
      <c r="I78" s="544"/>
    </row>
    <row r="79" spans="1:9" ht="19.5" customHeight="1" x14ac:dyDescent="0.25">
      <c r="A79" s="474">
        <v>1</v>
      </c>
      <c r="B79" s="536" t="s">
        <v>1018</v>
      </c>
      <c r="C79" s="623"/>
      <c r="D79" s="624"/>
      <c r="E79" s="537"/>
      <c r="F79" s="963"/>
      <c r="G79" s="555"/>
      <c r="H79" s="393"/>
      <c r="I79" s="544"/>
    </row>
    <row r="80" spans="1:9" ht="19.5" customHeight="1" x14ac:dyDescent="0.25">
      <c r="A80" s="474">
        <v>2</v>
      </c>
      <c r="B80"/>
      <c r="C80" s="584"/>
      <c r="D80" s="585"/>
      <c r="E80" s="537"/>
      <c r="F80" s="963"/>
      <c r="G80" s="555"/>
      <c r="H80" s="393"/>
      <c r="I80" s="544"/>
    </row>
    <row r="81" spans="1:9" ht="19.5" customHeight="1" x14ac:dyDescent="0.25">
      <c r="A81" s="474">
        <v>3</v>
      </c>
      <c r="B81"/>
      <c r="C81" s="645"/>
      <c r="D81" s="646"/>
      <c r="E81" s="537"/>
      <c r="F81" s="963"/>
      <c r="G81" s="555"/>
      <c r="H81" s="393"/>
      <c r="I81" s="544"/>
    </row>
    <row r="82" spans="1:9" ht="19.5" customHeight="1" x14ac:dyDescent="0.25">
      <c r="A82" s="474">
        <v>4</v>
      </c>
      <c r="B82"/>
      <c r="C82" s="584"/>
      <c r="D82" s="585"/>
      <c r="E82" s="537"/>
      <c r="F82" s="963"/>
      <c r="G82" s="555"/>
      <c r="H82" s="393"/>
      <c r="I82" s="544"/>
    </row>
    <row r="83" spans="1:9" ht="19.5" hidden="1" customHeight="1" outlineLevel="1" x14ac:dyDescent="0.25">
      <c r="A83" s="474">
        <v>5</v>
      </c>
      <c r="B83"/>
      <c r="C83" s="623"/>
      <c r="D83" s="624"/>
      <c r="E83" s="537"/>
      <c r="F83" s="963"/>
      <c r="G83" s="555"/>
      <c r="H83" s="393"/>
      <c r="I83" s="544"/>
    </row>
    <row r="84" spans="1:9" ht="19.5" hidden="1" customHeight="1" outlineLevel="1" x14ac:dyDescent="0.25">
      <c r="A84" s="474">
        <v>6</v>
      </c>
      <c r="B84"/>
      <c r="C84" s="659"/>
      <c r="D84" s="660"/>
      <c r="E84" s="537"/>
      <c r="F84" s="963"/>
      <c r="G84" s="555"/>
      <c r="H84" s="393"/>
      <c r="I84" s="544"/>
    </row>
    <row r="85" spans="1:9" ht="19.5" hidden="1" customHeight="1" outlineLevel="1" x14ac:dyDescent="0.25">
      <c r="A85" s="474">
        <v>7</v>
      </c>
      <c r="B85"/>
      <c r="C85" s="584"/>
      <c r="D85" s="585"/>
      <c r="E85" s="537"/>
      <c r="F85" s="963"/>
      <c r="G85" s="555"/>
      <c r="H85" s="393"/>
      <c r="I85" s="544"/>
    </row>
    <row r="86" spans="1:9" ht="19.5" hidden="1" customHeight="1" outlineLevel="1" x14ac:dyDescent="0.25">
      <c r="A86" s="474">
        <v>8</v>
      </c>
      <c r="B86"/>
      <c r="C86" s="584"/>
      <c r="D86" s="585"/>
      <c r="E86" s="537"/>
      <c r="F86" s="963"/>
      <c r="G86" s="555"/>
      <c r="H86" s="393"/>
      <c r="I86" s="544"/>
    </row>
    <row r="87" spans="1:9" ht="19.5" hidden="1" customHeight="1" outlineLevel="1" x14ac:dyDescent="0.25">
      <c r="A87" s="474">
        <v>9</v>
      </c>
      <c r="B87"/>
      <c r="C87" s="584"/>
      <c r="D87" s="585"/>
      <c r="E87" s="537"/>
      <c r="F87" s="963"/>
      <c r="G87" s="555"/>
      <c r="H87" s="393"/>
      <c r="I87" s="544"/>
    </row>
    <row r="88" spans="1:9" ht="19.5" hidden="1" customHeight="1" outlineLevel="1" x14ac:dyDescent="0.25">
      <c r="A88" s="474">
        <v>10</v>
      </c>
      <c r="B88"/>
      <c r="C88" s="584"/>
      <c r="D88" s="585"/>
      <c r="E88" s="537"/>
      <c r="F88" s="963"/>
      <c r="G88" s="555"/>
      <c r="H88" s="393"/>
      <c r="I88" s="544"/>
    </row>
    <row r="89" spans="1:9" ht="19.5" hidden="1" customHeight="1" outlineLevel="1" x14ac:dyDescent="0.25">
      <c r="A89" s="474">
        <v>11</v>
      </c>
      <c r="B89"/>
      <c r="C89" s="659"/>
      <c r="D89" s="660"/>
      <c r="E89" s="537"/>
      <c r="F89" s="963"/>
      <c r="G89" s="555"/>
      <c r="H89" s="393"/>
      <c r="I89" s="544"/>
    </row>
    <row r="90" spans="1:9" ht="19.5" hidden="1" customHeight="1" outlineLevel="1" x14ac:dyDescent="0.25">
      <c r="A90" s="474">
        <v>12</v>
      </c>
      <c r="B90"/>
      <c r="C90" s="584"/>
      <c r="D90" s="585"/>
      <c r="E90" s="537"/>
      <c r="F90" s="963"/>
      <c r="G90" s="555"/>
      <c r="H90" s="393"/>
      <c r="I90" s="544"/>
    </row>
    <row r="91" spans="1:9" ht="19.5" hidden="1" customHeight="1" outlineLevel="1" x14ac:dyDescent="0.25">
      <c r="A91" s="474">
        <v>13</v>
      </c>
      <c r="B91"/>
      <c r="C91" s="584"/>
      <c r="D91" s="585"/>
      <c r="E91" s="537"/>
      <c r="F91" s="963"/>
      <c r="G91" s="555"/>
      <c r="H91" s="393"/>
      <c r="I91" s="544"/>
    </row>
    <row r="92" spans="1:9" ht="19.5" hidden="1" customHeight="1" outlineLevel="1" x14ac:dyDescent="0.25">
      <c r="A92" s="474">
        <v>14</v>
      </c>
      <c r="B92"/>
      <c r="C92" s="584"/>
      <c r="D92" s="585"/>
      <c r="E92" s="537"/>
      <c r="F92" s="963"/>
      <c r="G92" s="555"/>
      <c r="H92" s="393"/>
      <c r="I92" s="544"/>
    </row>
    <row r="93" spans="1:9" ht="19.5" hidden="1" customHeight="1" outlineLevel="1" x14ac:dyDescent="0.25">
      <c r="A93" s="474">
        <v>15</v>
      </c>
      <c r="B93"/>
      <c r="C93" s="584"/>
      <c r="D93" s="585"/>
      <c r="E93" s="537"/>
      <c r="F93" s="963"/>
      <c r="G93" s="555"/>
      <c r="H93" s="393"/>
      <c r="I93" s="544"/>
    </row>
    <row r="94" spans="1:9" ht="19.5" hidden="1" customHeight="1" outlineLevel="1" x14ac:dyDescent="0.25">
      <c r="A94" s="474">
        <f>+A93+1</f>
        <v>16</v>
      </c>
      <c r="B94"/>
      <c r="C94" s="584"/>
      <c r="D94" s="585"/>
      <c r="E94" s="537"/>
      <c r="F94" s="963"/>
      <c r="G94" s="555"/>
      <c r="H94" s="393"/>
      <c r="I94" s="544"/>
    </row>
    <row r="95" spans="1:9" ht="19.5" hidden="1" customHeight="1" outlineLevel="1" x14ac:dyDescent="0.25">
      <c r="A95" s="474">
        <f t="shared" ref="A95:A268" si="1">+A94+1</f>
        <v>17</v>
      </c>
      <c r="B95"/>
      <c r="C95" s="584"/>
      <c r="D95" s="585"/>
      <c r="E95" s="537"/>
      <c r="F95" s="963"/>
      <c r="G95" s="555"/>
      <c r="H95" s="393"/>
      <c r="I95" s="544"/>
    </row>
    <row r="96" spans="1:9" ht="19.5" hidden="1" customHeight="1" outlineLevel="1" x14ac:dyDescent="0.25">
      <c r="A96" s="474">
        <f t="shared" si="1"/>
        <v>18</v>
      </c>
      <c r="B96"/>
      <c r="C96" s="584"/>
      <c r="D96" s="585"/>
      <c r="E96" s="537"/>
      <c r="F96" s="963"/>
      <c r="G96" s="555"/>
      <c r="H96" s="393"/>
      <c r="I96" s="544"/>
    </row>
    <row r="97" spans="1:9" ht="19.5" hidden="1" customHeight="1" outlineLevel="1" x14ac:dyDescent="0.25">
      <c r="A97" s="474">
        <f t="shared" si="1"/>
        <v>19</v>
      </c>
      <c r="B97"/>
      <c r="C97" s="584"/>
      <c r="D97" s="585"/>
      <c r="E97" s="537"/>
      <c r="F97" s="963"/>
      <c r="G97" s="555"/>
      <c r="H97" s="393"/>
      <c r="I97" s="544"/>
    </row>
    <row r="98" spans="1:9" ht="19.5" hidden="1" customHeight="1" outlineLevel="1" x14ac:dyDescent="0.25">
      <c r="A98" s="474">
        <f t="shared" si="1"/>
        <v>20</v>
      </c>
      <c r="B98"/>
      <c r="C98" s="584"/>
      <c r="D98" s="585"/>
      <c r="E98" s="537"/>
      <c r="F98" s="963"/>
      <c r="G98" s="555"/>
      <c r="H98" s="393"/>
      <c r="I98" s="544"/>
    </row>
    <row r="99" spans="1:9" ht="19.5" hidden="1" customHeight="1" outlineLevel="1" x14ac:dyDescent="0.25">
      <c r="A99" s="474">
        <f t="shared" si="1"/>
        <v>21</v>
      </c>
      <c r="B99"/>
      <c r="C99" s="623"/>
      <c r="D99" s="624"/>
      <c r="E99" s="537"/>
      <c r="F99" s="963"/>
      <c r="G99" s="555"/>
      <c r="H99" s="373"/>
      <c r="I99" s="544"/>
    </row>
    <row r="100" spans="1:9" ht="19.5" hidden="1" customHeight="1" outlineLevel="1" x14ac:dyDescent="0.25">
      <c r="A100" s="474">
        <f t="shared" si="1"/>
        <v>22</v>
      </c>
      <c r="B100"/>
      <c r="C100" s="584"/>
      <c r="D100" s="585"/>
      <c r="E100" s="537"/>
      <c r="F100" s="963"/>
      <c r="G100" s="555"/>
      <c r="H100" s="393"/>
      <c r="I100" s="544"/>
    </row>
    <row r="101" spans="1:9" ht="19.5" hidden="1" customHeight="1" outlineLevel="1" x14ac:dyDescent="0.25">
      <c r="A101" s="474">
        <f t="shared" si="1"/>
        <v>23</v>
      </c>
      <c r="B101"/>
      <c r="C101" s="584"/>
      <c r="D101" s="585"/>
      <c r="E101" s="537"/>
      <c r="F101" s="963"/>
      <c r="G101" s="555"/>
      <c r="H101" s="393"/>
      <c r="I101" s="544"/>
    </row>
    <row r="102" spans="1:9" ht="19.5" hidden="1" customHeight="1" outlineLevel="1" x14ac:dyDescent="0.25">
      <c r="A102" s="474">
        <f t="shared" si="1"/>
        <v>24</v>
      </c>
      <c r="B102"/>
      <c r="C102" s="584"/>
      <c r="D102" s="585"/>
      <c r="E102" s="537"/>
      <c r="F102" s="963"/>
      <c r="G102" s="555"/>
      <c r="H102" s="393"/>
      <c r="I102" s="544"/>
    </row>
    <row r="103" spans="1:9" ht="19.5" hidden="1" customHeight="1" outlineLevel="1" x14ac:dyDescent="0.25">
      <c r="A103" s="474">
        <f t="shared" si="1"/>
        <v>25</v>
      </c>
      <c r="B103"/>
      <c r="C103" s="584"/>
      <c r="D103" s="585"/>
      <c r="E103" s="537"/>
      <c r="F103" s="963"/>
      <c r="G103" s="555"/>
      <c r="H103" s="393"/>
      <c r="I103" s="544"/>
    </row>
    <row r="104" spans="1:9" ht="19.5" hidden="1" customHeight="1" outlineLevel="1" x14ac:dyDescent="0.25">
      <c r="A104" s="474">
        <f t="shared" si="1"/>
        <v>26</v>
      </c>
      <c r="B104"/>
      <c r="C104" s="584"/>
      <c r="D104" s="585"/>
      <c r="E104" s="537"/>
      <c r="F104" s="963"/>
      <c r="G104" s="555"/>
      <c r="H104" s="393"/>
      <c r="I104" s="544"/>
    </row>
    <row r="105" spans="1:9" ht="19.5" hidden="1" customHeight="1" outlineLevel="1" x14ac:dyDescent="0.25">
      <c r="A105" s="474">
        <f t="shared" si="1"/>
        <v>27</v>
      </c>
      <c r="B105"/>
      <c r="C105" s="584"/>
      <c r="D105" s="585"/>
      <c r="E105" s="537"/>
      <c r="F105" s="963"/>
      <c r="G105" s="555"/>
      <c r="H105" s="393"/>
      <c r="I105" s="544"/>
    </row>
    <row r="106" spans="1:9" ht="19.5" hidden="1" customHeight="1" outlineLevel="1" x14ac:dyDescent="0.25">
      <c r="A106" s="474">
        <f t="shared" si="1"/>
        <v>28</v>
      </c>
      <c r="B106"/>
      <c r="C106" s="584"/>
      <c r="D106" s="585"/>
      <c r="E106" s="537"/>
      <c r="F106" s="963"/>
      <c r="G106" s="555"/>
      <c r="H106" s="393"/>
      <c r="I106" s="544"/>
    </row>
    <row r="107" spans="1:9" ht="19.5" hidden="1" customHeight="1" outlineLevel="1" x14ac:dyDescent="0.25">
      <c r="A107" s="474">
        <f t="shared" si="1"/>
        <v>29</v>
      </c>
      <c r="B107"/>
      <c r="C107" s="584"/>
      <c r="D107" s="585"/>
      <c r="E107" s="537"/>
      <c r="F107" s="963"/>
      <c r="G107" s="555"/>
      <c r="H107" s="393"/>
      <c r="I107" s="544"/>
    </row>
    <row r="108" spans="1:9" ht="19.5" hidden="1" customHeight="1" outlineLevel="1" x14ac:dyDescent="0.25">
      <c r="A108" s="474">
        <f t="shared" si="1"/>
        <v>30</v>
      </c>
      <c r="B108"/>
      <c r="C108" s="584"/>
      <c r="D108" s="585"/>
      <c r="E108" s="537"/>
      <c r="F108" s="963"/>
      <c r="G108" s="555"/>
      <c r="H108" s="393"/>
      <c r="I108" s="544"/>
    </row>
    <row r="109" spans="1:9" ht="19.5" hidden="1" customHeight="1" outlineLevel="1" x14ac:dyDescent="0.25">
      <c r="A109" s="474">
        <f t="shared" si="1"/>
        <v>31</v>
      </c>
      <c r="B109"/>
      <c r="C109" s="584"/>
      <c r="D109" s="585"/>
      <c r="E109" s="537"/>
      <c r="F109" s="963"/>
      <c r="G109" s="555"/>
      <c r="H109" s="393"/>
      <c r="I109" s="544"/>
    </row>
    <row r="110" spans="1:9" ht="19.5" hidden="1" customHeight="1" outlineLevel="1" x14ac:dyDescent="0.25">
      <c r="A110" s="474">
        <f t="shared" si="1"/>
        <v>32</v>
      </c>
      <c r="B110"/>
      <c r="C110" s="623"/>
      <c r="D110" s="624"/>
      <c r="E110" s="537"/>
      <c r="F110" s="963"/>
      <c r="G110" s="555"/>
      <c r="H110" s="393"/>
      <c r="I110" s="544"/>
    </row>
    <row r="111" spans="1:9" ht="19.5" hidden="1" customHeight="1" outlineLevel="1" x14ac:dyDescent="0.25">
      <c r="A111" s="474">
        <f t="shared" si="1"/>
        <v>33</v>
      </c>
      <c r="B111"/>
      <c r="C111" s="584"/>
      <c r="D111" s="585"/>
      <c r="E111" s="537"/>
      <c r="F111" s="963"/>
      <c r="G111" s="555"/>
      <c r="H111" s="393"/>
      <c r="I111" s="544"/>
    </row>
    <row r="112" spans="1:9" ht="19.5" hidden="1" customHeight="1" outlineLevel="1" x14ac:dyDescent="0.25">
      <c r="A112" s="474">
        <f t="shared" si="1"/>
        <v>34</v>
      </c>
      <c r="B112"/>
      <c r="C112" s="584"/>
      <c r="D112" s="585"/>
      <c r="E112" s="537"/>
      <c r="F112" s="963"/>
      <c r="G112" s="555"/>
      <c r="H112" s="393"/>
      <c r="I112" s="544"/>
    </row>
    <row r="113" spans="1:9" ht="19.5" hidden="1" customHeight="1" outlineLevel="1" x14ac:dyDescent="0.25">
      <c r="A113" s="474">
        <f t="shared" si="1"/>
        <v>35</v>
      </c>
      <c r="B113"/>
      <c r="C113" s="584"/>
      <c r="D113" s="585"/>
      <c r="E113" s="537"/>
      <c r="F113" s="963"/>
      <c r="G113" s="555"/>
      <c r="H113" s="393"/>
      <c r="I113" s="544"/>
    </row>
    <row r="114" spans="1:9" ht="19.5" hidden="1" customHeight="1" outlineLevel="1" x14ac:dyDescent="0.25">
      <c r="A114" s="474">
        <f t="shared" si="1"/>
        <v>36</v>
      </c>
      <c r="B114"/>
      <c r="C114" s="659"/>
      <c r="D114" s="660"/>
      <c r="E114" s="537"/>
      <c r="F114" s="963"/>
      <c r="G114" s="555"/>
      <c r="H114" s="393"/>
      <c r="I114" s="544"/>
    </row>
    <row r="115" spans="1:9" ht="19.5" hidden="1" customHeight="1" outlineLevel="1" x14ac:dyDescent="0.25">
      <c r="A115" s="474">
        <f t="shared" si="1"/>
        <v>37</v>
      </c>
      <c r="B115"/>
      <c r="C115" s="584"/>
      <c r="D115" s="585"/>
      <c r="E115" s="537"/>
      <c r="F115" s="963"/>
      <c r="G115" s="555"/>
      <c r="H115" s="393"/>
      <c r="I115" s="544"/>
    </row>
    <row r="116" spans="1:9" ht="19.5" hidden="1" customHeight="1" outlineLevel="1" x14ac:dyDescent="0.25">
      <c r="A116" s="474">
        <f t="shared" si="1"/>
        <v>38</v>
      </c>
      <c r="B116"/>
      <c r="C116" s="584"/>
      <c r="D116" s="585"/>
      <c r="E116" s="537"/>
      <c r="F116" s="963"/>
      <c r="G116" s="555"/>
      <c r="H116" s="393"/>
      <c r="I116" s="544"/>
    </row>
    <row r="117" spans="1:9" ht="19.5" hidden="1" customHeight="1" outlineLevel="1" x14ac:dyDescent="0.25">
      <c r="A117" s="474">
        <f t="shared" si="1"/>
        <v>39</v>
      </c>
      <c r="B117"/>
      <c r="C117" s="636"/>
      <c r="D117" s="637"/>
      <c r="E117" s="537"/>
      <c r="F117" s="963"/>
      <c r="G117" s="555"/>
      <c r="H117" s="393"/>
      <c r="I117" s="544"/>
    </row>
    <row r="118" spans="1:9" ht="19.5" hidden="1" customHeight="1" outlineLevel="1" x14ac:dyDescent="0.25">
      <c r="A118" s="474">
        <f t="shared" si="1"/>
        <v>40</v>
      </c>
      <c r="B118"/>
      <c r="C118" s="636"/>
      <c r="D118" s="637"/>
      <c r="E118" s="537"/>
      <c r="F118" s="963"/>
      <c r="G118" s="555"/>
      <c r="H118" s="393"/>
      <c r="I118" s="544"/>
    </row>
    <row r="119" spans="1:9" ht="19.5" hidden="1" customHeight="1" outlineLevel="1" x14ac:dyDescent="0.25">
      <c r="A119" s="474">
        <f t="shared" si="1"/>
        <v>41</v>
      </c>
      <c r="B119"/>
      <c r="C119" s="636"/>
      <c r="D119" s="637"/>
      <c r="E119" s="537"/>
      <c r="F119" s="963"/>
      <c r="G119" s="555"/>
      <c r="H119" s="393"/>
      <c r="I119" s="544"/>
    </row>
    <row r="120" spans="1:9" ht="19.5" hidden="1" customHeight="1" outlineLevel="1" x14ac:dyDescent="0.25">
      <c r="A120" s="474">
        <f t="shared" si="1"/>
        <v>42</v>
      </c>
      <c r="B120"/>
      <c r="C120" s="636"/>
      <c r="D120" s="637"/>
      <c r="E120" s="537"/>
      <c r="F120" s="963"/>
      <c r="G120" s="555"/>
      <c r="H120" s="393"/>
      <c r="I120" s="544"/>
    </row>
    <row r="121" spans="1:9" ht="19.5" hidden="1" customHeight="1" outlineLevel="1" x14ac:dyDescent="0.25">
      <c r="A121" s="474">
        <f t="shared" si="1"/>
        <v>43</v>
      </c>
      <c r="B121"/>
      <c r="C121" s="636"/>
      <c r="D121" s="637"/>
      <c r="E121" s="537"/>
      <c r="F121" s="963"/>
      <c r="G121" s="555"/>
      <c r="H121" s="393"/>
      <c r="I121" s="544"/>
    </row>
    <row r="122" spans="1:9" ht="19.5" hidden="1" customHeight="1" outlineLevel="1" x14ac:dyDescent="0.25">
      <c r="A122" s="474">
        <f t="shared" si="1"/>
        <v>44</v>
      </c>
      <c r="B122"/>
      <c r="C122" s="636"/>
      <c r="D122" s="637"/>
      <c r="E122" s="537"/>
      <c r="F122" s="963"/>
      <c r="G122" s="555"/>
      <c r="H122" s="393"/>
      <c r="I122" s="544"/>
    </row>
    <row r="123" spans="1:9" ht="19.5" hidden="1" customHeight="1" outlineLevel="1" x14ac:dyDescent="0.25">
      <c r="A123" s="474">
        <f t="shared" si="1"/>
        <v>45</v>
      </c>
      <c r="B123"/>
      <c r="C123" s="584"/>
      <c r="D123" s="585"/>
      <c r="E123" s="537"/>
      <c r="F123" s="963"/>
      <c r="G123" s="555"/>
      <c r="H123" s="393"/>
      <c r="I123" s="544"/>
    </row>
    <row r="124" spans="1:9" ht="19.5" hidden="1" customHeight="1" outlineLevel="1" x14ac:dyDescent="0.25">
      <c r="A124" s="474">
        <f t="shared" si="1"/>
        <v>46</v>
      </c>
      <c r="B124"/>
      <c r="C124" s="542"/>
      <c r="D124" s="543"/>
      <c r="E124" s="537"/>
      <c r="F124" s="963"/>
      <c r="G124" s="555"/>
      <c r="H124" s="393"/>
      <c r="I124" s="544"/>
    </row>
    <row r="125" spans="1:9" ht="19.5" hidden="1" customHeight="1" outlineLevel="1" x14ac:dyDescent="0.25">
      <c r="A125" s="474">
        <f t="shared" si="1"/>
        <v>47</v>
      </c>
      <c r="B125"/>
      <c r="C125" s="584"/>
      <c r="D125" s="585"/>
      <c r="E125" s="537"/>
      <c r="F125" s="963"/>
      <c r="G125" s="555"/>
      <c r="H125" s="393"/>
      <c r="I125" s="544"/>
    </row>
    <row r="126" spans="1:9" ht="19.5" hidden="1" customHeight="1" outlineLevel="1" x14ac:dyDescent="0.25">
      <c r="A126" s="474">
        <f t="shared" si="1"/>
        <v>48</v>
      </c>
      <c r="B126"/>
      <c r="C126" s="623"/>
      <c r="D126" s="624"/>
      <c r="E126" s="537"/>
      <c r="F126" s="963"/>
      <c r="G126" s="555"/>
      <c r="H126" s="393"/>
      <c r="I126" s="544"/>
    </row>
    <row r="127" spans="1:9" ht="19.5" hidden="1" customHeight="1" outlineLevel="1" x14ac:dyDescent="0.25">
      <c r="A127" s="474">
        <f t="shared" si="1"/>
        <v>49</v>
      </c>
      <c r="B127"/>
      <c r="C127" s="623"/>
      <c r="D127" s="624"/>
      <c r="E127" s="537"/>
      <c r="F127" s="963"/>
      <c r="G127" s="555"/>
      <c r="H127" s="393"/>
      <c r="I127" s="544"/>
    </row>
    <row r="128" spans="1:9" ht="19.5" hidden="1" customHeight="1" outlineLevel="1" x14ac:dyDescent="0.25">
      <c r="A128" s="474">
        <f t="shared" si="1"/>
        <v>50</v>
      </c>
      <c r="B128"/>
      <c r="C128" s="584"/>
      <c r="D128" s="585"/>
      <c r="E128" s="537"/>
      <c r="F128" s="963"/>
      <c r="G128" s="555"/>
      <c r="H128" s="393"/>
      <c r="I128" s="544"/>
    </row>
    <row r="129" spans="1:9" ht="19.5" hidden="1" customHeight="1" outlineLevel="1" x14ac:dyDescent="0.25">
      <c r="A129" s="474">
        <f t="shared" si="1"/>
        <v>51</v>
      </c>
      <c r="B129"/>
      <c r="C129" s="584"/>
      <c r="D129" s="585"/>
      <c r="E129" s="537"/>
      <c r="F129" s="963"/>
      <c r="G129" s="555"/>
      <c r="H129" s="393"/>
      <c r="I129" s="544"/>
    </row>
    <row r="130" spans="1:9" ht="19.5" hidden="1" customHeight="1" outlineLevel="1" x14ac:dyDescent="0.25">
      <c r="A130" s="474">
        <f t="shared" si="1"/>
        <v>52</v>
      </c>
      <c r="B130"/>
      <c r="C130" s="584"/>
      <c r="D130" s="585"/>
      <c r="E130" s="537"/>
      <c r="F130" s="963"/>
      <c r="G130" s="555"/>
      <c r="H130" s="393"/>
      <c r="I130" s="544"/>
    </row>
    <row r="131" spans="1:9" ht="19.5" hidden="1" customHeight="1" outlineLevel="1" x14ac:dyDescent="0.25">
      <c r="A131" s="474">
        <f t="shared" si="1"/>
        <v>53</v>
      </c>
      <c r="B131"/>
      <c r="C131" s="584"/>
      <c r="D131" s="585"/>
      <c r="E131" s="537"/>
      <c r="F131" s="963"/>
      <c r="G131" s="555"/>
      <c r="H131" s="393"/>
      <c r="I131" s="544"/>
    </row>
    <row r="132" spans="1:9" ht="19.5" hidden="1" customHeight="1" outlineLevel="1" x14ac:dyDescent="0.25">
      <c r="A132" s="474">
        <f t="shared" si="1"/>
        <v>54</v>
      </c>
      <c r="B132"/>
      <c r="C132" s="584"/>
      <c r="D132" s="585"/>
      <c r="E132" s="537"/>
      <c r="F132" s="963"/>
      <c r="G132" s="555"/>
      <c r="H132" s="393"/>
      <c r="I132" s="544"/>
    </row>
    <row r="133" spans="1:9" ht="19.5" hidden="1" customHeight="1" outlineLevel="1" x14ac:dyDescent="0.25">
      <c r="A133" s="474">
        <f t="shared" si="1"/>
        <v>55</v>
      </c>
      <c r="B133"/>
      <c r="C133" s="584"/>
      <c r="D133" s="585"/>
      <c r="E133" s="537"/>
      <c r="F133" s="963"/>
      <c r="G133" s="555"/>
      <c r="H133" s="393"/>
      <c r="I133" s="544"/>
    </row>
    <row r="134" spans="1:9" ht="19.5" hidden="1" customHeight="1" outlineLevel="1" x14ac:dyDescent="0.25">
      <c r="A134" s="474">
        <f t="shared" si="1"/>
        <v>56</v>
      </c>
      <c r="B134"/>
      <c r="C134" s="584"/>
      <c r="D134" s="585"/>
      <c r="E134" s="537"/>
      <c r="F134" s="963"/>
      <c r="G134" s="555"/>
      <c r="H134" s="393"/>
      <c r="I134" s="544"/>
    </row>
    <row r="135" spans="1:9" ht="19.5" hidden="1" customHeight="1" outlineLevel="1" x14ac:dyDescent="0.25">
      <c r="A135" s="474">
        <f t="shared" si="1"/>
        <v>57</v>
      </c>
      <c r="B135"/>
      <c r="C135" s="659"/>
      <c r="D135" s="660"/>
      <c r="E135" s="537"/>
      <c r="F135" s="963"/>
      <c r="G135" s="555"/>
      <c r="H135" s="393"/>
      <c r="I135" s="544"/>
    </row>
    <row r="136" spans="1:9" ht="19.5" hidden="1" customHeight="1" outlineLevel="1" x14ac:dyDescent="0.25">
      <c r="A136" s="474">
        <f t="shared" si="1"/>
        <v>58</v>
      </c>
      <c r="B136"/>
      <c r="C136" s="584"/>
      <c r="D136" s="585"/>
      <c r="E136" s="537"/>
      <c r="F136" s="963"/>
      <c r="G136" s="555"/>
      <c r="H136" s="393"/>
      <c r="I136" s="544"/>
    </row>
    <row r="137" spans="1:9" ht="19.5" hidden="1" customHeight="1" outlineLevel="1" x14ac:dyDescent="0.25">
      <c r="A137" s="474">
        <f t="shared" si="1"/>
        <v>59</v>
      </c>
      <c r="B137"/>
      <c r="C137" s="659"/>
      <c r="D137" s="660"/>
      <c r="E137" s="537"/>
      <c r="F137" s="963"/>
      <c r="G137" s="555"/>
      <c r="H137" s="393"/>
      <c r="I137" s="544"/>
    </row>
    <row r="138" spans="1:9" ht="19.5" hidden="1" customHeight="1" outlineLevel="1" x14ac:dyDescent="0.25">
      <c r="A138" s="474">
        <f t="shared" si="1"/>
        <v>60</v>
      </c>
      <c r="B138"/>
      <c r="C138" s="584"/>
      <c r="D138" s="585"/>
      <c r="E138" s="537"/>
      <c r="F138" s="963"/>
      <c r="G138" s="555"/>
      <c r="H138" s="393"/>
      <c r="I138" s="544"/>
    </row>
    <row r="139" spans="1:9" ht="19.5" hidden="1" customHeight="1" outlineLevel="1" x14ac:dyDescent="0.25">
      <c r="A139" s="474">
        <f t="shared" si="1"/>
        <v>61</v>
      </c>
      <c r="B139"/>
      <c r="C139" s="584"/>
      <c r="D139" s="585"/>
      <c r="E139" s="537"/>
      <c r="F139" s="963"/>
      <c r="G139" s="555"/>
      <c r="H139" s="393"/>
      <c r="I139" s="544"/>
    </row>
    <row r="140" spans="1:9" ht="19.5" hidden="1" customHeight="1" outlineLevel="1" x14ac:dyDescent="0.25">
      <c r="A140" s="474">
        <f t="shared" si="1"/>
        <v>62</v>
      </c>
      <c r="B140"/>
      <c r="C140" s="584"/>
      <c r="D140" s="585"/>
      <c r="E140" s="537"/>
      <c r="F140" s="963"/>
      <c r="G140" s="555"/>
      <c r="H140" s="393"/>
      <c r="I140" s="544"/>
    </row>
    <row r="141" spans="1:9" ht="19.5" hidden="1" customHeight="1" outlineLevel="1" x14ac:dyDescent="0.25">
      <c r="A141" s="474">
        <f t="shared" si="1"/>
        <v>63</v>
      </c>
      <c r="B141"/>
      <c r="C141" s="584"/>
      <c r="D141" s="585"/>
      <c r="E141" s="537"/>
      <c r="F141" s="963"/>
      <c r="G141" s="555"/>
      <c r="H141" s="393"/>
      <c r="I141" s="544"/>
    </row>
    <row r="142" spans="1:9" ht="19.5" hidden="1" customHeight="1" outlineLevel="1" x14ac:dyDescent="0.25">
      <c r="A142" s="474">
        <f t="shared" si="1"/>
        <v>64</v>
      </c>
      <c r="B142"/>
      <c r="C142" s="584"/>
      <c r="D142" s="585"/>
      <c r="E142" s="537"/>
      <c r="F142" s="963"/>
      <c r="G142" s="555"/>
      <c r="H142" s="393"/>
      <c r="I142" s="544"/>
    </row>
    <row r="143" spans="1:9" ht="19.5" hidden="1" customHeight="1" outlineLevel="1" x14ac:dyDescent="0.25">
      <c r="A143" s="474">
        <f t="shared" si="1"/>
        <v>65</v>
      </c>
      <c r="B143"/>
      <c r="C143" s="584"/>
      <c r="D143" s="585"/>
      <c r="E143" s="537"/>
      <c r="F143" s="963"/>
      <c r="G143" s="555"/>
      <c r="H143" s="393"/>
      <c r="I143" s="544"/>
    </row>
    <row r="144" spans="1:9" ht="19.5" hidden="1" customHeight="1" outlineLevel="1" x14ac:dyDescent="0.25">
      <c r="A144" s="474">
        <f t="shared" si="1"/>
        <v>66</v>
      </c>
      <c r="B144"/>
      <c r="C144" s="584"/>
      <c r="D144" s="585"/>
      <c r="E144" s="537"/>
      <c r="F144" s="963"/>
      <c r="G144" s="555"/>
      <c r="H144" s="393"/>
      <c r="I144" s="544"/>
    </row>
    <row r="145" spans="1:9" ht="19.5" hidden="1" customHeight="1" outlineLevel="1" x14ac:dyDescent="0.25">
      <c r="A145" s="474">
        <f t="shared" si="1"/>
        <v>67</v>
      </c>
      <c r="B145"/>
      <c r="C145" s="584"/>
      <c r="D145" s="585"/>
      <c r="E145" s="537"/>
      <c r="F145" s="963"/>
      <c r="G145" s="555"/>
      <c r="H145" s="393"/>
      <c r="I145" s="544"/>
    </row>
    <row r="146" spans="1:9" ht="19.5" hidden="1" customHeight="1" outlineLevel="1" x14ac:dyDescent="0.25">
      <c r="A146" s="474">
        <f t="shared" si="1"/>
        <v>68</v>
      </c>
      <c r="B146"/>
      <c r="C146" s="584"/>
      <c r="D146" s="585"/>
      <c r="E146" s="537"/>
      <c r="F146" s="963"/>
      <c r="G146" s="555"/>
      <c r="H146" s="393"/>
      <c r="I146" s="544"/>
    </row>
    <row r="147" spans="1:9" ht="19.5" hidden="1" customHeight="1" outlineLevel="1" x14ac:dyDescent="0.25">
      <c r="A147" s="474">
        <f t="shared" si="1"/>
        <v>69</v>
      </c>
      <c r="B147"/>
      <c r="C147" s="584"/>
      <c r="D147" s="585"/>
      <c r="E147" s="537"/>
      <c r="F147" s="963"/>
      <c r="G147" s="555"/>
      <c r="H147" s="393"/>
      <c r="I147" s="544"/>
    </row>
    <row r="148" spans="1:9" ht="19.5" hidden="1" customHeight="1" outlineLevel="1" x14ac:dyDescent="0.25">
      <c r="A148" s="474">
        <f t="shared" si="1"/>
        <v>70</v>
      </c>
      <c r="B148"/>
      <c r="C148" s="584"/>
      <c r="D148" s="585"/>
      <c r="E148" s="537"/>
      <c r="F148" s="963"/>
      <c r="G148" s="555"/>
      <c r="H148" s="393"/>
      <c r="I148" s="544"/>
    </row>
    <row r="149" spans="1:9" ht="19.5" hidden="1" customHeight="1" outlineLevel="1" x14ac:dyDescent="0.25">
      <c r="A149" s="474">
        <f t="shared" si="1"/>
        <v>71</v>
      </c>
      <c r="B149"/>
      <c r="C149" s="645"/>
      <c r="D149" s="646"/>
      <c r="E149" s="537"/>
      <c r="F149" s="963"/>
      <c r="G149" s="555"/>
      <c r="H149" s="393"/>
      <c r="I149" s="544"/>
    </row>
    <row r="150" spans="1:9" ht="19.5" hidden="1" customHeight="1" outlineLevel="1" x14ac:dyDescent="0.25">
      <c r="A150" s="474">
        <f t="shared" si="1"/>
        <v>72</v>
      </c>
      <c r="B150"/>
      <c r="C150" s="645"/>
      <c r="D150" s="646"/>
      <c r="E150" s="537"/>
      <c r="F150" s="963"/>
      <c r="G150" s="555"/>
      <c r="H150" s="393"/>
      <c r="I150" s="544"/>
    </row>
    <row r="151" spans="1:9" ht="19.5" hidden="1" customHeight="1" outlineLevel="1" x14ac:dyDescent="0.25">
      <c r="A151" s="474">
        <f t="shared" si="1"/>
        <v>73</v>
      </c>
      <c r="B151"/>
      <c r="C151" s="645"/>
      <c r="D151" s="646"/>
      <c r="E151" s="537"/>
      <c r="F151" s="963"/>
      <c r="G151" s="555"/>
      <c r="H151" s="393"/>
      <c r="I151" s="544"/>
    </row>
    <row r="152" spans="1:9" ht="19.5" hidden="1" customHeight="1" outlineLevel="1" x14ac:dyDescent="0.25">
      <c r="A152" s="474">
        <f t="shared" si="1"/>
        <v>74</v>
      </c>
      <c r="B152"/>
      <c r="C152" s="645"/>
      <c r="D152" s="646"/>
      <c r="E152" s="537"/>
      <c r="F152" s="963"/>
      <c r="G152" s="555"/>
      <c r="H152" s="393"/>
      <c r="I152" s="544"/>
    </row>
    <row r="153" spans="1:9" ht="19.5" hidden="1" customHeight="1" outlineLevel="1" x14ac:dyDescent="0.25">
      <c r="A153" s="474">
        <f t="shared" si="1"/>
        <v>75</v>
      </c>
      <c r="B153"/>
      <c r="C153" s="645"/>
      <c r="D153" s="646"/>
      <c r="E153" s="537"/>
      <c r="F153" s="963"/>
      <c r="G153" s="555"/>
      <c r="H153" s="393"/>
      <c r="I153" s="544"/>
    </row>
    <row r="154" spans="1:9" ht="19.5" hidden="1" customHeight="1" outlineLevel="1" x14ac:dyDescent="0.25">
      <c r="A154" s="474">
        <f t="shared" si="1"/>
        <v>76</v>
      </c>
      <c r="B154"/>
      <c r="C154" s="645"/>
      <c r="D154" s="646"/>
      <c r="E154" s="537"/>
      <c r="F154" s="963"/>
      <c r="G154" s="555"/>
      <c r="H154" s="393"/>
      <c r="I154" s="544"/>
    </row>
    <row r="155" spans="1:9" ht="19.5" hidden="1" customHeight="1" outlineLevel="1" x14ac:dyDescent="0.25">
      <c r="A155" s="474">
        <f t="shared" si="1"/>
        <v>77</v>
      </c>
      <c r="B155"/>
      <c r="C155" s="645"/>
      <c r="D155" s="646"/>
      <c r="E155" s="537"/>
      <c r="F155" s="963"/>
      <c r="G155" s="555"/>
      <c r="H155" s="393"/>
      <c r="I155" s="544"/>
    </row>
    <row r="156" spans="1:9" ht="19.5" hidden="1" customHeight="1" outlineLevel="1" x14ac:dyDescent="0.25">
      <c r="A156" s="474">
        <f t="shared" si="1"/>
        <v>78</v>
      </c>
      <c r="B156"/>
      <c r="C156" s="645"/>
      <c r="D156" s="646"/>
      <c r="E156" s="537"/>
      <c r="F156" s="963"/>
      <c r="G156" s="555"/>
      <c r="H156" s="393"/>
      <c r="I156" s="544"/>
    </row>
    <row r="157" spans="1:9" ht="19.5" hidden="1" customHeight="1" outlineLevel="1" x14ac:dyDescent="0.25">
      <c r="A157" s="474">
        <f t="shared" si="1"/>
        <v>79</v>
      </c>
      <c r="B157"/>
      <c r="C157" s="645"/>
      <c r="D157" s="646"/>
      <c r="E157" s="537"/>
      <c r="F157" s="963"/>
      <c r="G157" s="555"/>
      <c r="H157" s="393"/>
      <c r="I157" s="544"/>
    </row>
    <row r="158" spans="1:9" ht="19.5" hidden="1" customHeight="1" outlineLevel="1" x14ac:dyDescent="0.25">
      <c r="A158" s="474">
        <f t="shared" si="1"/>
        <v>80</v>
      </c>
      <c r="B158"/>
      <c r="C158" s="645"/>
      <c r="D158" s="646"/>
      <c r="E158" s="537"/>
      <c r="F158" s="963"/>
      <c r="G158" s="555"/>
      <c r="H158" s="393"/>
      <c r="I158" s="544"/>
    </row>
    <row r="159" spans="1:9" ht="19.5" hidden="1" customHeight="1" outlineLevel="1" x14ac:dyDescent="0.25">
      <c r="A159" s="474">
        <f t="shared" si="1"/>
        <v>81</v>
      </c>
      <c r="B159"/>
      <c r="C159" s="645"/>
      <c r="D159" s="646"/>
      <c r="E159" s="537"/>
      <c r="F159" s="963"/>
      <c r="G159" s="555"/>
      <c r="H159" s="393"/>
      <c r="I159" s="544"/>
    </row>
    <row r="160" spans="1:9" ht="19.5" hidden="1" customHeight="1" outlineLevel="1" x14ac:dyDescent="0.25">
      <c r="A160" s="474">
        <f t="shared" si="1"/>
        <v>82</v>
      </c>
      <c r="B160"/>
      <c r="C160" s="645"/>
      <c r="D160" s="646"/>
      <c r="E160" s="537"/>
      <c r="F160" s="963"/>
      <c r="G160" s="555"/>
      <c r="H160" s="393"/>
      <c r="I160" s="544"/>
    </row>
    <row r="161" spans="1:9" ht="19.5" hidden="1" customHeight="1" outlineLevel="1" x14ac:dyDescent="0.25">
      <c r="A161" s="474">
        <f t="shared" si="1"/>
        <v>83</v>
      </c>
      <c r="B161"/>
      <c r="C161" s="645"/>
      <c r="D161" s="646"/>
      <c r="E161" s="537"/>
      <c r="F161" s="963"/>
      <c r="G161" s="555"/>
      <c r="H161" s="393"/>
      <c r="I161" s="544"/>
    </row>
    <row r="162" spans="1:9" ht="19.5" hidden="1" customHeight="1" outlineLevel="1" x14ac:dyDescent="0.25">
      <c r="A162" s="474">
        <f t="shared" si="1"/>
        <v>84</v>
      </c>
      <c r="B162"/>
      <c r="C162" s="645"/>
      <c r="D162" s="646"/>
      <c r="E162" s="537"/>
      <c r="F162" s="963"/>
      <c r="G162" s="555"/>
      <c r="H162" s="393"/>
      <c r="I162" s="544"/>
    </row>
    <row r="163" spans="1:9" ht="19.5" hidden="1" customHeight="1" outlineLevel="1" x14ac:dyDescent="0.25">
      <c r="A163" s="474">
        <f t="shared" si="1"/>
        <v>85</v>
      </c>
      <c r="B163"/>
      <c r="C163" s="645"/>
      <c r="D163" s="646"/>
      <c r="E163" s="537"/>
      <c r="F163" s="963"/>
      <c r="G163" s="555"/>
      <c r="H163" s="393"/>
      <c r="I163" s="544"/>
    </row>
    <row r="164" spans="1:9" ht="19.5" hidden="1" customHeight="1" outlineLevel="1" x14ac:dyDescent="0.25">
      <c r="A164" s="474">
        <f t="shared" si="1"/>
        <v>86</v>
      </c>
      <c r="B164"/>
      <c r="C164" s="645"/>
      <c r="D164" s="646"/>
      <c r="E164" s="537"/>
      <c r="F164" s="963"/>
      <c r="G164" s="555"/>
      <c r="H164" s="393"/>
      <c r="I164" s="544"/>
    </row>
    <row r="165" spans="1:9" ht="19.5" hidden="1" customHeight="1" outlineLevel="1" x14ac:dyDescent="0.25">
      <c r="A165" s="474">
        <f t="shared" si="1"/>
        <v>87</v>
      </c>
      <c r="B165"/>
      <c r="C165" s="645"/>
      <c r="D165" s="646"/>
      <c r="E165" s="537"/>
      <c r="F165" s="963"/>
      <c r="G165" s="555"/>
      <c r="H165" s="393"/>
      <c r="I165" s="544"/>
    </row>
    <row r="166" spans="1:9" ht="19.5" hidden="1" customHeight="1" outlineLevel="1" x14ac:dyDescent="0.25">
      <c r="A166" s="474">
        <f t="shared" si="1"/>
        <v>88</v>
      </c>
      <c r="B166"/>
      <c r="C166" s="645"/>
      <c r="D166" s="646"/>
      <c r="E166" s="537"/>
      <c r="F166" s="963"/>
      <c r="G166" s="555"/>
      <c r="H166" s="393"/>
      <c r="I166" s="544"/>
    </row>
    <row r="167" spans="1:9" ht="19.5" hidden="1" customHeight="1" outlineLevel="1" x14ac:dyDescent="0.25">
      <c r="A167" s="474">
        <f t="shared" si="1"/>
        <v>89</v>
      </c>
      <c r="B167"/>
      <c r="C167" s="645"/>
      <c r="D167" s="646"/>
      <c r="E167" s="537"/>
      <c r="F167" s="963"/>
      <c r="G167" s="555"/>
      <c r="H167" s="393"/>
      <c r="I167" s="544"/>
    </row>
    <row r="168" spans="1:9" ht="19.5" hidden="1" customHeight="1" outlineLevel="1" x14ac:dyDescent="0.25">
      <c r="A168" s="474">
        <f t="shared" si="1"/>
        <v>90</v>
      </c>
      <c r="B168"/>
      <c r="C168" s="645"/>
      <c r="D168" s="646"/>
      <c r="E168" s="537"/>
      <c r="F168" s="963"/>
      <c r="G168" s="555"/>
      <c r="H168" s="393"/>
      <c r="I168" s="544"/>
    </row>
    <row r="169" spans="1:9" ht="19.5" hidden="1" customHeight="1" outlineLevel="1" x14ac:dyDescent="0.25">
      <c r="A169" s="474">
        <f t="shared" si="1"/>
        <v>91</v>
      </c>
      <c r="B169"/>
      <c r="C169" s="645"/>
      <c r="D169" s="646"/>
      <c r="E169" s="537"/>
      <c r="F169" s="963"/>
      <c r="G169" s="555"/>
      <c r="H169" s="393"/>
      <c r="I169" s="544"/>
    </row>
    <row r="170" spans="1:9" ht="19.5" hidden="1" customHeight="1" outlineLevel="1" x14ac:dyDescent="0.25">
      <c r="A170" s="474">
        <f t="shared" si="1"/>
        <v>92</v>
      </c>
      <c r="B170"/>
      <c r="C170" s="645"/>
      <c r="D170" s="646"/>
      <c r="E170" s="537"/>
      <c r="F170" s="963"/>
      <c r="G170" s="555"/>
      <c r="H170" s="393"/>
      <c r="I170" s="544"/>
    </row>
    <row r="171" spans="1:9" ht="19.5" hidden="1" customHeight="1" outlineLevel="1" x14ac:dyDescent="0.25">
      <c r="A171" s="474">
        <f t="shared" si="1"/>
        <v>93</v>
      </c>
      <c r="B171"/>
      <c r="C171" s="645"/>
      <c r="D171" s="646"/>
      <c r="E171" s="537"/>
      <c r="F171" s="963"/>
      <c r="G171" s="555"/>
      <c r="H171" s="393"/>
      <c r="I171" s="544"/>
    </row>
    <row r="172" spans="1:9" ht="19.5" hidden="1" customHeight="1" outlineLevel="1" x14ac:dyDescent="0.25">
      <c r="A172" s="474">
        <f t="shared" si="1"/>
        <v>94</v>
      </c>
      <c r="B172"/>
      <c r="C172" s="645"/>
      <c r="D172" s="646"/>
      <c r="E172" s="537"/>
      <c r="F172" s="963"/>
      <c r="G172" s="555"/>
      <c r="H172" s="393"/>
      <c r="I172" s="544"/>
    </row>
    <row r="173" spans="1:9" ht="19.5" hidden="1" customHeight="1" outlineLevel="1" x14ac:dyDescent="0.25">
      <c r="A173" s="474">
        <f t="shared" si="1"/>
        <v>95</v>
      </c>
      <c r="B173"/>
      <c r="C173" s="645"/>
      <c r="D173" s="646"/>
      <c r="E173" s="537"/>
      <c r="F173" s="963"/>
      <c r="G173" s="555"/>
      <c r="H173" s="393"/>
      <c r="I173" s="544"/>
    </row>
    <row r="174" spans="1:9" ht="19.5" hidden="1" customHeight="1" outlineLevel="1" x14ac:dyDescent="0.25">
      <c r="A174" s="474">
        <f t="shared" si="1"/>
        <v>96</v>
      </c>
      <c r="B174"/>
      <c r="C174" s="645"/>
      <c r="D174" s="646"/>
      <c r="E174" s="537"/>
      <c r="F174" s="963"/>
      <c r="G174" s="555"/>
      <c r="H174" s="393"/>
      <c r="I174" s="544"/>
    </row>
    <row r="175" spans="1:9" ht="19.5" hidden="1" customHeight="1" outlineLevel="1" x14ac:dyDescent="0.25">
      <c r="A175" s="474">
        <f t="shared" si="1"/>
        <v>97</v>
      </c>
      <c r="B175"/>
      <c r="C175" s="645"/>
      <c r="D175" s="646"/>
      <c r="E175" s="537"/>
      <c r="F175" s="963"/>
      <c r="G175" s="555"/>
      <c r="H175" s="393"/>
      <c r="I175" s="544"/>
    </row>
    <row r="176" spans="1:9" ht="19.5" hidden="1" customHeight="1" outlineLevel="1" x14ac:dyDescent="0.25">
      <c r="A176" s="474">
        <f t="shared" si="1"/>
        <v>98</v>
      </c>
      <c r="B176"/>
      <c r="C176" s="645"/>
      <c r="D176" s="646"/>
      <c r="E176" s="537"/>
      <c r="F176" s="963"/>
      <c r="G176" s="555"/>
      <c r="H176" s="393"/>
      <c r="I176" s="544"/>
    </row>
    <row r="177" spans="1:9" ht="19.5" hidden="1" customHeight="1" outlineLevel="1" x14ac:dyDescent="0.25">
      <c r="A177" s="474">
        <f t="shared" si="1"/>
        <v>99</v>
      </c>
      <c r="B177"/>
      <c r="C177" s="645"/>
      <c r="D177" s="646"/>
      <c r="E177" s="537"/>
      <c r="F177" s="963"/>
      <c r="G177" s="555"/>
      <c r="H177" s="393"/>
      <c r="I177" s="544"/>
    </row>
    <row r="178" spans="1:9" ht="19.5" customHeight="1" collapsed="1" x14ac:dyDescent="0.25">
      <c r="A178" s="474">
        <f t="shared" si="1"/>
        <v>100</v>
      </c>
      <c r="B178"/>
      <c r="C178" s="645"/>
      <c r="D178" s="646"/>
      <c r="E178" s="537"/>
      <c r="F178" s="963"/>
      <c r="G178" s="555"/>
      <c r="H178" s="393"/>
      <c r="I178" s="544"/>
    </row>
    <row r="179" spans="1:9" ht="19.5" hidden="1" customHeight="1" outlineLevel="1" x14ac:dyDescent="0.25">
      <c r="A179" s="474">
        <f t="shared" si="1"/>
        <v>101</v>
      </c>
      <c r="B179"/>
      <c r="C179" s="645"/>
      <c r="D179" s="646"/>
      <c r="E179" s="537"/>
      <c r="F179" s="963"/>
      <c r="G179" s="555"/>
      <c r="H179" s="393"/>
      <c r="I179" s="544"/>
    </row>
    <row r="180" spans="1:9" ht="19.5" hidden="1" customHeight="1" outlineLevel="1" x14ac:dyDescent="0.25">
      <c r="A180" s="474">
        <f t="shared" si="1"/>
        <v>102</v>
      </c>
      <c r="B180"/>
      <c r="C180" s="645"/>
      <c r="D180" s="646"/>
      <c r="E180" s="537"/>
      <c r="F180" s="963"/>
      <c r="G180" s="555"/>
      <c r="H180" s="393"/>
      <c r="I180" s="544"/>
    </row>
    <row r="181" spans="1:9" ht="19.5" hidden="1" customHeight="1" outlineLevel="1" x14ac:dyDescent="0.25">
      <c r="A181" s="474">
        <f t="shared" si="1"/>
        <v>103</v>
      </c>
      <c r="B181"/>
      <c r="C181" s="645"/>
      <c r="D181" s="646"/>
      <c r="E181" s="537"/>
      <c r="F181" s="963"/>
      <c r="G181" s="555"/>
      <c r="H181" s="393"/>
      <c r="I181" s="544"/>
    </row>
    <row r="182" spans="1:9" ht="19.5" hidden="1" customHeight="1" outlineLevel="1" x14ac:dyDescent="0.25">
      <c r="A182" s="474">
        <f t="shared" si="1"/>
        <v>104</v>
      </c>
      <c r="B182"/>
      <c r="C182" s="645"/>
      <c r="D182" s="646"/>
      <c r="E182" s="537"/>
      <c r="F182" s="963"/>
      <c r="G182" s="555"/>
      <c r="H182" s="393"/>
      <c r="I182" s="544"/>
    </row>
    <row r="183" spans="1:9" ht="19.5" hidden="1" customHeight="1" outlineLevel="1" x14ac:dyDescent="0.25">
      <c r="A183" s="474">
        <f t="shared" si="1"/>
        <v>105</v>
      </c>
      <c r="B183"/>
      <c r="C183" s="645"/>
      <c r="D183" s="646"/>
      <c r="E183" s="537"/>
      <c r="F183" s="963"/>
      <c r="G183" s="555"/>
      <c r="H183" s="393"/>
      <c r="I183" s="544"/>
    </row>
    <row r="184" spans="1:9" ht="19.5" hidden="1" customHeight="1" outlineLevel="1" x14ac:dyDescent="0.25">
      <c r="A184" s="474">
        <f t="shared" si="1"/>
        <v>106</v>
      </c>
      <c r="B184"/>
      <c r="C184" s="645"/>
      <c r="D184" s="646"/>
      <c r="E184" s="537"/>
      <c r="F184" s="963"/>
      <c r="G184" s="555"/>
      <c r="H184" s="393"/>
      <c r="I184" s="544"/>
    </row>
    <row r="185" spans="1:9" ht="19.5" hidden="1" customHeight="1" outlineLevel="1" x14ac:dyDescent="0.25">
      <c r="A185" s="474">
        <f t="shared" si="1"/>
        <v>107</v>
      </c>
      <c r="B185"/>
      <c r="C185" s="645"/>
      <c r="D185" s="646"/>
      <c r="E185" s="537"/>
      <c r="F185" s="963"/>
      <c r="G185" s="555"/>
      <c r="H185" s="393"/>
      <c r="I185" s="544"/>
    </row>
    <row r="186" spans="1:9" ht="19.5" hidden="1" customHeight="1" outlineLevel="1" x14ac:dyDescent="0.25">
      <c r="A186" s="474">
        <f t="shared" si="1"/>
        <v>108</v>
      </c>
      <c r="B186"/>
      <c r="C186" s="645"/>
      <c r="D186" s="646"/>
      <c r="E186" s="537"/>
      <c r="F186" s="963"/>
      <c r="G186" s="555"/>
      <c r="H186" s="393"/>
      <c r="I186" s="544"/>
    </row>
    <row r="187" spans="1:9" ht="19.5" hidden="1" customHeight="1" outlineLevel="1" x14ac:dyDescent="0.25">
      <c r="A187" s="474">
        <f t="shared" si="1"/>
        <v>109</v>
      </c>
      <c r="B187"/>
      <c r="C187" s="645"/>
      <c r="D187" s="646"/>
      <c r="E187" s="537"/>
      <c r="F187" s="963"/>
      <c r="G187" s="555"/>
      <c r="H187" s="393"/>
      <c r="I187" s="544"/>
    </row>
    <row r="188" spans="1:9" ht="19.5" hidden="1" customHeight="1" outlineLevel="1" x14ac:dyDescent="0.25">
      <c r="A188" s="474">
        <f t="shared" si="1"/>
        <v>110</v>
      </c>
      <c r="B188"/>
      <c r="C188" s="645"/>
      <c r="D188" s="646"/>
      <c r="E188" s="537"/>
      <c r="F188" s="963"/>
      <c r="G188" s="555"/>
      <c r="H188" s="393"/>
      <c r="I188" s="544"/>
    </row>
    <row r="189" spans="1:9" ht="19.5" hidden="1" customHeight="1" outlineLevel="1" x14ac:dyDescent="0.25">
      <c r="A189" s="474">
        <f t="shared" si="1"/>
        <v>111</v>
      </c>
      <c r="B189"/>
      <c r="C189" s="645"/>
      <c r="D189" s="646"/>
      <c r="E189" s="537"/>
      <c r="F189" s="963"/>
      <c r="G189" s="555"/>
      <c r="H189" s="393"/>
      <c r="I189" s="544"/>
    </row>
    <row r="190" spans="1:9" ht="19.5" hidden="1" customHeight="1" outlineLevel="1" x14ac:dyDescent="0.25">
      <c r="A190" s="474">
        <f t="shared" si="1"/>
        <v>112</v>
      </c>
      <c r="B190"/>
      <c r="C190" s="645"/>
      <c r="D190" s="646"/>
      <c r="E190" s="537"/>
      <c r="F190" s="963"/>
      <c r="G190" s="555"/>
      <c r="H190" s="393"/>
      <c r="I190" s="544"/>
    </row>
    <row r="191" spans="1:9" ht="19.5" hidden="1" customHeight="1" outlineLevel="1" x14ac:dyDescent="0.25">
      <c r="A191" s="474">
        <f t="shared" si="1"/>
        <v>113</v>
      </c>
      <c r="B191"/>
      <c r="C191" s="645"/>
      <c r="D191" s="646"/>
      <c r="E191" s="537"/>
      <c r="F191" s="963"/>
      <c r="G191" s="555"/>
      <c r="H191" s="393"/>
      <c r="I191" s="544"/>
    </row>
    <row r="192" spans="1:9" ht="19.5" hidden="1" customHeight="1" outlineLevel="1" x14ac:dyDescent="0.25">
      <c r="A192" s="474">
        <f t="shared" si="1"/>
        <v>114</v>
      </c>
      <c r="B192"/>
      <c r="C192" s="645"/>
      <c r="D192" s="646"/>
      <c r="E192" s="537"/>
      <c r="F192" s="963"/>
      <c r="G192" s="555"/>
      <c r="H192" s="393"/>
      <c r="I192" s="544"/>
    </row>
    <row r="193" spans="1:9" ht="19.5" hidden="1" customHeight="1" outlineLevel="1" x14ac:dyDescent="0.25">
      <c r="A193" s="474">
        <f t="shared" si="1"/>
        <v>115</v>
      </c>
      <c r="B193"/>
      <c r="C193" s="645"/>
      <c r="D193" s="646"/>
      <c r="E193" s="537"/>
      <c r="F193" s="963"/>
      <c r="G193" s="555"/>
      <c r="H193" s="393"/>
      <c r="I193" s="544"/>
    </row>
    <row r="194" spans="1:9" ht="19.5" hidden="1" customHeight="1" outlineLevel="1" x14ac:dyDescent="0.25">
      <c r="A194" s="474">
        <f t="shared" si="1"/>
        <v>116</v>
      </c>
      <c r="B194"/>
      <c r="C194" s="645"/>
      <c r="D194" s="646"/>
      <c r="E194" s="537"/>
      <c r="F194" s="963"/>
      <c r="G194" s="555"/>
      <c r="H194" s="393"/>
      <c r="I194" s="544"/>
    </row>
    <row r="195" spans="1:9" ht="19.5" hidden="1" customHeight="1" outlineLevel="1" x14ac:dyDescent="0.25">
      <c r="A195" s="474">
        <f t="shared" si="1"/>
        <v>117</v>
      </c>
      <c r="B195"/>
      <c r="C195" s="645"/>
      <c r="D195" s="646"/>
      <c r="E195" s="537"/>
      <c r="F195" s="963"/>
      <c r="G195" s="555"/>
      <c r="H195" s="393"/>
      <c r="I195" s="544"/>
    </row>
    <row r="196" spans="1:9" ht="19.5" hidden="1" customHeight="1" outlineLevel="1" x14ac:dyDescent="0.25">
      <c r="A196" s="474">
        <f t="shared" si="1"/>
        <v>118</v>
      </c>
      <c r="B196"/>
      <c r="C196" s="645"/>
      <c r="D196" s="646"/>
      <c r="E196" s="537"/>
      <c r="F196" s="963"/>
      <c r="G196" s="555"/>
      <c r="H196" s="393"/>
      <c r="I196" s="544"/>
    </row>
    <row r="197" spans="1:9" ht="19.5" hidden="1" customHeight="1" outlineLevel="1" x14ac:dyDescent="0.25">
      <c r="A197" s="474">
        <f t="shared" si="1"/>
        <v>119</v>
      </c>
      <c r="B197"/>
      <c r="C197" s="645"/>
      <c r="D197" s="646"/>
      <c r="E197" s="537"/>
      <c r="F197" s="963"/>
      <c r="G197" s="555"/>
      <c r="H197" s="393"/>
      <c r="I197" s="544"/>
    </row>
    <row r="198" spans="1:9" ht="19.5" hidden="1" customHeight="1" outlineLevel="1" x14ac:dyDescent="0.25">
      <c r="A198" s="474">
        <f t="shared" si="1"/>
        <v>120</v>
      </c>
      <c r="B198"/>
      <c r="C198" s="645"/>
      <c r="D198" s="646"/>
      <c r="E198" s="537"/>
      <c r="F198" s="963"/>
      <c r="G198" s="555"/>
      <c r="H198" s="393"/>
      <c r="I198" s="544"/>
    </row>
    <row r="199" spans="1:9" ht="19.5" hidden="1" customHeight="1" outlineLevel="1" x14ac:dyDescent="0.25">
      <c r="A199" s="474">
        <f t="shared" si="1"/>
        <v>121</v>
      </c>
      <c r="B199"/>
      <c r="C199" s="645"/>
      <c r="D199" s="646"/>
      <c r="E199" s="537"/>
      <c r="F199" s="963"/>
      <c r="G199" s="555"/>
      <c r="H199" s="393"/>
      <c r="I199" s="544"/>
    </row>
    <row r="200" spans="1:9" ht="19.5" hidden="1" customHeight="1" outlineLevel="1" x14ac:dyDescent="0.25">
      <c r="A200" s="474">
        <f t="shared" si="1"/>
        <v>122</v>
      </c>
      <c r="B200"/>
      <c r="C200" s="645"/>
      <c r="D200" s="646"/>
      <c r="E200" s="537"/>
      <c r="F200" s="963"/>
      <c r="G200" s="555"/>
      <c r="H200" s="393"/>
      <c r="I200" s="544"/>
    </row>
    <row r="201" spans="1:9" ht="19.5" hidden="1" customHeight="1" outlineLevel="1" x14ac:dyDescent="0.25">
      <c r="A201" s="474">
        <f t="shared" si="1"/>
        <v>123</v>
      </c>
      <c r="B201"/>
      <c r="C201" s="645"/>
      <c r="D201" s="646"/>
      <c r="E201" s="537"/>
      <c r="F201" s="963"/>
      <c r="G201" s="555"/>
      <c r="H201" s="393"/>
      <c r="I201" s="544"/>
    </row>
    <row r="202" spans="1:9" ht="19.5" hidden="1" customHeight="1" outlineLevel="1" x14ac:dyDescent="0.25">
      <c r="A202" s="474">
        <f t="shared" si="1"/>
        <v>124</v>
      </c>
      <c r="B202"/>
      <c r="C202" s="645"/>
      <c r="D202" s="646"/>
      <c r="E202" s="537"/>
      <c r="F202" s="963"/>
      <c r="G202" s="555"/>
      <c r="H202" s="393"/>
      <c r="I202" s="544"/>
    </row>
    <row r="203" spans="1:9" ht="19.5" hidden="1" customHeight="1" outlineLevel="1" x14ac:dyDescent="0.25">
      <c r="A203" s="474">
        <f t="shared" si="1"/>
        <v>125</v>
      </c>
      <c r="B203"/>
      <c r="C203" s="645"/>
      <c r="D203" s="646"/>
      <c r="E203" s="537"/>
      <c r="F203" s="963"/>
      <c r="G203" s="555"/>
      <c r="H203" s="393"/>
      <c r="I203" s="544"/>
    </row>
    <row r="204" spans="1:9" ht="19.5" hidden="1" customHeight="1" outlineLevel="1" x14ac:dyDescent="0.25">
      <c r="A204" s="474">
        <f t="shared" si="1"/>
        <v>126</v>
      </c>
      <c r="B204"/>
      <c r="C204" s="645"/>
      <c r="D204" s="646"/>
      <c r="E204" s="537"/>
      <c r="F204" s="963"/>
      <c r="G204" s="555"/>
      <c r="H204" s="393"/>
      <c r="I204" s="544"/>
    </row>
    <row r="205" spans="1:9" ht="19.5" hidden="1" customHeight="1" outlineLevel="1" x14ac:dyDescent="0.25">
      <c r="A205" s="474">
        <f t="shared" si="1"/>
        <v>127</v>
      </c>
      <c r="B205"/>
      <c r="C205" s="645"/>
      <c r="D205" s="646"/>
      <c r="E205" s="537"/>
      <c r="F205" s="963"/>
      <c r="G205" s="555"/>
      <c r="H205" s="393"/>
      <c r="I205" s="544"/>
    </row>
    <row r="206" spans="1:9" ht="19.5" hidden="1" customHeight="1" outlineLevel="1" x14ac:dyDescent="0.25">
      <c r="A206" s="474">
        <f t="shared" si="1"/>
        <v>128</v>
      </c>
      <c r="B206"/>
      <c r="C206" s="645"/>
      <c r="D206" s="646"/>
      <c r="E206" s="537"/>
      <c r="F206" s="963"/>
      <c r="G206" s="555"/>
      <c r="H206" s="393"/>
      <c r="I206" s="544"/>
    </row>
    <row r="207" spans="1:9" ht="19.5" hidden="1" customHeight="1" outlineLevel="1" x14ac:dyDescent="0.25">
      <c r="A207" s="474">
        <f t="shared" si="1"/>
        <v>129</v>
      </c>
      <c r="B207"/>
      <c r="C207" s="645"/>
      <c r="D207" s="646"/>
      <c r="E207" s="537"/>
      <c r="F207" s="963"/>
      <c r="G207" s="555"/>
      <c r="H207" s="393"/>
      <c r="I207" s="544"/>
    </row>
    <row r="208" spans="1:9" ht="19.5" hidden="1" customHeight="1" outlineLevel="1" x14ac:dyDescent="0.25">
      <c r="A208" s="474">
        <f t="shared" si="1"/>
        <v>130</v>
      </c>
      <c r="B208"/>
      <c r="C208" s="645"/>
      <c r="D208" s="646"/>
      <c r="E208" s="537"/>
      <c r="F208" s="963"/>
      <c r="G208" s="555"/>
      <c r="H208" s="393"/>
      <c r="I208" s="544"/>
    </row>
    <row r="209" spans="1:9" ht="19.5" hidden="1" customHeight="1" outlineLevel="1" x14ac:dyDescent="0.25">
      <c r="A209" s="474">
        <f t="shared" si="1"/>
        <v>131</v>
      </c>
      <c r="B209"/>
      <c r="C209" s="645"/>
      <c r="D209" s="646"/>
      <c r="E209" s="537"/>
      <c r="F209" s="963"/>
      <c r="G209" s="555"/>
      <c r="H209" s="393"/>
      <c r="I209" s="544"/>
    </row>
    <row r="210" spans="1:9" ht="19.5" hidden="1" customHeight="1" outlineLevel="1" x14ac:dyDescent="0.25">
      <c r="A210" s="474">
        <f t="shared" si="1"/>
        <v>132</v>
      </c>
      <c r="B210"/>
      <c r="C210" s="645"/>
      <c r="D210" s="646"/>
      <c r="E210" s="537"/>
      <c r="F210" s="963"/>
      <c r="G210" s="555"/>
      <c r="H210" s="393"/>
      <c r="I210" s="544"/>
    </row>
    <row r="211" spans="1:9" ht="19.5" hidden="1" customHeight="1" outlineLevel="1" x14ac:dyDescent="0.25">
      <c r="A211" s="474">
        <f t="shared" si="1"/>
        <v>133</v>
      </c>
      <c r="B211"/>
      <c r="C211" s="645"/>
      <c r="D211" s="646"/>
      <c r="E211" s="537"/>
      <c r="F211" s="963"/>
      <c r="G211" s="555"/>
      <c r="H211" s="393"/>
      <c r="I211" s="544"/>
    </row>
    <row r="212" spans="1:9" ht="19.5" hidden="1" customHeight="1" outlineLevel="1" x14ac:dyDescent="0.25">
      <c r="A212" s="474">
        <f t="shared" si="1"/>
        <v>134</v>
      </c>
      <c r="B212"/>
      <c r="C212" s="645"/>
      <c r="D212" s="646"/>
      <c r="E212" s="537"/>
      <c r="F212" s="963"/>
      <c r="G212" s="555"/>
      <c r="H212" s="393"/>
      <c r="I212" s="544"/>
    </row>
    <row r="213" spans="1:9" ht="19.5" hidden="1" customHeight="1" outlineLevel="1" x14ac:dyDescent="0.25">
      <c r="A213" s="474">
        <f t="shared" si="1"/>
        <v>135</v>
      </c>
      <c r="B213"/>
      <c r="C213" s="645"/>
      <c r="D213" s="646"/>
      <c r="E213" s="537"/>
      <c r="F213" s="963"/>
      <c r="G213" s="555"/>
      <c r="H213" s="393"/>
      <c r="I213" s="544"/>
    </row>
    <row r="214" spans="1:9" ht="19.5" hidden="1" customHeight="1" outlineLevel="1" x14ac:dyDescent="0.25">
      <c r="A214" s="474">
        <f t="shared" si="1"/>
        <v>136</v>
      </c>
      <c r="B214"/>
      <c r="C214" s="645"/>
      <c r="D214" s="646"/>
      <c r="E214" s="537"/>
      <c r="F214" s="963"/>
      <c r="G214" s="555"/>
      <c r="H214" s="393"/>
      <c r="I214" s="544"/>
    </row>
    <row r="215" spans="1:9" ht="19.5" hidden="1" customHeight="1" outlineLevel="1" x14ac:dyDescent="0.25">
      <c r="A215" s="474">
        <f t="shared" si="1"/>
        <v>137</v>
      </c>
      <c r="B215"/>
      <c r="C215" s="645"/>
      <c r="D215" s="646"/>
      <c r="E215" s="537"/>
      <c r="F215" s="963"/>
      <c r="G215" s="555"/>
      <c r="H215" s="393"/>
      <c r="I215" s="544"/>
    </row>
    <row r="216" spans="1:9" ht="19.5" hidden="1" customHeight="1" outlineLevel="1" x14ac:dyDescent="0.25">
      <c r="A216" s="474">
        <f t="shared" si="1"/>
        <v>138</v>
      </c>
      <c r="B216"/>
      <c r="C216" s="645"/>
      <c r="D216" s="646"/>
      <c r="E216" s="537"/>
      <c r="F216" s="963"/>
      <c r="G216" s="555"/>
      <c r="H216" s="393"/>
      <c r="I216" s="544"/>
    </row>
    <row r="217" spans="1:9" ht="19.5" hidden="1" customHeight="1" outlineLevel="1" x14ac:dyDescent="0.25">
      <c r="A217" s="474">
        <f t="shared" si="1"/>
        <v>139</v>
      </c>
      <c r="B217"/>
      <c r="C217" s="645"/>
      <c r="D217" s="646"/>
      <c r="E217" s="537"/>
      <c r="F217" s="963"/>
      <c r="G217" s="555"/>
      <c r="H217" s="393"/>
      <c r="I217" s="544"/>
    </row>
    <row r="218" spans="1:9" ht="19.5" hidden="1" customHeight="1" outlineLevel="1" x14ac:dyDescent="0.25">
      <c r="A218" s="474">
        <f t="shared" si="1"/>
        <v>140</v>
      </c>
      <c r="B218"/>
      <c r="C218" s="645"/>
      <c r="D218" s="646"/>
      <c r="E218" s="537"/>
      <c r="F218" s="963"/>
      <c r="G218" s="555"/>
      <c r="H218" s="393"/>
      <c r="I218" s="544"/>
    </row>
    <row r="219" spans="1:9" ht="19.5" hidden="1" customHeight="1" outlineLevel="1" x14ac:dyDescent="0.25">
      <c r="A219" s="474">
        <f t="shared" si="1"/>
        <v>141</v>
      </c>
      <c r="B219"/>
      <c r="C219" s="645"/>
      <c r="D219" s="646"/>
      <c r="E219" s="537"/>
      <c r="F219" s="963"/>
      <c r="G219" s="555"/>
      <c r="H219" s="393"/>
      <c r="I219" s="544"/>
    </row>
    <row r="220" spans="1:9" ht="19.5" hidden="1" customHeight="1" outlineLevel="1" x14ac:dyDescent="0.25">
      <c r="A220" s="474">
        <f t="shared" si="1"/>
        <v>142</v>
      </c>
      <c r="B220"/>
      <c r="C220" s="645"/>
      <c r="D220" s="646"/>
      <c r="E220" s="537"/>
      <c r="F220" s="963"/>
      <c r="G220" s="555"/>
      <c r="H220" s="393"/>
      <c r="I220" s="544"/>
    </row>
    <row r="221" spans="1:9" ht="19.5" hidden="1" customHeight="1" outlineLevel="1" x14ac:dyDescent="0.25">
      <c r="A221" s="474">
        <f t="shared" si="1"/>
        <v>143</v>
      </c>
      <c r="B221"/>
      <c r="C221" s="645"/>
      <c r="D221" s="646"/>
      <c r="E221" s="537"/>
      <c r="F221" s="963"/>
      <c r="G221" s="555"/>
      <c r="H221" s="393"/>
      <c r="I221" s="544"/>
    </row>
    <row r="222" spans="1:9" ht="19.5" hidden="1" customHeight="1" outlineLevel="1" x14ac:dyDescent="0.25">
      <c r="A222" s="474">
        <f t="shared" si="1"/>
        <v>144</v>
      </c>
      <c r="B222"/>
      <c r="C222" s="645"/>
      <c r="D222" s="646"/>
      <c r="E222" s="537"/>
      <c r="F222" s="963"/>
      <c r="G222" s="555"/>
      <c r="H222" s="393"/>
      <c r="I222" s="544"/>
    </row>
    <row r="223" spans="1:9" ht="19.5" hidden="1" customHeight="1" outlineLevel="1" x14ac:dyDescent="0.25">
      <c r="A223" s="474">
        <f t="shared" si="1"/>
        <v>145</v>
      </c>
      <c r="B223"/>
      <c r="C223" s="645"/>
      <c r="D223" s="646"/>
      <c r="E223" s="537"/>
      <c r="F223" s="963"/>
      <c r="G223" s="555"/>
      <c r="H223" s="393"/>
      <c r="I223" s="544"/>
    </row>
    <row r="224" spans="1:9" ht="19.5" hidden="1" customHeight="1" outlineLevel="1" x14ac:dyDescent="0.25">
      <c r="A224" s="474">
        <f t="shared" si="1"/>
        <v>146</v>
      </c>
      <c r="B224"/>
      <c r="C224" s="645"/>
      <c r="D224" s="646"/>
      <c r="E224" s="537"/>
      <c r="F224" s="963"/>
      <c r="G224" s="555"/>
      <c r="H224" s="393"/>
      <c r="I224" s="544"/>
    </row>
    <row r="225" spans="1:9" ht="19.5" hidden="1" customHeight="1" outlineLevel="1" x14ac:dyDescent="0.25">
      <c r="A225" s="474">
        <f t="shared" si="1"/>
        <v>147</v>
      </c>
      <c r="B225"/>
      <c r="C225" s="645"/>
      <c r="D225" s="646"/>
      <c r="E225" s="537"/>
      <c r="F225" s="963"/>
      <c r="G225" s="555"/>
      <c r="H225" s="393"/>
      <c r="I225" s="544"/>
    </row>
    <row r="226" spans="1:9" ht="19.5" hidden="1" customHeight="1" outlineLevel="1" x14ac:dyDescent="0.25">
      <c r="A226" s="474">
        <f t="shared" si="1"/>
        <v>148</v>
      </c>
      <c r="B226"/>
      <c r="C226" s="645"/>
      <c r="D226" s="646"/>
      <c r="E226" s="537"/>
      <c r="F226" s="963"/>
      <c r="G226" s="555"/>
      <c r="H226" s="393"/>
      <c r="I226" s="544"/>
    </row>
    <row r="227" spans="1:9" ht="19.5" hidden="1" customHeight="1" outlineLevel="1" x14ac:dyDescent="0.25">
      <c r="A227" s="474">
        <f t="shared" si="1"/>
        <v>149</v>
      </c>
      <c r="B227"/>
      <c r="C227" s="645"/>
      <c r="D227" s="646"/>
      <c r="E227" s="537"/>
      <c r="F227" s="963"/>
      <c r="G227" s="555"/>
      <c r="H227" s="393"/>
      <c r="I227" s="544"/>
    </row>
    <row r="228" spans="1:9" ht="19.5" hidden="1" customHeight="1" outlineLevel="1" x14ac:dyDescent="0.25">
      <c r="A228" s="474">
        <f t="shared" si="1"/>
        <v>150</v>
      </c>
      <c r="B228"/>
      <c r="C228" s="645"/>
      <c r="D228" s="646"/>
      <c r="E228" s="537"/>
      <c r="F228" s="963"/>
      <c r="G228" s="555"/>
      <c r="H228" s="393"/>
      <c r="I228" s="544"/>
    </row>
    <row r="229" spans="1:9" ht="19.5" hidden="1" customHeight="1" outlineLevel="1" x14ac:dyDescent="0.25">
      <c r="A229" s="474">
        <f t="shared" si="1"/>
        <v>151</v>
      </c>
      <c r="B229"/>
      <c r="C229" s="645"/>
      <c r="D229" s="646"/>
      <c r="E229" s="537"/>
      <c r="F229" s="963"/>
      <c r="G229" s="555"/>
      <c r="H229" s="393"/>
      <c r="I229" s="544"/>
    </row>
    <row r="230" spans="1:9" ht="19.5" hidden="1" customHeight="1" outlineLevel="1" x14ac:dyDescent="0.25">
      <c r="A230" s="474">
        <f t="shared" si="1"/>
        <v>152</v>
      </c>
      <c r="B230"/>
      <c r="C230" s="645"/>
      <c r="D230" s="646"/>
      <c r="E230" s="537"/>
      <c r="F230" s="963"/>
      <c r="G230" s="555"/>
      <c r="H230" s="393"/>
      <c r="I230" s="544"/>
    </row>
    <row r="231" spans="1:9" ht="19.5" hidden="1" customHeight="1" outlineLevel="1" x14ac:dyDescent="0.25">
      <c r="A231" s="474">
        <f t="shared" si="1"/>
        <v>153</v>
      </c>
      <c r="B231"/>
      <c r="C231" s="645"/>
      <c r="D231" s="646"/>
      <c r="E231" s="537"/>
      <c r="F231" s="963"/>
      <c r="G231" s="555"/>
      <c r="H231" s="393"/>
      <c r="I231" s="544"/>
    </row>
    <row r="232" spans="1:9" ht="19.5" hidden="1" customHeight="1" outlineLevel="1" x14ac:dyDescent="0.25">
      <c r="A232" s="474">
        <f t="shared" si="1"/>
        <v>154</v>
      </c>
      <c r="B232"/>
      <c r="C232" s="645"/>
      <c r="D232" s="646"/>
      <c r="E232" s="537"/>
      <c r="F232" s="963"/>
      <c r="G232" s="555"/>
      <c r="H232" s="393"/>
      <c r="I232" s="544"/>
    </row>
    <row r="233" spans="1:9" ht="19.5" hidden="1" customHeight="1" outlineLevel="1" x14ac:dyDescent="0.25">
      <c r="A233" s="474">
        <f t="shared" si="1"/>
        <v>155</v>
      </c>
      <c r="B233"/>
      <c r="C233" s="645"/>
      <c r="D233" s="646"/>
      <c r="E233" s="537"/>
      <c r="F233" s="963"/>
      <c r="G233" s="555"/>
      <c r="H233" s="393"/>
      <c r="I233" s="544"/>
    </row>
    <row r="234" spans="1:9" ht="19.5" hidden="1" customHeight="1" outlineLevel="1" x14ac:dyDescent="0.25">
      <c r="A234" s="474">
        <f t="shared" si="1"/>
        <v>156</v>
      </c>
      <c r="B234"/>
      <c r="C234" s="645"/>
      <c r="D234" s="646"/>
      <c r="E234" s="537"/>
      <c r="F234" s="963"/>
      <c r="G234" s="555"/>
      <c r="H234" s="393"/>
      <c r="I234" s="544"/>
    </row>
    <row r="235" spans="1:9" ht="19.5" hidden="1" customHeight="1" outlineLevel="1" x14ac:dyDescent="0.25">
      <c r="A235" s="474">
        <f t="shared" si="1"/>
        <v>157</v>
      </c>
      <c r="B235"/>
      <c r="C235" s="645"/>
      <c r="D235" s="646"/>
      <c r="E235" s="537"/>
      <c r="F235" s="963"/>
      <c r="G235" s="555"/>
      <c r="H235" s="393"/>
      <c r="I235" s="544"/>
    </row>
    <row r="236" spans="1:9" ht="19.5" hidden="1" customHeight="1" outlineLevel="1" x14ac:dyDescent="0.25">
      <c r="A236" s="474">
        <f t="shared" si="1"/>
        <v>158</v>
      </c>
      <c r="B236"/>
      <c r="C236" s="645"/>
      <c r="D236" s="646"/>
      <c r="E236" s="537"/>
      <c r="F236" s="963"/>
      <c r="G236" s="555"/>
      <c r="H236" s="393"/>
      <c r="I236" s="544"/>
    </row>
    <row r="237" spans="1:9" ht="19.5" hidden="1" customHeight="1" outlineLevel="1" x14ac:dyDescent="0.25">
      <c r="A237" s="474">
        <f t="shared" si="1"/>
        <v>159</v>
      </c>
      <c r="B237"/>
      <c r="C237" s="645"/>
      <c r="D237" s="646"/>
      <c r="E237" s="537"/>
      <c r="F237" s="963"/>
      <c r="G237" s="555"/>
      <c r="H237" s="393"/>
      <c r="I237" s="544"/>
    </row>
    <row r="238" spans="1:9" ht="19.5" hidden="1" customHeight="1" outlineLevel="1" x14ac:dyDescent="0.25">
      <c r="A238" s="474">
        <f t="shared" si="1"/>
        <v>160</v>
      </c>
      <c r="B238"/>
      <c r="C238" s="645"/>
      <c r="D238" s="646"/>
      <c r="E238" s="537"/>
      <c r="F238" s="963"/>
      <c r="G238" s="555"/>
      <c r="H238" s="393"/>
      <c r="I238" s="544"/>
    </row>
    <row r="239" spans="1:9" ht="19.5" hidden="1" customHeight="1" outlineLevel="1" x14ac:dyDescent="0.25">
      <c r="A239" s="474">
        <f t="shared" si="1"/>
        <v>161</v>
      </c>
      <c r="B239"/>
      <c r="C239" s="645"/>
      <c r="D239" s="646"/>
      <c r="E239" s="537"/>
      <c r="F239" s="963"/>
      <c r="G239" s="555"/>
      <c r="H239" s="393"/>
      <c r="I239" s="544"/>
    </row>
    <row r="240" spans="1:9" ht="19.5" hidden="1" customHeight="1" outlineLevel="1" x14ac:dyDescent="0.25">
      <c r="A240" s="474">
        <f t="shared" si="1"/>
        <v>162</v>
      </c>
      <c r="B240"/>
      <c r="C240" s="645"/>
      <c r="D240" s="646"/>
      <c r="E240" s="537"/>
      <c r="F240" s="963"/>
      <c r="G240" s="555"/>
      <c r="H240" s="393"/>
      <c r="I240" s="544"/>
    </row>
    <row r="241" spans="1:9" ht="19.5" hidden="1" customHeight="1" outlineLevel="1" x14ac:dyDescent="0.25">
      <c r="A241" s="474">
        <f t="shared" si="1"/>
        <v>163</v>
      </c>
      <c r="B241"/>
      <c r="C241" s="645"/>
      <c r="D241" s="646"/>
      <c r="E241" s="537"/>
      <c r="F241" s="963"/>
      <c r="G241" s="555"/>
      <c r="H241" s="393"/>
      <c r="I241" s="544"/>
    </row>
    <row r="242" spans="1:9" ht="19.5" hidden="1" customHeight="1" outlineLevel="1" x14ac:dyDescent="0.25">
      <c r="A242" s="474">
        <f t="shared" si="1"/>
        <v>164</v>
      </c>
      <c r="B242"/>
      <c r="C242" s="645"/>
      <c r="D242" s="646"/>
      <c r="E242" s="537"/>
      <c r="F242" s="963"/>
      <c r="G242" s="555"/>
      <c r="H242" s="393"/>
      <c r="I242" s="544"/>
    </row>
    <row r="243" spans="1:9" ht="19.5" hidden="1" customHeight="1" outlineLevel="1" x14ac:dyDescent="0.25">
      <c r="A243" s="474">
        <f t="shared" si="1"/>
        <v>165</v>
      </c>
      <c r="B243"/>
      <c r="C243" s="645"/>
      <c r="D243" s="646"/>
      <c r="E243" s="537"/>
      <c r="F243" s="963"/>
      <c r="G243" s="555"/>
      <c r="H243" s="393"/>
      <c r="I243" s="544"/>
    </row>
    <row r="244" spans="1:9" ht="19.5" hidden="1" customHeight="1" outlineLevel="1" x14ac:dyDescent="0.25">
      <c r="A244" s="474">
        <f t="shared" si="1"/>
        <v>166</v>
      </c>
      <c r="B244"/>
      <c r="C244" s="645"/>
      <c r="D244" s="646"/>
      <c r="E244" s="537"/>
      <c r="F244" s="963"/>
      <c r="G244" s="555"/>
      <c r="H244" s="393"/>
      <c r="I244" s="544"/>
    </row>
    <row r="245" spans="1:9" ht="19.5" hidden="1" customHeight="1" outlineLevel="1" x14ac:dyDescent="0.25">
      <c r="A245" s="474">
        <f t="shared" si="1"/>
        <v>167</v>
      </c>
      <c r="B245"/>
      <c r="C245" s="645"/>
      <c r="D245" s="646"/>
      <c r="E245" s="537"/>
      <c r="F245" s="963"/>
      <c r="G245" s="555"/>
      <c r="H245" s="393"/>
      <c r="I245" s="544"/>
    </row>
    <row r="246" spans="1:9" ht="19.5" hidden="1" customHeight="1" outlineLevel="1" x14ac:dyDescent="0.25">
      <c r="A246" s="474">
        <f t="shared" si="1"/>
        <v>168</v>
      </c>
      <c r="B246"/>
      <c r="C246" s="645"/>
      <c r="D246" s="646"/>
      <c r="E246" s="537"/>
      <c r="F246" s="963"/>
      <c r="G246" s="555"/>
      <c r="H246" s="393"/>
      <c r="I246" s="544"/>
    </row>
    <row r="247" spans="1:9" ht="19.5" hidden="1" customHeight="1" outlineLevel="1" x14ac:dyDescent="0.25">
      <c r="A247" s="474">
        <f t="shared" si="1"/>
        <v>169</v>
      </c>
      <c r="B247"/>
      <c r="C247" s="645"/>
      <c r="D247" s="646"/>
      <c r="E247" s="537"/>
      <c r="F247" s="963"/>
      <c r="G247" s="555"/>
      <c r="H247" s="393"/>
      <c r="I247" s="544"/>
    </row>
    <row r="248" spans="1:9" ht="19.5" hidden="1" customHeight="1" outlineLevel="1" x14ac:dyDescent="0.25">
      <c r="A248" s="474">
        <f t="shared" si="1"/>
        <v>170</v>
      </c>
      <c r="B248"/>
      <c r="C248" s="645"/>
      <c r="D248" s="646"/>
      <c r="E248" s="537"/>
      <c r="F248" s="963"/>
      <c r="G248" s="555"/>
      <c r="H248" s="393"/>
      <c r="I248" s="544"/>
    </row>
    <row r="249" spans="1:9" ht="19.5" hidden="1" customHeight="1" outlineLevel="1" x14ac:dyDescent="0.25">
      <c r="A249" s="474">
        <f t="shared" si="1"/>
        <v>171</v>
      </c>
      <c r="B249"/>
      <c r="C249" s="645"/>
      <c r="D249" s="646"/>
      <c r="E249" s="537"/>
      <c r="F249" s="963"/>
      <c r="G249" s="555"/>
      <c r="H249" s="393"/>
      <c r="I249" s="544"/>
    </row>
    <row r="250" spans="1:9" ht="19.5" hidden="1" customHeight="1" outlineLevel="1" x14ac:dyDescent="0.25">
      <c r="A250" s="474">
        <f t="shared" si="1"/>
        <v>172</v>
      </c>
      <c r="B250"/>
      <c r="C250" s="645"/>
      <c r="D250" s="646"/>
      <c r="E250" s="537"/>
      <c r="F250" s="963"/>
      <c r="G250" s="555"/>
      <c r="H250" s="393"/>
      <c r="I250" s="544"/>
    </row>
    <row r="251" spans="1:9" ht="19.5" hidden="1" customHeight="1" outlineLevel="1" x14ac:dyDescent="0.25">
      <c r="A251" s="474">
        <f t="shared" si="1"/>
        <v>173</v>
      </c>
      <c r="B251"/>
      <c r="C251" s="645"/>
      <c r="D251" s="646"/>
      <c r="E251" s="537"/>
      <c r="F251" s="963"/>
      <c r="G251" s="555"/>
      <c r="H251" s="393"/>
      <c r="I251" s="544"/>
    </row>
    <row r="252" spans="1:9" ht="19.5" hidden="1" customHeight="1" outlineLevel="1" x14ac:dyDescent="0.25">
      <c r="A252" s="474">
        <f t="shared" si="1"/>
        <v>174</v>
      </c>
      <c r="B252"/>
      <c r="C252" s="645"/>
      <c r="D252" s="646"/>
      <c r="E252" s="537"/>
      <c r="F252" s="963"/>
      <c r="G252" s="555"/>
      <c r="H252" s="393"/>
      <c r="I252" s="544"/>
    </row>
    <row r="253" spans="1:9" ht="19.5" hidden="1" customHeight="1" outlineLevel="1" x14ac:dyDescent="0.25">
      <c r="A253" s="474">
        <f t="shared" si="1"/>
        <v>175</v>
      </c>
      <c r="B253"/>
      <c r="C253" s="645"/>
      <c r="D253" s="646"/>
      <c r="E253" s="537"/>
      <c r="F253" s="963"/>
      <c r="G253" s="555"/>
      <c r="H253" s="393"/>
      <c r="I253" s="544"/>
    </row>
    <row r="254" spans="1:9" ht="19.5" hidden="1" customHeight="1" outlineLevel="1" x14ac:dyDescent="0.25">
      <c r="A254" s="474">
        <f t="shared" si="1"/>
        <v>176</v>
      </c>
      <c r="B254"/>
      <c r="C254" s="645"/>
      <c r="D254" s="646"/>
      <c r="E254" s="537"/>
      <c r="F254" s="963"/>
      <c r="G254" s="555"/>
      <c r="H254" s="393"/>
      <c r="I254" s="544"/>
    </row>
    <row r="255" spans="1:9" ht="19.5" hidden="1" customHeight="1" outlineLevel="1" x14ac:dyDescent="0.25">
      <c r="A255" s="474">
        <f t="shared" si="1"/>
        <v>177</v>
      </c>
      <c r="B255"/>
      <c r="C255" s="645"/>
      <c r="D255" s="646"/>
      <c r="E255" s="537"/>
      <c r="F255" s="963"/>
      <c r="G255" s="555"/>
      <c r="H255" s="393"/>
      <c r="I255" s="544"/>
    </row>
    <row r="256" spans="1:9" ht="19.5" hidden="1" customHeight="1" outlineLevel="1" x14ac:dyDescent="0.25">
      <c r="A256" s="474">
        <f t="shared" si="1"/>
        <v>178</v>
      </c>
      <c r="B256"/>
      <c r="C256" s="645"/>
      <c r="D256" s="646"/>
      <c r="E256" s="537"/>
      <c r="F256" s="963"/>
      <c r="G256" s="555"/>
      <c r="H256" s="393"/>
      <c r="I256" s="544"/>
    </row>
    <row r="257" spans="1:9" ht="19.5" hidden="1" customHeight="1" outlineLevel="1" x14ac:dyDescent="0.25">
      <c r="A257" s="474">
        <f t="shared" si="1"/>
        <v>179</v>
      </c>
      <c r="B257"/>
      <c r="C257" s="645"/>
      <c r="D257" s="646"/>
      <c r="E257" s="537"/>
      <c r="F257" s="963"/>
      <c r="G257" s="555"/>
      <c r="H257" s="393"/>
      <c r="I257" s="544"/>
    </row>
    <row r="258" spans="1:9" ht="19.5" hidden="1" customHeight="1" outlineLevel="1" x14ac:dyDescent="0.25">
      <c r="A258" s="474">
        <f t="shared" si="1"/>
        <v>180</v>
      </c>
      <c r="B258"/>
      <c r="C258" s="645"/>
      <c r="D258" s="646"/>
      <c r="E258" s="537"/>
      <c r="F258" s="963"/>
      <c r="G258" s="555"/>
      <c r="H258" s="393"/>
      <c r="I258" s="544"/>
    </row>
    <row r="259" spans="1:9" ht="19.5" hidden="1" customHeight="1" outlineLevel="1" x14ac:dyDescent="0.25">
      <c r="A259" s="474">
        <f t="shared" si="1"/>
        <v>181</v>
      </c>
      <c r="B259"/>
      <c r="C259" s="645"/>
      <c r="D259" s="646"/>
      <c r="E259" s="537"/>
      <c r="F259" s="963"/>
      <c r="G259" s="555"/>
      <c r="H259" s="393"/>
      <c r="I259" s="544"/>
    </row>
    <row r="260" spans="1:9" ht="19.5" hidden="1" customHeight="1" outlineLevel="1" x14ac:dyDescent="0.25">
      <c r="A260" s="474">
        <f t="shared" si="1"/>
        <v>182</v>
      </c>
      <c r="B260"/>
      <c r="C260" s="645"/>
      <c r="D260" s="646"/>
      <c r="E260" s="537"/>
      <c r="F260" s="963"/>
      <c r="G260" s="555"/>
      <c r="H260" s="393"/>
      <c r="I260" s="544"/>
    </row>
    <row r="261" spans="1:9" ht="19.5" hidden="1" customHeight="1" outlineLevel="1" x14ac:dyDescent="0.25">
      <c r="A261" s="474">
        <f t="shared" si="1"/>
        <v>183</v>
      </c>
      <c r="B261"/>
      <c r="C261" s="645"/>
      <c r="D261" s="646"/>
      <c r="E261" s="537"/>
      <c r="F261" s="963"/>
      <c r="G261" s="555"/>
      <c r="H261" s="393"/>
      <c r="I261" s="544"/>
    </row>
    <row r="262" spans="1:9" ht="19.5" hidden="1" customHeight="1" outlineLevel="1" x14ac:dyDescent="0.25">
      <c r="A262" s="474"/>
      <c r="B262"/>
      <c r="C262" s="645"/>
      <c r="D262" s="646"/>
      <c r="E262" s="686"/>
      <c r="G262" s="832"/>
      <c r="H262" s="393"/>
      <c r="I262" s="544"/>
    </row>
    <row r="263" spans="1:9" ht="19.5" hidden="1" customHeight="1" outlineLevel="1" x14ac:dyDescent="0.25">
      <c r="A263" s="474">
        <f>+A261+1</f>
        <v>184</v>
      </c>
      <c r="B263" s="687"/>
      <c r="C263" s="645"/>
      <c r="D263" s="646"/>
      <c r="E263" s="696"/>
      <c r="F263" s="977"/>
      <c r="G263" s="392"/>
      <c r="H263" s="393"/>
      <c r="I263" s="544"/>
    </row>
    <row r="264" spans="1:9" ht="19.5" hidden="1" customHeight="1" outlineLevel="1" x14ac:dyDescent="0.25">
      <c r="A264" s="474">
        <f>+A263+1</f>
        <v>185</v>
      </c>
      <c r="B264" s="687"/>
      <c r="C264" s="645"/>
      <c r="D264" s="646"/>
      <c r="E264" s="696"/>
      <c r="F264" s="977"/>
      <c r="G264" s="392"/>
      <c r="H264" s="393"/>
      <c r="I264" s="544"/>
    </row>
    <row r="265" spans="1:9" ht="19.5" hidden="1" customHeight="1" outlineLevel="1" x14ac:dyDescent="0.25">
      <c r="A265" s="474">
        <f t="shared" si="1"/>
        <v>186</v>
      </c>
      <c r="B265" s="687"/>
      <c r="C265" s="645"/>
      <c r="D265" s="646"/>
      <c r="E265" s="696"/>
      <c r="F265" s="977"/>
      <c r="G265" s="392"/>
      <c r="H265" s="393"/>
      <c r="I265" s="544"/>
    </row>
    <row r="266" spans="1:9" ht="19.5" hidden="1" customHeight="1" outlineLevel="1" x14ac:dyDescent="0.25">
      <c r="A266" s="474">
        <f t="shared" si="1"/>
        <v>187</v>
      </c>
      <c r="B266" s="687"/>
      <c r="C266" s="638"/>
      <c r="D266" s="479"/>
      <c r="E266" s="696"/>
      <c r="F266" s="977"/>
      <c r="G266" s="392"/>
      <c r="H266" s="393"/>
      <c r="I266" s="544"/>
    </row>
    <row r="267" spans="1:9" ht="19.5" customHeight="1" collapsed="1" x14ac:dyDescent="0.25">
      <c r="A267" s="474">
        <f t="shared" si="1"/>
        <v>188</v>
      </c>
      <c r="B267" s="687"/>
      <c r="C267" s="638"/>
      <c r="D267" s="479"/>
      <c r="E267" s="696"/>
      <c r="F267" s="1091"/>
      <c r="G267" s="392"/>
      <c r="H267" s="393"/>
      <c r="I267" s="544"/>
    </row>
    <row r="268" spans="1:9" ht="19.5" customHeight="1" x14ac:dyDescent="0.25">
      <c r="A268" s="474">
        <f t="shared" si="1"/>
        <v>189</v>
      </c>
      <c r="B268" s="687"/>
      <c r="C268" s="540"/>
      <c r="D268" s="541"/>
      <c r="E268" s="696"/>
      <c r="F268" s="1091"/>
      <c r="G268" s="392"/>
      <c r="H268" s="393"/>
      <c r="I268" s="544"/>
    </row>
    <row r="269" spans="1:9" ht="24.75" customHeight="1" thickBot="1" x14ac:dyDescent="0.35">
      <c r="A269" s="293"/>
      <c r="B269" s="1482" t="s">
        <v>260</v>
      </c>
      <c r="C269" s="1483"/>
      <c r="D269" s="1484"/>
      <c r="E269" s="751">
        <f>+'MH DETAIL LIST'!E316</f>
        <v>13702530.80093069</v>
      </c>
      <c r="F269" s="751">
        <f>+'MH DETAIL LIST'!F316</f>
        <v>188889</v>
      </c>
      <c r="G269" s="751">
        <f>+'MH DETAIL LIST'!G316</f>
        <v>375803.35</v>
      </c>
      <c r="H269" s="753">
        <f>ROUND(G269/2080,2)</f>
        <v>180.67</v>
      </c>
      <c r="I269" s="544"/>
    </row>
    <row r="270" spans="1:9" s="146" customFormat="1" ht="19.5" customHeight="1" thickTop="1" x14ac:dyDescent="0.3">
      <c r="A270" s="293"/>
      <c r="B270" s="375"/>
      <c r="C270" s="375"/>
      <c r="D270" s="375"/>
      <c r="E270" s="295"/>
      <c r="F270" s="294"/>
      <c r="G270" s="295"/>
      <c r="H270" s="396"/>
      <c r="I270" s="544"/>
    </row>
    <row r="271" spans="1:9" ht="19.5" customHeight="1" x14ac:dyDescent="0.3">
      <c r="A271" s="207" t="s">
        <v>91</v>
      </c>
      <c r="B271" s="1487" t="s">
        <v>304</v>
      </c>
      <c r="C271" s="1488"/>
      <c r="D271" s="1489"/>
      <c r="E271" s="338"/>
      <c r="F271" s="338"/>
      <c r="G271" s="390"/>
      <c r="H271" s="391"/>
      <c r="I271" s="544"/>
    </row>
    <row r="272" spans="1:9" ht="19.5" customHeight="1" x14ac:dyDescent="0.25">
      <c r="A272" s="474">
        <v>1</v>
      </c>
      <c r="B272" s="627" t="s">
        <v>1023</v>
      </c>
      <c r="C272" s="632"/>
      <c r="D272" s="631"/>
      <c r="E272" s="626"/>
      <c r="F272" s="975"/>
      <c r="G272" s="708"/>
      <c r="H272" s="346"/>
      <c r="I272" s="544"/>
    </row>
    <row r="273" spans="1:10" ht="19.5" customHeight="1" x14ac:dyDescent="0.25">
      <c r="A273" s="474">
        <v>2</v>
      </c>
      <c r="B273" s="702"/>
      <c r="C273" s="632"/>
      <c r="D273" s="631"/>
      <c r="E273" s="626"/>
      <c r="F273" s="975"/>
      <c r="G273" s="708"/>
      <c r="H273" s="346"/>
      <c r="I273" s="544"/>
    </row>
    <row r="274" spans="1:10" ht="19.5" hidden="1" customHeight="1" outlineLevel="1" x14ac:dyDescent="0.25">
      <c r="A274" s="474">
        <v>3</v>
      </c>
      <c r="B274" s="702"/>
      <c r="C274" s="632"/>
      <c r="D274" s="633"/>
      <c r="E274" s="626"/>
      <c r="F274" s="975"/>
      <c r="G274" s="708"/>
      <c r="H274" s="346"/>
      <c r="I274" s="544"/>
    </row>
    <row r="275" spans="1:10" ht="19.5" hidden="1" customHeight="1" outlineLevel="1" x14ac:dyDescent="0.25">
      <c r="A275" s="474">
        <v>4</v>
      </c>
      <c r="B275" s="702"/>
      <c r="C275" s="632"/>
      <c r="D275" s="631"/>
      <c r="E275" s="626"/>
      <c r="F275" s="975"/>
      <c r="G275" s="708"/>
      <c r="H275" s="346"/>
      <c r="I275" s="544"/>
    </row>
    <row r="276" spans="1:10" ht="19.5" hidden="1" customHeight="1" outlineLevel="1" x14ac:dyDescent="0.25">
      <c r="A276" s="474">
        <v>7</v>
      </c>
      <c r="B276" s="702"/>
      <c r="C276" s="632"/>
      <c r="D276" s="631"/>
      <c r="E276" s="626"/>
      <c r="F276" s="975"/>
      <c r="G276" s="708"/>
      <c r="H276" s="346"/>
      <c r="I276" s="544"/>
    </row>
    <row r="277" spans="1:10" ht="19.5" hidden="1" customHeight="1" outlineLevel="1" x14ac:dyDescent="0.25">
      <c r="A277" s="474">
        <v>8</v>
      </c>
      <c r="B277" s="702"/>
      <c r="C277" s="632"/>
      <c r="D277" s="631"/>
      <c r="E277" s="626"/>
      <c r="F277" s="975"/>
      <c r="G277" s="708"/>
      <c r="H277" s="346"/>
      <c r="I277" s="544"/>
    </row>
    <row r="278" spans="1:10" ht="19.5" hidden="1" customHeight="1" outlineLevel="1" x14ac:dyDescent="0.25">
      <c r="A278" s="474">
        <v>9</v>
      </c>
      <c r="B278" s="702"/>
      <c r="C278" s="632"/>
      <c r="D278" s="631"/>
      <c r="E278" s="626"/>
      <c r="F278" s="975"/>
      <c r="G278" s="708"/>
      <c r="H278" s="346"/>
      <c r="I278" s="544"/>
    </row>
    <row r="279" spans="1:10" ht="19.5" hidden="1" customHeight="1" outlineLevel="1" x14ac:dyDescent="0.25">
      <c r="A279" s="474">
        <v>10</v>
      </c>
      <c r="B279" s="702"/>
      <c r="C279" s="632"/>
      <c r="D279" s="631"/>
      <c r="E279" s="626"/>
      <c r="F279" s="975"/>
      <c r="G279" s="708"/>
      <c r="H279" s="346"/>
      <c r="I279" s="544"/>
    </row>
    <row r="280" spans="1:10" ht="19.5" hidden="1" customHeight="1" outlineLevel="1" x14ac:dyDescent="0.25">
      <c r="A280" s="474">
        <v>20</v>
      </c>
      <c r="B280" s="702"/>
      <c r="C280" s="632"/>
      <c r="D280" s="631"/>
      <c r="E280" s="626"/>
      <c r="F280" s="975"/>
      <c r="G280" s="708"/>
      <c r="H280" s="346"/>
      <c r="I280" s="544"/>
      <c r="J280" s="629"/>
    </row>
    <row r="281" spans="1:10" ht="19.5" hidden="1" customHeight="1" outlineLevel="1" x14ac:dyDescent="0.25">
      <c r="A281" s="474">
        <v>21</v>
      </c>
      <c r="B281" s="702"/>
      <c r="C281" s="632"/>
      <c r="D281" s="631"/>
      <c r="E281" s="626"/>
      <c r="F281" s="975"/>
      <c r="G281" s="708"/>
      <c r="H281" s="346"/>
      <c r="I281" s="544"/>
      <c r="J281" s="629"/>
    </row>
    <row r="282" spans="1:10" ht="19.5" hidden="1" customHeight="1" outlineLevel="1" x14ac:dyDescent="0.25">
      <c r="A282" s="474">
        <v>22</v>
      </c>
      <c r="B282" s="702"/>
      <c r="C282" s="632"/>
      <c r="D282" s="631"/>
      <c r="E282" s="626"/>
      <c r="F282" s="975"/>
      <c r="G282" s="708"/>
      <c r="H282" s="346"/>
      <c r="I282" s="641"/>
      <c r="J282" s="629"/>
    </row>
    <row r="283" spans="1:10" ht="19.5" hidden="1" customHeight="1" outlineLevel="1" x14ac:dyDescent="0.25">
      <c r="A283" s="474">
        <v>23</v>
      </c>
      <c r="B283" s="702"/>
      <c r="C283" s="632"/>
      <c r="D283" s="631"/>
      <c r="E283" s="626"/>
      <c r="F283" s="975"/>
      <c r="G283" s="708"/>
      <c r="H283" s="346"/>
      <c r="I283" s="641"/>
      <c r="J283" s="629"/>
    </row>
    <row r="284" spans="1:10" ht="19.5" hidden="1" customHeight="1" outlineLevel="1" x14ac:dyDescent="0.25">
      <c r="A284" s="474">
        <v>27</v>
      </c>
      <c r="B284" s="702"/>
      <c r="C284" s="540"/>
      <c r="D284" s="541"/>
      <c r="E284" s="626"/>
      <c r="F284" s="975"/>
      <c r="G284" s="708"/>
      <c r="H284" s="346"/>
      <c r="I284" s="544"/>
      <c r="J284" s="629"/>
    </row>
    <row r="285" spans="1:10" ht="19.5" hidden="1" customHeight="1" outlineLevel="1" x14ac:dyDescent="0.25">
      <c r="A285" s="474">
        <f>+A284+1</f>
        <v>28</v>
      </c>
      <c r="B285" s="702"/>
      <c r="C285" s="540"/>
      <c r="D285" s="541"/>
      <c r="E285" s="626"/>
      <c r="F285" s="975"/>
      <c r="G285" s="708"/>
      <c r="H285" s="346"/>
      <c r="I285" s="544"/>
      <c r="J285" s="629"/>
    </row>
    <row r="286" spans="1:10" ht="19.5" hidden="1" customHeight="1" outlineLevel="1" x14ac:dyDescent="0.25">
      <c r="A286" s="474">
        <f t="shared" ref="A286:A344" si="2">+A285+1</f>
        <v>29</v>
      </c>
      <c r="B286" s="702"/>
      <c r="C286" s="540"/>
      <c r="D286" s="541"/>
      <c r="E286" s="626"/>
      <c r="F286" s="975"/>
      <c r="G286" s="708"/>
      <c r="H286" s="346"/>
      <c r="I286" s="544"/>
      <c r="J286" s="629"/>
    </row>
    <row r="287" spans="1:10" ht="19.5" hidden="1" customHeight="1" outlineLevel="1" x14ac:dyDescent="0.25">
      <c r="A287" s="474">
        <f t="shared" si="2"/>
        <v>30</v>
      </c>
      <c r="B287" s="702"/>
      <c r="C287" s="540"/>
      <c r="D287" s="541"/>
      <c r="E287" s="626"/>
      <c r="F287" s="975"/>
      <c r="G287" s="708"/>
      <c r="H287" s="346"/>
      <c r="I287" s="544"/>
      <c r="J287" s="629"/>
    </row>
    <row r="288" spans="1:10" ht="19.5" hidden="1" customHeight="1" outlineLevel="1" x14ac:dyDescent="0.25">
      <c r="A288" s="474">
        <f t="shared" si="2"/>
        <v>31</v>
      </c>
      <c r="B288" s="702"/>
      <c r="C288" s="540"/>
      <c r="D288" s="541"/>
      <c r="E288" s="626"/>
      <c r="F288" s="975"/>
      <c r="G288" s="708"/>
      <c r="H288" s="346"/>
      <c r="I288" s="544"/>
    </row>
    <row r="289" spans="1:9" ht="19.5" hidden="1" customHeight="1" outlineLevel="1" x14ac:dyDescent="0.25">
      <c r="A289" s="474">
        <f t="shared" si="2"/>
        <v>32</v>
      </c>
      <c r="B289" s="702"/>
      <c r="C289" s="540"/>
      <c r="D289" s="541"/>
      <c r="E289" s="626"/>
      <c r="F289" s="975"/>
      <c r="G289" s="708"/>
      <c r="H289" s="346"/>
      <c r="I289" s="544"/>
    </row>
    <row r="290" spans="1:9" ht="19.5" hidden="1" customHeight="1" outlineLevel="1" x14ac:dyDescent="0.25">
      <c r="A290" s="474">
        <f t="shared" si="2"/>
        <v>33</v>
      </c>
      <c r="B290" s="702"/>
      <c r="C290" s="540"/>
      <c r="D290" s="541"/>
      <c r="E290" s="626"/>
      <c r="F290" s="975"/>
      <c r="G290" s="708"/>
      <c r="H290" s="346"/>
      <c r="I290" s="544"/>
    </row>
    <row r="291" spans="1:9" ht="19.5" hidden="1" customHeight="1" outlineLevel="1" x14ac:dyDescent="0.25">
      <c r="A291" s="474">
        <f t="shared" si="2"/>
        <v>34</v>
      </c>
      <c r="B291" s="702"/>
      <c r="C291" s="540"/>
      <c r="D291" s="541"/>
      <c r="E291" s="626"/>
      <c r="F291" s="975"/>
      <c r="G291" s="708"/>
      <c r="H291" s="346"/>
      <c r="I291" s="544"/>
    </row>
    <row r="292" spans="1:9" ht="19.5" hidden="1" customHeight="1" outlineLevel="1" x14ac:dyDescent="0.25">
      <c r="A292" s="474">
        <f t="shared" si="2"/>
        <v>35</v>
      </c>
      <c r="B292" s="702"/>
      <c r="C292" s="540"/>
      <c r="D292" s="541"/>
      <c r="E292" s="626"/>
      <c r="F292" s="975"/>
      <c r="G292" s="708"/>
      <c r="H292" s="346"/>
      <c r="I292" s="544"/>
    </row>
    <row r="293" spans="1:9" ht="19.5" hidden="1" customHeight="1" outlineLevel="1" x14ac:dyDescent="0.25">
      <c r="A293" s="474">
        <f t="shared" si="2"/>
        <v>36</v>
      </c>
      <c r="B293" s="702"/>
      <c r="C293" s="540"/>
      <c r="D293" s="541"/>
      <c r="E293" s="626"/>
      <c r="F293" s="975"/>
      <c r="G293" s="708"/>
      <c r="H293" s="346"/>
      <c r="I293" s="544"/>
    </row>
    <row r="294" spans="1:9" ht="19.5" hidden="1" customHeight="1" outlineLevel="1" x14ac:dyDescent="0.25">
      <c r="A294" s="474">
        <f t="shared" si="2"/>
        <v>37</v>
      </c>
      <c r="B294" s="702"/>
      <c r="C294" s="540"/>
      <c r="D294" s="541"/>
      <c r="E294" s="626"/>
      <c r="F294" s="975"/>
      <c r="G294" s="708"/>
      <c r="H294" s="346"/>
      <c r="I294" s="544"/>
    </row>
    <row r="295" spans="1:9" ht="19.5" hidden="1" customHeight="1" outlineLevel="1" x14ac:dyDescent="0.25">
      <c r="A295" s="474">
        <f t="shared" si="2"/>
        <v>38</v>
      </c>
      <c r="B295" s="702"/>
      <c r="C295" s="540"/>
      <c r="D295" s="541"/>
      <c r="E295" s="626"/>
      <c r="F295" s="975"/>
      <c r="G295" s="708"/>
      <c r="H295" s="346"/>
      <c r="I295" s="544"/>
    </row>
    <row r="296" spans="1:9" ht="19.5" hidden="1" customHeight="1" outlineLevel="1" x14ac:dyDescent="0.25">
      <c r="A296" s="474">
        <f t="shared" si="2"/>
        <v>39</v>
      </c>
      <c r="B296" s="702"/>
      <c r="C296" s="540"/>
      <c r="D296" s="541"/>
      <c r="E296" s="626"/>
      <c r="F296" s="975"/>
      <c r="G296" s="708"/>
      <c r="H296" s="346"/>
      <c r="I296" s="544"/>
    </row>
    <row r="297" spans="1:9" ht="19.5" hidden="1" customHeight="1" outlineLevel="1" x14ac:dyDescent="0.25">
      <c r="A297" s="474">
        <f t="shared" si="2"/>
        <v>40</v>
      </c>
      <c r="B297" s="702"/>
      <c r="C297" s="540"/>
      <c r="D297" s="541"/>
      <c r="E297" s="626"/>
      <c r="F297" s="975"/>
      <c r="G297" s="708"/>
      <c r="H297" s="346"/>
      <c r="I297" s="544"/>
    </row>
    <row r="298" spans="1:9" ht="19.5" hidden="1" customHeight="1" outlineLevel="1" x14ac:dyDescent="0.25">
      <c r="A298" s="474">
        <f t="shared" si="2"/>
        <v>41</v>
      </c>
      <c r="B298" s="702"/>
      <c r="C298" s="540"/>
      <c r="D298" s="541"/>
      <c r="E298" s="626"/>
      <c r="F298" s="975"/>
      <c r="G298" s="708"/>
      <c r="H298" s="346"/>
      <c r="I298" s="544"/>
    </row>
    <row r="299" spans="1:9" ht="19.5" hidden="1" customHeight="1" outlineLevel="1" x14ac:dyDescent="0.25">
      <c r="A299" s="474">
        <f t="shared" si="2"/>
        <v>42</v>
      </c>
      <c r="B299" s="702"/>
      <c r="C299" s="540"/>
      <c r="D299" s="541"/>
      <c r="E299" s="626"/>
      <c r="F299" s="975"/>
      <c r="G299" s="708"/>
      <c r="H299" s="346"/>
      <c r="I299" s="544"/>
    </row>
    <row r="300" spans="1:9" ht="19.5" hidden="1" customHeight="1" outlineLevel="1" x14ac:dyDescent="0.25">
      <c r="A300" s="474">
        <f t="shared" si="2"/>
        <v>43</v>
      </c>
      <c r="B300" s="702"/>
      <c r="C300" s="540"/>
      <c r="D300" s="541"/>
      <c r="E300" s="626"/>
      <c r="F300" s="975"/>
      <c r="G300" s="708"/>
      <c r="H300" s="346"/>
      <c r="I300" s="544"/>
    </row>
    <row r="301" spans="1:9" ht="19.5" hidden="1" customHeight="1" outlineLevel="1" x14ac:dyDescent="0.25">
      <c r="A301" s="474">
        <f t="shared" si="2"/>
        <v>44</v>
      </c>
      <c r="B301" s="702"/>
      <c r="C301" s="540"/>
      <c r="D301" s="541"/>
      <c r="E301" s="626"/>
      <c r="F301" s="975"/>
      <c r="G301" s="708"/>
      <c r="H301" s="346"/>
      <c r="I301" s="544"/>
    </row>
    <row r="302" spans="1:9" ht="19.5" hidden="1" customHeight="1" outlineLevel="1" x14ac:dyDescent="0.25">
      <c r="A302" s="474">
        <f t="shared" si="2"/>
        <v>45</v>
      </c>
      <c r="B302" s="702"/>
      <c r="C302" s="540"/>
      <c r="D302" s="541"/>
      <c r="E302" s="626"/>
      <c r="F302" s="975"/>
      <c r="G302" s="708"/>
      <c r="H302" s="346"/>
      <c r="I302" s="544"/>
    </row>
    <row r="303" spans="1:9" ht="19.5" hidden="1" customHeight="1" outlineLevel="1" x14ac:dyDescent="0.25">
      <c r="A303" s="474">
        <f t="shared" si="2"/>
        <v>46</v>
      </c>
      <c r="B303" s="702"/>
      <c r="C303" s="540"/>
      <c r="D303" s="541"/>
      <c r="E303" s="626"/>
      <c r="F303" s="975"/>
      <c r="G303" s="708"/>
      <c r="H303" s="346"/>
      <c r="I303" s="544"/>
    </row>
    <row r="304" spans="1:9" ht="19.5" hidden="1" customHeight="1" outlineLevel="1" x14ac:dyDescent="0.25">
      <c r="A304" s="474">
        <f t="shared" si="2"/>
        <v>47</v>
      </c>
      <c r="B304" s="702"/>
      <c r="C304" s="540"/>
      <c r="D304" s="541"/>
      <c r="E304" s="626"/>
      <c r="F304" s="975"/>
      <c r="G304" s="708"/>
      <c r="H304" s="346"/>
      <c r="I304" s="544"/>
    </row>
    <row r="305" spans="1:9" ht="19.5" hidden="1" customHeight="1" outlineLevel="1" x14ac:dyDescent="0.25">
      <c r="A305" s="474">
        <f t="shared" si="2"/>
        <v>48</v>
      </c>
      <c r="B305" s="702"/>
      <c r="C305" s="540"/>
      <c r="D305" s="541"/>
      <c r="E305" s="626"/>
      <c r="F305" s="975"/>
      <c r="G305" s="708"/>
      <c r="H305" s="346"/>
      <c r="I305" s="544"/>
    </row>
    <row r="306" spans="1:9" ht="19.5" hidden="1" customHeight="1" outlineLevel="1" x14ac:dyDescent="0.25">
      <c r="A306" s="474">
        <f t="shared" si="2"/>
        <v>49</v>
      </c>
      <c r="B306" s="702"/>
      <c r="C306" s="540"/>
      <c r="D306" s="541"/>
      <c r="E306" s="626"/>
      <c r="F306" s="975"/>
      <c r="G306" s="708"/>
      <c r="H306" s="346"/>
      <c r="I306" s="544"/>
    </row>
    <row r="307" spans="1:9" ht="19.5" hidden="1" customHeight="1" outlineLevel="1" x14ac:dyDescent="0.25">
      <c r="A307" s="474">
        <f t="shared" si="2"/>
        <v>50</v>
      </c>
      <c r="B307" s="702"/>
      <c r="C307" s="540"/>
      <c r="D307" s="541"/>
      <c r="E307" s="626"/>
      <c r="F307" s="975"/>
      <c r="G307" s="708"/>
      <c r="H307" s="346"/>
      <c r="I307" s="544"/>
    </row>
    <row r="308" spans="1:9" ht="19.5" hidden="1" customHeight="1" outlineLevel="1" x14ac:dyDescent="0.25">
      <c r="A308" s="474">
        <f t="shared" si="2"/>
        <v>51</v>
      </c>
      <c r="B308" s="702"/>
      <c r="C308" s="540"/>
      <c r="D308" s="541"/>
      <c r="E308" s="626"/>
      <c r="F308" s="975"/>
      <c r="G308" s="708"/>
      <c r="H308" s="346"/>
      <c r="I308" s="544"/>
    </row>
    <row r="309" spans="1:9" ht="19.5" hidden="1" customHeight="1" outlineLevel="1" x14ac:dyDescent="0.25">
      <c r="A309" s="474">
        <f t="shared" si="2"/>
        <v>52</v>
      </c>
      <c r="B309" s="702"/>
      <c r="C309" s="540"/>
      <c r="D309" s="541"/>
      <c r="E309" s="626"/>
      <c r="F309" s="975"/>
      <c r="G309" s="708"/>
      <c r="H309" s="346"/>
      <c r="I309" s="544"/>
    </row>
    <row r="310" spans="1:9" ht="19.5" hidden="1" customHeight="1" outlineLevel="1" x14ac:dyDescent="0.25">
      <c r="A310" s="474">
        <f t="shared" si="2"/>
        <v>53</v>
      </c>
      <c r="B310" s="702"/>
      <c r="C310" s="540"/>
      <c r="D310" s="541"/>
      <c r="E310" s="626"/>
      <c r="F310" s="975"/>
      <c r="G310" s="708"/>
      <c r="H310" s="346"/>
      <c r="I310" s="544"/>
    </row>
    <row r="311" spans="1:9" ht="19.5" hidden="1" customHeight="1" outlineLevel="1" x14ac:dyDescent="0.25">
      <c r="A311" s="474">
        <f t="shared" si="2"/>
        <v>54</v>
      </c>
      <c r="B311" s="702"/>
      <c r="C311" s="540"/>
      <c r="D311" s="541"/>
      <c r="E311" s="626"/>
      <c r="F311" s="975"/>
      <c r="G311" s="708"/>
      <c r="H311" s="346"/>
      <c r="I311" s="544"/>
    </row>
    <row r="312" spans="1:9" ht="19.5" hidden="1" customHeight="1" outlineLevel="1" x14ac:dyDescent="0.25">
      <c r="A312" s="474">
        <f t="shared" si="2"/>
        <v>55</v>
      </c>
      <c r="B312" s="702"/>
      <c r="C312" s="540"/>
      <c r="D312" s="541"/>
      <c r="E312" s="626"/>
      <c r="F312" s="975"/>
      <c r="G312" s="708"/>
      <c r="H312" s="346"/>
      <c r="I312" s="544"/>
    </row>
    <row r="313" spans="1:9" ht="19.5" hidden="1" customHeight="1" outlineLevel="1" x14ac:dyDescent="0.3">
      <c r="A313" s="474"/>
      <c r="B313" s="983"/>
      <c r="C313" s="540"/>
      <c r="D313" s="541"/>
      <c r="E313" s="692"/>
      <c r="F313" s="692"/>
      <c r="G313" s="692"/>
      <c r="H313" s="346"/>
      <c r="I313" s="544"/>
    </row>
    <row r="314" spans="1:9" ht="19.5" hidden="1" customHeight="1" outlineLevel="1" x14ac:dyDescent="0.3">
      <c r="A314" s="474"/>
      <c r="B314" s="983"/>
      <c r="C314" s="540"/>
      <c r="D314" s="541"/>
      <c r="E314" s="692"/>
      <c r="F314" s="692"/>
      <c r="G314" s="692"/>
      <c r="H314" s="346"/>
      <c r="I314" s="544"/>
    </row>
    <row r="315" spans="1:9" ht="19.5" hidden="1" customHeight="1" outlineLevel="1" x14ac:dyDescent="0.3">
      <c r="A315" s="474"/>
      <c r="B315" s="983"/>
      <c r="C315" s="540"/>
      <c r="D315" s="541"/>
      <c r="E315" s="692"/>
      <c r="F315" s="692"/>
      <c r="G315" s="692"/>
      <c r="H315" s="346"/>
      <c r="I315" s="544"/>
    </row>
    <row r="316" spans="1:9" ht="19.5" hidden="1" customHeight="1" outlineLevel="1" x14ac:dyDescent="0.3">
      <c r="A316" s="474"/>
      <c r="B316" s="983"/>
      <c r="C316" s="540"/>
      <c r="D316" s="541"/>
      <c r="E316" s="692"/>
      <c r="F316" s="692"/>
      <c r="G316" s="692"/>
      <c r="H316" s="346"/>
      <c r="I316" s="544"/>
    </row>
    <row r="317" spans="1:9" ht="19.5" hidden="1" customHeight="1" outlineLevel="1" x14ac:dyDescent="0.3">
      <c r="A317" s="474"/>
      <c r="B317" s="983"/>
      <c r="C317" s="540"/>
      <c r="D317" s="541"/>
      <c r="E317" s="692"/>
      <c r="F317" s="692"/>
      <c r="G317" s="692"/>
      <c r="H317" s="346"/>
      <c r="I317" s="544"/>
    </row>
    <row r="318" spans="1:9" ht="19.5" hidden="1" customHeight="1" outlineLevel="1" x14ac:dyDescent="0.3">
      <c r="A318" s="474"/>
      <c r="B318" s="983"/>
      <c r="C318" s="540"/>
      <c r="D318" s="541"/>
      <c r="E318" s="692"/>
      <c r="F318" s="692"/>
      <c r="G318" s="692"/>
      <c r="H318" s="346"/>
      <c r="I318" s="544"/>
    </row>
    <row r="319" spans="1:9" ht="19.5" hidden="1" customHeight="1" outlineLevel="1" x14ac:dyDescent="0.3">
      <c r="A319" s="474"/>
      <c r="B319" s="983"/>
      <c r="C319" s="540"/>
      <c r="D319" s="541"/>
      <c r="E319" s="692"/>
      <c r="F319" s="692"/>
      <c r="G319" s="692"/>
      <c r="H319" s="346"/>
      <c r="I319" s="544"/>
    </row>
    <row r="320" spans="1:9" ht="19.5" hidden="1" customHeight="1" outlineLevel="1" x14ac:dyDescent="0.3">
      <c r="A320" s="474"/>
      <c r="B320" s="983"/>
      <c r="C320" s="540"/>
      <c r="D320" s="541"/>
      <c r="E320" s="692"/>
      <c r="F320" s="692"/>
      <c r="G320" s="692"/>
      <c r="H320" s="346"/>
      <c r="I320" s="544"/>
    </row>
    <row r="321" spans="1:9" ht="19.5" customHeight="1" collapsed="1" x14ac:dyDescent="0.25">
      <c r="A321" s="474"/>
      <c r="B321" s="691"/>
      <c r="C321" s="540"/>
      <c r="D321" s="541"/>
      <c r="E321" s="692"/>
      <c r="F321" s="692"/>
      <c r="G321" s="692"/>
      <c r="H321" s="346"/>
      <c r="I321" s="544"/>
    </row>
    <row r="322" spans="1:9" ht="19.5" customHeight="1" x14ac:dyDescent="0.3">
      <c r="A322" s="474"/>
      <c r="B322" s="691"/>
      <c r="C322" s="693" t="s">
        <v>852</v>
      </c>
      <c r="D322" s="541"/>
      <c r="E322" s="859">
        <f>+'MH DETAIL LIST'!E371</f>
        <v>2756384.1293882886</v>
      </c>
      <c r="F322" s="859">
        <v>0</v>
      </c>
      <c r="G322" s="859">
        <f>+'MH DETAIL LIST'!G371</f>
        <v>62831.909823999988</v>
      </c>
      <c r="H322" s="858">
        <f>ROUND(G322/2080,2)</f>
        <v>30.21</v>
      </c>
      <c r="I322" s="544"/>
    </row>
    <row r="323" spans="1:9" ht="19.5" customHeight="1" x14ac:dyDescent="0.25">
      <c r="A323" s="474"/>
      <c r="B323" s="691"/>
      <c r="C323" s="540"/>
      <c r="D323" s="541"/>
      <c r="E323" s="692"/>
      <c r="F323" s="692"/>
      <c r="G323" s="692"/>
      <c r="H323" s="346"/>
      <c r="I323" s="544"/>
    </row>
    <row r="324" spans="1:9" ht="19.5" customHeight="1" x14ac:dyDescent="0.3">
      <c r="A324" s="474"/>
      <c r="B324" s="855" t="s">
        <v>849</v>
      </c>
      <c r="C324" s="540"/>
      <c r="D324" s="541"/>
      <c r="E324" s="692"/>
      <c r="F324" s="692"/>
      <c r="G324" s="692"/>
      <c r="H324" s="346"/>
      <c r="I324" s="544"/>
    </row>
    <row r="325" spans="1:9" ht="19.5" customHeight="1" x14ac:dyDescent="0.25">
      <c r="A325" s="474">
        <f>+A299+1</f>
        <v>43</v>
      </c>
      <c r="B325" s="691" t="s">
        <v>633</v>
      </c>
      <c r="C325" s="540"/>
      <c r="D325" s="541"/>
      <c r="E325" s="692"/>
      <c r="F325" s="692"/>
      <c r="G325" s="692"/>
      <c r="H325" s="346"/>
      <c r="I325" s="544"/>
    </row>
    <row r="326" spans="1:9" ht="19.5" customHeight="1" x14ac:dyDescent="0.25">
      <c r="A326" s="474">
        <f t="shared" si="2"/>
        <v>44</v>
      </c>
      <c r="B326" s="691"/>
      <c r="C326" s="540"/>
      <c r="D326" s="541"/>
      <c r="E326" s="692"/>
      <c r="F326" s="692"/>
      <c r="G326" s="692"/>
      <c r="H326" s="346"/>
      <c r="I326" s="544"/>
    </row>
    <row r="327" spans="1:9" ht="19.5" hidden="1" customHeight="1" outlineLevel="1" x14ac:dyDescent="0.25">
      <c r="A327" s="474">
        <f t="shared" si="2"/>
        <v>45</v>
      </c>
      <c r="B327" s="691"/>
      <c r="C327" s="540"/>
      <c r="D327" s="541"/>
      <c r="E327" s="692"/>
      <c r="F327" s="692"/>
      <c r="G327" s="692"/>
      <c r="H327" s="346"/>
      <c r="I327" s="544"/>
    </row>
    <row r="328" spans="1:9" ht="19.5" hidden="1" customHeight="1" outlineLevel="1" x14ac:dyDescent="0.25">
      <c r="A328" s="474">
        <f t="shared" si="2"/>
        <v>46</v>
      </c>
      <c r="B328" s="691"/>
      <c r="C328" s="540"/>
      <c r="D328" s="541"/>
      <c r="E328" s="692"/>
      <c r="F328" s="692"/>
      <c r="G328" s="692"/>
      <c r="H328" s="346"/>
      <c r="I328" s="544"/>
    </row>
    <row r="329" spans="1:9" ht="19.5" hidden="1" customHeight="1" outlineLevel="1" x14ac:dyDescent="0.25">
      <c r="A329" s="474">
        <f t="shared" si="2"/>
        <v>47</v>
      </c>
      <c r="B329" s="691"/>
      <c r="C329" s="540"/>
      <c r="D329" s="541"/>
      <c r="E329" s="692"/>
      <c r="F329" s="692"/>
      <c r="G329" s="692"/>
      <c r="H329" s="346"/>
      <c r="I329" s="544"/>
    </row>
    <row r="330" spans="1:9" ht="19.5" hidden="1" customHeight="1" outlineLevel="1" x14ac:dyDescent="0.25">
      <c r="A330" s="474">
        <f t="shared" si="2"/>
        <v>48</v>
      </c>
      <c r="B330" s="691"/>
      <c r="C330" s="540"/>
      <c r="D330" s="541"/>
      <c r="E330" s="692"/>
      <c r="F330" s="692"/>
      <c r="G330" s="692"/>
      <c r="H330" s="346"/>
      <c r="I330" s="544"/>
    </row>
    <row r="331" spans="1:9" ht="19.5" hidden="1" customHeight="1" outlineLevel="1" x14ac:dyDescent="0.25">
      <c r="A331" s="474">
        <f t="shared" si="2"/>
        <v>49</v>
      </c>
      <c r="B331" s="691"/>
      <c r="C331" s="540"/>
      <c r="D331" s="541"/>
      <c r="E331" s="692"/>
      <c r="F331" s="692"/>
      <c r="G331" s="692"/>
      <c r="H331" s="346"/>
      <c r="I331" s="544"/>
    </row>
    <row r="332" spans="1:9" ht="19.5" hidden="1" customHeight="1" outlineLevel="1" x14ac:dyDescent="0.25">
      <c r="A332" s="474">
        <f t="shared" si="2"/>
        <v>50</v>
      </c>
      <c r="B332" s="691"/>
      <c r="C332" s="540"/>
      <c r="D332" s="541"/>
      <c r="E332" s="692"/>
      <c r="F332" s="692"/>
      <c r="G332" s="692"/>
      <c r="H332" s="346"/>
      <c r="I332" s="544"/>
    </row>
    <row r="333" spans="1:9" ht="19.5" hidden="1" customHeight="1" outlineLevel="1" x14ac:dyDescent="0.25">
      <c r="A333" s="474">
        <f t="shared" si="2"/>
        <v>51</v>
      </c>
      <c r="B333" s="691"/>
      <c r="C333" s="540"/>
      <c r="D333" s="541"/>
      <c r="E333" s="692"/>
      <c r="F333" s="692"/>
      <c r="G333" s="692"/>
      <c r="H333" s="346"/>
      <c r="I333" s="544"/>
    </row>
    <row r="334" spans="1:9" ht="19.5" hidden="1" customHeight="1" outlineLevel="1" x14ac:dyDescent="0.25">
      <c r="A334" s="474">
        <f t="shared" si="2"/>
        <v>52</v>
      </c>
      <c r="B334" s="691"/>
      <c r="C334" s="540"/>
      <c r="D334" s="541"/>
      <c r="E334" s="692"/>
      <c r="F334" s="692"/>
      <c r="G334" s="692"/>
      <c r="H334" s="346"/>
      <c r="I334" s="544"/>
    </row>
    <row r="335" spans="1:9" ht="19.5" hidden="1" customHeight="1" outlineLevel="1" x14ac:dyDescent="0.25">
      <c r="A335" s="474">
        <f t="shared" si="2"/>
        <v>53</v>
      </c>
      <c r="B335" s="691"/>
      <c r="C335" s="540"/>
      <c r="D335" s="541"/>
      <c r="E335" s="692"/>
      <c r="F335" s="692"/>
      <c r="G335" s="692"/>
      <c r="H335" s="346"/>
      <c r="I335" s="544"/>
    </row>
    <row r="336" spans="1:9" ht="19.5" hidden="1" customHeight="1" outlineLevel="1" x14ac:dyDescent="0.25">
      <c r="A336" s="474">
        <f t="shared" si="2"/>
        <v>54</v>
      </c>
      <c r="B336" s="691"/>
      <c r="C336" s="540"/>
      <c r="D336" s="541"/>
      <c r="E336" s="692"/>
      <c r="F336" s="692"/>
      <c r="G336" s="692"/>
      <c r="H336" s="346"/>
      <c r="I336" s="544"/>
    </row>
    <row r="337" spans="1:9" ht="19.5" hidden="1" customHeight="1" outlineLevel="1" x14ac:dyDescent="0.25">
      <c r="A337" s="474">
        <f t="shared" si="2"/>
        <v>55</v>
      </c>
      <c r="B337" s="691"/>
      <c r="C337" s="540"/>
      <c r="D337" s="541"/>
      <c r="E337" s="692"/>
      <c r="F337" s="692"/>
      <c r="G337" s="692"/>
      <c r="H337" s="346"/>
      <c r="I337" s="544"/>
    </row>
    <row r="338" spans="1:9" ht="19.5" hidden="1" customHeight="1" outlineLevel="1" x14ac:dyDescent="0.25">
      <c r="A338" s="474">
        <f t="shared" si="2"/>
        <v>56</v>
      </c>
      <c r="B338" s="691"/>
      <c r="C338" s="540"/>
      <c r="D338" s="541"/>
      <c r="E338" s="692"/>
      <c r="F338" s="692"/>
      <c r="G338" s="692"/>
      <c r="H338" s="346"/>
      <c r="I338" s="544"/>
    </row>
    <row r="339" spans="1:9" ht="19.5" hidden="1" customHeight="1" outlineLevel="1" x14ac:dyDescent="0.25">
      <c r="A339" s="474">
        <f t="shared" si="2"/>
        <v>57</v>
      </c>
      <c r="B339" s="691"/>
      <c r="C339" s="540"/>
      <c r="D339" s="541"/>
      <c r="E339" s="692"/>
      <c r="F339" s="692"/>
      <c r="G339" s="692"/>
      <c r="H339" s="346"/>
      <c r="I339" s="544"/>
    </row>
    <row r="340" spans="1:9" ht="19.5" hidden="1" customHeight="1" outlineLevel="1" x14ac:dyDescent="0.25">
      <c r="A340" s="474">
        <f t="shared" si="2"/>
        <v>58</v>
      </c>
      <c r="B340" s="691"/>
      <c r="C340" s="540"/>
      <c r="D340" s="541"/>
      <c r="E340" s="692"/>
      <c r="F340" s="692"/>
      <c r="G340" s="692"/>
      <c r="H340" s="346"/>
      <c r="I340" s="544"/>
    </row>
    <row r="341" spans="1:9" ht="19.5" hidden="1" customHeight="1" outlineLevel="1" x14ac:dyDescent="0.25">
      <c r="A341" s="474">
        <f t="shared" si="2"/>
        <v>59</v>
      </c>
      <c r="B341" s="691"/>
      <c r="C341" s="540"/>
      <c r="D341" s="541"/>
      <c r="E341" s="692"/>
      <c r="F341" s="692"/>
      <c r="G341" s="692"/>
      <c r="H341" s="346"/>
      <c r="I341" s="544"/>
    </row>
    <row r="342" spans="1:9" ht="19.5" hidden="1" customHeight="1" outlineLevel="1" x14ac:dyDescent="0.25">
      <c r="A342" s="474">
        <f t="shared" si="2"/>
        <v>60</v>
      </c>
      <c r="B342" s="691"/>
      <c r="C342" s="540"/>
      <c r="D342" s="541"/>
      <c r="E342" s="692"/>
      <c r="F342" s="692"/>
      <c r="G342" s="692"/>
      <c r="H342" s="346"/>
      <c r="I342" s="544"/>
    </row>
    <row r="343" spans="1:9" ht="19.5" hidden="1" customHeight="1" outlineLevel="1" x14ac:dyDescent="0.25">
      <c r="A343" s="474">
        <f t="shared" si="2"/>
        <v>61</v>
      </c>
      <c r="B343" s="691"/>
      <c r="C343" s="540"/>
      <c r="D343" s="541"/>
      <c r="E343" s="692"/>
      <c r="F343" s="692"/>
      <c r="G343" s="692"/>
      <c r="H343" s="346"/>
      <c r="I343" s="544"/>
    </row>
    <row r="344" spans="1:9" ht="19.5" hidden="1" customHeight="1" outlineLevel="1" x14ac:dyDescent="0.25">
      <c r="A344" s="474">
        <f t="shared" si="2"/>
        <v>62</v>
      </c>
      <c r="B344" s="691"/>
      <c r="C344" s="540"/>
      <c r="D344" s="541"/>
      <c r="E344" s="692"/>
      <c r="F344" s="692"/>
      <c r="G344" s="692"/>
      <c r="H344" s="346"/>
      <c r="I344" s="544"/>
    </row>
    <row r="345" spans="1:9" ht="19.5" hidden="1" customHeight="1" outlineLevel="1" x14ac:dyDescent="0.3">
      <c r="A345" s="474"/>
      <c r="B345" s="691"/>
      <c r="C345" s="693"/>
      <c r="D345" s="694"/>
      <c r="E345" s="695"/>
      <c r="F345" s="695"/>
      <c r="G345" s="695"/>
      <c r="H345" s="346"/>
      <c r="I345" s="544"/>
    </row>
    <row r="346" spans="1:9" ht="19.5" hidden="1" customHeight="1" outlineLevel="1" x14ac:dyDescent="0.3">
      <c r="A346" s="474"/>
      <c r="B346" s="691"/>
      <c r="C346" s="693"/>
      <c r="D346" s="694"/>
      <c r="E346" s="695"/>
      <c r="F346" s="695"/>
      <c r="G346" s="695"/>
      <c r="H346" s="346"/>
      <c r="I346" s="544"/>
    </row>
    <row r="347" spans="1:9" ht="19.5" hidden="1" customHeight="1" outlineLevel="1" x14ac:dyDescent="0.3">
      <c r="A347" s="474"/>
      <c r="B347" s="691"/>
      <c r="C347" s="693"/>
      <c r="D347" s="694"/>
      <c r="E347" s="695"/>
      <c r="F347" s="695"/>
      <c r="G347" s="695"/>
      <c r="H347" s="346"/>
      <c r="I347" s="544"/>
    </row>
    <row r="348" spans="1:9" ht="19.5" hidden="1" customHeight="1" outlineLevel="1" x14ac:dyDescent="0.3">
      <c r="A348" s="474"/>
      <c r="B348" s="691"/>
      <c r="C348" s="693"/>
      <c r="D348" s="694"/>
      <c r="E348" s="695"/>
      <c r="F348" s="695"/>
      <c r="G348" s="695"/>
      <c r="H348" s="346"/>
      <c r="I348" s="544"/>
    </row>
    <row r="349" spans="1:9" ht="19.5" hidden="1" customHeight="1" outlineLevel="1" x14ac:dyDescent="0.3">
      <c r="A349" s="474"/>
      <c r="B349" s="691"/>
      <c r="C349" s="693"/>
      <c r="D349" s="694"/>
      <c r="E349" s="695"/>
      <c r="F349" s="695"/>
      <c r="G349" s="695"/>
      <c r="H349" s="346"/>
      <c r="I349" s="544"/>
    </row>
    <row r="350" spans="1:9" ht="19.5" customHeight="1" collapsed="1" x14ac:dyDescent="0.3">
      <c r="A350" s="474"/>
      <c r="B350" s="691"/>
      <c r="C350" s="693"/>
      <c r="D350" s="694"/>
      <c r="E350" s="695"/>
      <c r="F350" s="695"/>
      <c r="G350" s="695"/>
      <c r="H350" s="346"/>
      <c r="I350" s="544"/>
    </row>
    <row r="351" spans="1:9" ht="19.5" customHeight="1" x14ac:dyDescent="0.3">
      <c r="A351" s="474"/>
      <c r="B351" s="691"/>
      <c r="C351" s="693"/>
      <c r="D351" s="694"/>
      <c r="E351" s="695"/>
      <c r="F351" s="695"/>
      <c r="G351" s="695"/>
      <c r="H351" s="346"/>
      <c r="I351" s="544"/>
    </row>
    <row r="352" spans="1:9" ht="19.5" customHeight="1" x14ac:dyDescent="0.3">
      <c r="A352" s="474"/>
      <c r="B352" s="860" t="s">
        <v>853</v>
      </c>
      <c r="C352" s="540"/>
      <c r="D352" s="541"/>
      <c r="E352" s="982">
        <f>+'MH DETAIL LIST'!E410</f>
        <v>3290083.9248017427</v>
      </c>
      <c r="F352" s="982"/>
      <c r="G352" s="982">
        <f>+'MH DETAIL LIST'!G410</f>
        <v>45537.421071999997</v>
      </c>
      <c r="H352" s="346">
        <f>ROUND(G352/2080,2)</f>
        <v>21.89</v>
      </c>
      <c r="I352" s="544"/>
    </row>
    <row r="353" spans="1:9" ht="19.5" customHeight="1" x14ac:dyDescent="0.25">
      <c r="A353" s="474"/>
      <c r="B353" s="687"/>
      <c r="C353" s="540"/>
      <c r="D353" s="541"/>
      <c r="E353" s="696"/>
      <c r="F353" s="685"/>
      <c r="G353" s="649"/>
      <c r="H353" s="650"/>
      <c r="I353" s="544"/>
    </row>
    <row r="354" spans="1:9" ht="19.5" customHeight="1" x14ac:dyDescent="0.25">
      <c r="A354" s="474"/>
      <c r="B354" s="687"/>
      <c r="C354" s="540"/>
      <c r="D354" s="541"/>
      <c r="E354" s="696"/>
      <c r="F354" s="685"/>
      <c r="G354" s="649"/>
      <c r="H354" s="650"/>
      <c r="I354" s="544"/>
    </row>
    <row r="355" spans="1:9" ht="19.5" customHeight="1" x14ac:dyDescent="0.35">
      <c r="A355" s="474"/>
      <c r="B355" s="856" t="s">
        <v>850</v>
      </c>
      <c r="C355" s="540"/>
      <c r="D355" s="541"/>
      <c r="E355" s="696"/>
      <c r="F355" s="685"/>
      <c r="G355" s="649"/>
      <c r="H355" s="650"/>
      <c r="I355" s="544"/>
    </row>
    <row r="356" spans="1:9" ht="19.5" customHeight="1" x14ac:dyDescent="0.25">
      <c r="A356" s="474">
        <f>+A344+1</f>
        <v>63</v>
      </c>
      <c r="B356" s="691" t="s">
        <v>578</v>
      </c>
      <c r="C356" s="540"/>
      <c r="D356" s="541"/>
      <c r="E356" s="719"/>
      <c r="F356" s="981"/>
      <c r="G356" s="981"/>
      <c r="H356" s="346">
        <f>ROUND(G356/2080,2)</f>
        <v>0</v>
      </c>
      <c r="I356" s="544"/>
    </row>
    <row r="357" spans="1:9" ht="19.5" customHeight="1" x14ac:dyDescent="0.25">
      <c r="A357" s="474">
        <f>+A356+1</f>
        <v>64</v>
      </c>
      <c r="B357" s="691"/>
      <c r="C357" s="540"/>
      <c r="D357" s="541"/>
      <c r="E357" s="719"/>
      <c r="F357" s="981"/>
      <c r="G357" s="981"/>
      <c r="H357" s="346"/>
      <c r="I357" s="544"/>
    </row>
    <row r="358" spans="1:9" ht="19.5" hidden="1" customHeight="1" outlineLevel="1" x14ac:dyDescent="0.25">
      <c r="A358" s="474">
        <f>+A357+1</f>
        <v>65</v>
      </c>
      <c r="B358" s="691"/>
      <c r="C358" s="540"/>
      <c r="D358" s="541"/>
      <c r="E358" s="719"/>
      <c r="F358" s="981"/>
      <c r="G358" s="981"/>
      <c r="H358" s="346"/>
      <c r="I358" s="544"/>
    </row>
    <row r="359" spans="1:9" ht="19.5" hidden="1" customHeight="1" outlineLevel="1" x14ac:dyDescent="0.25">
      <c r="A359" s="474">
        <f>+A358+1</f>
        <v>66</v>
      </c>
      <c r="B359" s="691"/>
      <c r="C359" s="540"/>
      <c r="D359" s="541"/>
      <c r="E359" s="719"/>
      <c r="F359" s="981"/>
      <c r="G359" s="981"/>
      <c r="H359" s="346"/>
      <c r="I359" s="544"/>
    </row>
    <row r="360" spans="1:9" ht="19.5" hidden="1" customHeight="1" outlineLevel="1" x14ac:dyDescent="0.25">
      <c r="A360" s="474">
        <f>+A359+1</f>
        <v>67</v>
      </c>
      <c r="B360" s="691"/>
      <c r="C360" s="540"/>
      <c r="D360" s="541"/>
      <c r="E360" s="719"/>
      <c r="F360" s="981"/>
      <c r="G360" s="981"/>
      <c r="H360" s="346"/>
      <c r="I360" s="544"/>
    </row>
    <row r="361" spans="1:9" ht="19.5" hidden="1" customHeight="1" outlineLevel="1" x14ac:dyDescent="0.25">
      <c r="A361" s="474">
        <f>+A360+1</f>
        <v>68</v>
      </c>
      <c r="B361" s="691"/>
      <c r="C361" s="540"/>
      <c r="D361" s="541"/>
      <c r="E361" s="719"/>
      <c r="F361" s="981"/>
      <c r="G361" s="981"/>
      <c r="H361" s="346"/>
      <c r="I361" s="544"/>
    </row>
    <row r="362" spans="1:9" ht="19.5" customHeight="1" collapsed="1" x14ac:dyDescent="0.25">
      <c r="A362" s="474"/>
      <c r="B362" s="687"/>
      <c r="C362" s="540"/>
      <c r="D362" s="541"/>
      <c r="E362" s="696"/>
      <c r="F362" s="685"/>
      <c r="G362" s="649"/>
      <c r="H362" s="650"/>
      <c r="I362" s="544"/>
    </row>
    <row r="363" spans="1:9" ht="19.5" customHeight="1" x14ac:dyDescent="0.3">
      <c r="A363" s="474"/>
      <c r="B363" s="687"/>
      <c r="C363" s="693" t="s">
        <v>851</v>
      </c>
      <c r="D363" s="541"/>
      <c r="E363" s="857">
        <f>+'MH DETAIL LIST'!E426</f>
        <v>695333.64412253909</v>
      </c>
      <c r="F363" s="857">
        <f>+'MH DETAIL LIST'!F429</f>
        <v>37837</v>
      </c>
      <c r="G363" s="857">
        <f>+'MH DETAIL LIST'!G429</f>
        <v>113763.61089599998</v>
      </c>
      <c r="H363" s="858">
        <f>ROUND(G363/2080,2)</f>
        <v>54.69</v>
      </c>
      <c r="I363" s="544"/>
    </row>
    <row r="364" spans="1:9" ht="19.5" customHeight="1" x14ac:dyDescent="0.25">
      <c r="A364" s="474"/>
      <c r="B364" s="687"/>
      <c r="C364" s="540"/>
      <c r="D364" s="541"/>
      <c r="E364" s="696"/>
      <c r="F364" s="685"/>
      <c r="G364" s="649"/>
      <c r="H364" s="650"/>
      <c r="I364" s="544"/>
    </row>
    <row r="365" spans="1:9" ht="19.5" customHeight="1" x14ac:dyDescent="0.25">
      <c r="A365" s="474"/>
      <c r="B365" s="687"/>
      <c r="C365" s="540"/>
      <c r="D365" s="541"/>
      <c r="E365" s="696"/>
      <c r="F365" s="685"/>
      <c r="G365" s="649"/>
      <c r="H365" s="650"/>
      <c r="I365" s="544"/>
    </row>
    <row r="366" spans="1:9" ht="19.5" customHeight="1" x14ac:dyDescent="0.25">
      <c r="A366" s="474"/>
      <c r="B366" s="687"/>
      <c r="C366" s="540"/>
      <c r="D366" s="541"/>
      <c r="E366" s="696"/>
      <c r="F366" s="685"/>
      <c r="G366" s="649"/>
      <c r="H366" s="650"/>
      <c r="I366" s="544"/>
    </row>
    <row r="367" spans="1:9" ht="19.5" customHeight="1" x14ac:dyDescent="0.25">
      <c r="A367" s="474"/>
      <c r="B367" s="687"/>
      <c r="C367" s="540"/>
      <c r="D367" s="541"/>
      <c r="E367" s="696"/>
      <c r="F367" s="685"/>
      <c r="G367" s="649"/>
      <c r="H367" s="650"/>
      <c r="I367" s="544"/>
    </row>
    <row r="368" spans="1:9" ht="19.5" customHeight="1" x14ac:dyDescent="0.25">
      <c r="A368" s="474"/>
      <c r="B368" s="687"/>
      <c r="C368" s="540"/>
      <c r="D368" s="541"/>
      <c r="E368" s="696"/>
      <c r="F368" s="685"/>
      <c r="G368" s="649"/>
      <c r="H368" s="650"/>
      <c r="I368" s="544"/>
    </row>
    <row r="369" spans="1:9" ht="19.5" customHeight="1" x14ac:dyDescent="0.25">
      <c r="A369" s="474"/>
      <c r="B369" s="687"/>
      <c r="C369" s="540"/>
      <c r="D369" s="541"/>
      <c r="E369" s="696"/>
      <c r="F369" s="685"/>
      <c r="G369" s="649"/>
      <c r="H369" s="650"/>
      <c r="I369" s="544"/>
    </row>
    <row r="370" spans="1:9" ht="19.5" customHeight="1" x14ac:dyDescent="0.25">
      <c r="A370" s="474"/>
      <c r="B370" s="687"/>
      <c r="C370" s="540"/>
      <c r="D370" s="541"/>
      <c r="E370" s="696"/>
      <c r="F370" s="685"/>
      <c r="G370" s="649"/>
      <c r="H370" s="650"/>
      <c r="I370" s="544"/>
    </row>
    <row r="371" spans="1:9" ht="19.5" customHeight="1" x14ac:dyDescent="0.25">
      <c r="A371" s="474"/>
      <c r="B371" s="687"/>
      <c r="C371" s="630"/>
      <c r="D371" s="631"/>
      <c r="E371" s="696"/>
      <c r="F371" s="685"/>
      <c r="G371" s="649"/>
      <c r="H371" s="650"/>
      <c r="I371" s="544"/>
    </row>
    <row r="372" spans="1:9" ht="19.5" customHeight="1" x14ac:dyDescent="0.25">
      <c r="A372" s="474"/>
      <c r="B372" s="687"/>
      <c r="C372" s="630"/>
      <c r="D372" s="631"/>
      <c r="E372" s="696"/>
      <c r="F372" s="685"/>
      <c r="G372" s="649"/>
      <c r="H372" s="650"/>
      <c r="I372" s="544"/>
    </row>
    <row r="373" spans="1:9" ht="19.5" customHeight="1" x14ac:dyDescent="0.25">
      <c r="A373" s="474"/>
      <c r="B373" s="687"/>
      <c r="C373" s="630"/>
      <c r="D373" s="631"/>
      <c r="E373" s="696"/>
      <c r="F373" s="685"/>
      <c r="G373" s="649"/>
      <c r="H373" s="650"/>
      <c r="I373" s="544"/>
    </row>
    <row r="374" spans="1:9" ht="19.5" customHeight="1" x14ac:dyDescent="0.25">
      <c r="A374" s="474"/>
      <c r="B374" s="687"/>
      <c r="C374" s="630"/>
      <c r="D374" s="631"/>
      <c r="E374" s="696"/>
      <c r="F374" s="685"/>
      <c r="G374" s="649"/>
      <c r="H374" s="650"/>
      <c r="I374" s="544"/>
    </row>
    <row r="375" spans="1:9" ht="19.5" customHeight="1" x14ac:dyDescent="0.25">
      <c r="A375" s="474"/>
      <c r="B375" s="687"/>
      <c r="C375" s="630"/>
      <c r="D375" s="631"/>
      <c r="E375" s="696"/>
      <c r="F375" s="685"/>
      <c r="G375" s="649"/>
      <c r="H375" s="650"/>
      <c r="I375" s="544"/>
    </row>
    <row r="376" spans="1:9" ht="19.5" customHeight="1" x14ac:dyDescent="0.25">
      <c r="A376" s="474"/>
      <c r="B376" s="687"/>
      <c r="C376" s="630"/>
      <c r="D376" s="631"/>
      <c r="E376" s="696"/>
      <c r="F376" s="685"/>
      <c r="G376" s="649"/>
      <c r="H376" s="650"/>
      <c r="I376" s="544"/>
    </row>
    <row r="377" spans="1:9" ht="19.5" customHeight="1" x14ac:dyDescent="0.3">
      <c r="A377" s="474"/>
      <c r="B377" s="687"/>
      <c r="C377" s="630"/>
      <c r="D377" s="631"/>
      <c r="E377" s="696"/>
      <c r="F377" s="980"/>
      <c r="G377" s="649"/>
      <c r="H377" s="650"/>
      <c r="I377" s="544"/>
    </row>
    <row r="378" spans="1:9" ht="19.5" customHeight="1" x14ac:dyDescent="0.3">
      <c r="A378" s="474"/>
      <c r="B378" s="838" t="s">
        <v>833</v>
      </c>
      <c r="C378" s="805"/>
      <c r="D378" s="806"/>
      <c r="E378" s="807"/>
      <c r="F378" s="807"/>
      <c r="G378" s="807"/>
      <c r="H378" s="804"/>
      <c r="I378" s="544"/>
    </row>
    <row r="379" spans="1:9" ht="24.75" customHeight="1" thickBot="1" x14ac:dyDescent="0.35">
      <c r="A379" s="399"/>
      <c r="B379" s="1482" t="s">
        <v>832</v>
      </c>
      <c r="C379" s="1483"/>
      <c r="D379" s="1484"/>
      <c r="E379" s="861">
        <f>+E378+E363+E352+E322+E269+E76</f>
        <v>23484711.390426628</v>
      </c>
      <c r="F379" s="861">
        <f>+F378+F363+F352+F322+F269+F76</f>
        <v>254384</v>
      </c>
      <c r="G379" s="861">
        <f>+G378+G363+G352+G322+G269+G76</f>
        <v>665049.40179199993</v>
      </c>
      <c r="H379" s="862">
        <f>ROUND(G379/2080,2)</f>
        <v>319.74</v>
      </c>
      <c r="I379" s="544"/>
    </row>
    <row r="380" spans="1:9" ht="19.5" customHeight="1" thickTop="1" thickBot="1" x14ac:dyDescent="0.35">
      <c r="A380" s="400"/>
      <c r="B380" s="401"/>
      <c r="C380" s="401"/>
      <c r="D380" s="401"/>
      <c r="E380" s="312"/>
      <c r="F380" s="311"/>
      <c r="G380" s="312"/>
      <c r="H380" s="402"/>
    </row>
    <row r="382" spans="1:9" s="629" customFormat="1" ht="13" x14ac:dyDescent="0.3">
      <c r="A382" s="1005"/>
      <c r="D382" s="1006"/>
      <c r="E382" s="1007"/>
      <c r="F382" s="1007"/>
      <c r="G382" s="1007"/>
      <c r="H382" s="1008"/>
    </row>
    <row r="383" spans="1:9" s="629" customFormat="1" x14ac:dyDescent="0.25">
      <c r="A383" s="1005"/>
      <c r="E383" s="1009"/>
      <c r="F383" s="1009"/>
      <c r="G383" s="1009"/>
    </row>
    <row r="384" spans="1:9" s="629" customFormat="1" x14ac:dyDescent="0.25">
      <c r="A384" s="1005"/>
      <c r="E384" s="1010"/>
    </row>
    <row r="385" spans="1:6" s="629" customFormat="1" ht="13" x14ac:dyDescent="0.3">
      <c r="A385" s="1005"/>
      <c r="D385" s="1006"/>
      <c r="E385" s="1011"/>
      <c r="F385" s="1011"/>
    </row>
    <row r="386" spans="1:6" s="629" customFormat="1" x14ac:dyDescent="0.25">
      <c r="A386" s="1005"/>
    </row>
    <row r="387" spans="1:6" s="629" customFormat="1" ht="13" x14ac:dyDescent="0.3">
      <c r="A387" s="1005"/>
      <c r="D387" s="1006"/>
      <c r="F387" s="1012"/>
    </row>
  </sheetData>
  <mergeCells count="16">
    <mergeCell ref="B379:D379"/>
    <mergeCell ref="B271:D271"/>
    <mergeCell ref="B269:D269"/>
    <mergeCell ref="B76:D76"/>
    <mergeCell ref="B77:D77"/>
    <mergeCell ref="B78:D78"/>
    <mergeCell ref="A13:D15"/>
    <mergeCell ref="G13:H13"/>
    <mergeCell ref="B17:D17"/>
    <mergeCell ref="B18:D18"/>
    <mergeCell ref="A1:H1"/>
    <mergeCell ref="A2:H2"/>
    <mergeCell ref="A3:H3"/>
    <mergeCell ref="A4:H4"/>
    <mergeCell ref="C8:G8"/>
    <mergeCell ref="A12:H12"/>
  </mergeCells>
  <pageMargins left="0.7" right="0.7" top="0.75" bottom="0.75" header="0.3" footer="0.3"/>
  <pageSetup scale="60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4A47C-882D-4871-81A3-561A96018D1B}">
  <sheetPr>
    <pageSetUpPr fitToPage="1"/>
  </sheetPr>
  <dimension ref="A3:S639"/>
  <sheetViews>
    <sheetView zoomScaleNormal="100" workbookViewId="0">
      <selection activeCell="M12" sqref="M12"/>
    </sheetView>
  </sheetViews>
  <sheetFormatPr defaultRowHeight="12.5" x14ac:dyDescent="0.25"/>
  <cols>
    <col min="2" max="2" width="7.453125" customWidth="1"/>
    <col min="3" max="3" width="18" customWidth="1"/>
    <col min="4" max="4" width="44.1796875" customWidth="1"/>
    <col min="5" max="5" width="18" customWidth="1"/>
    <col min="6" max="6" width="8.81640625" customWidth="1"/>
    <col min="7" max="7" width="9.453125" customWidth="1"/>
    <col min="8" max="8" width="18" customWidth="1"/>
    <col min="9" max="9" width="12.26953125" bestFit="1" customWidth="1"/>
    <col min="10" max="10" width="7" bestFit="1" customWidth="1"/>
    <col min="11" max="11" width="9.7265625" customWidth="1"/>
    <col min="12" max="12" width="9" bestFit="1" customWidth="1"/>
    <col min="13" max="13" width="14" bestFit="1" customWidth="1"/>
    <col min="14" max="14" width="0" hidden="1" customWidth="1"/>
    <col min="15" max="15" width="13.26953125" customWidth="1"/>
    <col min="16" max="16" width="10.26953125" bestFit="1" customWidth="1"/>
  </cols>
  <sheetData>
    <row r="3" spans="2:15" ht="15.5" x14ac:dyDescent="0.35">
      <c r="C3" s="606" t="s">
        <v>1050</v>
      </c>
      <c r="D3" s="606" t="s">
        <v>1051</v>
      </c>
    </row>
    <row r="4" spans="2:15" ht="13" x14ac:dyDescent="0.3">
      <c r="D4" s="565"/>
    </row>
    <row r="5" spans="2:15" x14ac:dyDescent="0.25">
      <c r="C5" s="1076"/>
      <c r="D5" s="1077"/>
    </row>
    <row r="6" spans="2:15" ht="15.5" x14ac:dyDescent="0.35">
      <c r="B6" s="1076"/>
      <c r="C6" s="606" t="s">
        <v>1052</v>
      </c>
    </row>
    <row r="7" spans="2:15" ht="13" thickBot="1" x14ac:dyDescent="0.3"/>
    <row r="8" spans="2:15" ht="27" thickBot="1" x14ac:dyDescent="0.4">
      <c r="B8" s="1104" t="s">
        <v>1095</v>
      </c>
      <c r="C8" s="1074" t="s">
        <v>1026</v>
      </c>
      <c r="D8" s="1045" t="s">
        <v>1027</v>
      </c>
      <c r="E8" s="1046" t="s">
        <v>920</v>
      </c>
      <c r="F8" s="1045" t="s">
        <v>1029</v>
      </c>
      <c r="G8" s="1047" t="s">
        <v>1030</v>
      </c>
      <c r="H8" s="1048" t="s">
        <v>203</v>
      </c>
      <c r="J8" s="1270"/>
      <c r="K8" s="1303"/>
      <c r="L8" s="1304"/>
      <c r="M8" s="1303"/>
      <c r="N8" s="1304"/>
      <c r="O8" s="794"/>
    </row>
    <row r="9" spans="2:15" ht="13" x14ac:dyDescent="0.3">
      <c r="B9" s="579">
        <v>1</v>
      </c>
      <c r="C9" s="1079" t="s">
        <v>520</v>
      </c>
      <c r="D9" t="s">
        <v>1259</v>
      </c>
      <c r="E9" s="537">
        <v>50036.059147698921</v>
      </c>
      <c r="F9" s="741">
        <v>435</v>
      </c>
      <c r="G9" s="537">
        <v>1687.5000000000002</v>
      </c>
      <c r="H9" s="1235">
        <f t="shared" ref="H9:H20" si="0">+G9/2080</f>
        <v>0.81129807692307698</v>
      </c>
      <c r="J9" s="1267"/>
      <c r="K9" s="550"/>
      <c r="L9" s="662"/>
      <c r="M9" s="922"/>
      <c r="N9" s="662"/>
      <c r="O9" s="1310"/>
    </row>
    <row r="10" spans="2:15" ht="13" x14ac:dyDescent="0.3">
      <c r="B10" s="579">
        <f>+B9+1</f>
        <v>2</v>
      </c>
      <c r="C10" s="1079" t="s">
        <v>520</v>
      </c>
      <c r="D10" t="s">
        <v>1259</v>
      </c>
      <c r="E10" s="537">
        <v>49409.811320694076</v>
      </c>
      <c r="F10" s="741">
        <v>622</v>
      </c>
      <c r="G10" s="537">
        <v>1674</v>
      </c>
      <c r="H10" s="1235">
        <f t="shared" si="0"/>
        <v>0.80480769230769234</v>
      </c>
      <c r="J10" s="1267"/>
      <c r="K10" s="550"/>
      <c r="L10" s="662"/>
      <c r="M10" s="922"/>
      <c r="N10" s="662"/>
      <c r="O10" s="1310"/>
    </row>
    <row r="11" spans="2:15" ht="13" x14ac:dyDescent="0.3">
      <c r="B11" s="579">
        <f t="shared" ref="B11:B49" si="1">+B10+1</f>
        <v>3</v>
      </c>
      <c r="C11" s="1079" t="s">
        <v>520</v>
      </c>
      <c r="D11" t="s">
        <v>1259</v>
      </c>
      <c r="E11" s="537">
        <v>71321</v>
      </c>
      <c r="F11" s="741">
        <v>1102</v>
      </c>
      <c r="G11" s="537">
        <v>1980</v>
      </c>
      <c r="H11" s="1235">
        <f t="shared" si="0"/>
        <v>0.95192307692307687</v>
      </c>
      <c r="J11" s="1267"/>
      <c r="K11" s="550"/>
      <c r="L11" s="662"/>
      <c r="M11" s="922"/>
      <c r="N11" s="662"/>
      <c r="O11" s="1310"/>
    </row>
    <row r="12" spans="2:15" ht="13" x14ac:dyDescent="0.3">
      <c r="B12" s="579">
        <f t="shared" si="1"/>
        <v>4</v>
      </c>
      <c r="C12" s="1079" t="s">
        <v>520</v>
      </c>
      <c r="D12" t="s">
        <v>1259</v>
      </c>
      <c r="E12" s="537">
        <v>10396.111660156945</v>
      </c>
      <c r="F12" s="741">
        <v>80</v>
      </c>
      <c r="G12" s="537">
        <v>392</v>
      </c>
      <c r="H12" s="1235">
        <f t="shared" si="0"/>
        <v>0.18846153846153846</v>
      </c>
      <c r="J12" s="1267"/>
      <c r="K12" s="550"/>
      <c r="L12" s="662"/>
      <c r="M12" s="922"/>
      <c r="N12" s="662"/>
      <c r="O12" s="1310"/>
    </row>
    <row r="13" spans="2:15" ht="13" x14ac:dyDescent="0.3">
      <c r="B13" s="579">
        <f t="shared" si="1"/>
        <v>5</v>
      </c>
      <c r="C13" s="1079" t="s">
        <v>520</v>
      </c>
      <c r="D13" t="s">
        <v>1259</v>
      </c>
      <c r="E13" s="537">
        <v>49784.388806446143</v>
      </c>
      <c r="F13" s="741">
        <v>458</v>
      </c>
      <c r="G13" s="537">
        <v>1687</v>
      </c>
      <c r="H13" s="1235">
        <f t="shared" si="0"/>
        <v>0.81105769230769231</v>
      </c>
      <c r="J13" s="1267"/>
      <c r="K13" s="550"/>
      <c r="L13" s="662"/>
      <c r="M13" s="922"/>
      <c r="N13" s="662"/>
      <c r="O13" s="1310"/>
    </row>
    <row r="14" spans="2:15" ht="13" x14ac:dyDescent="0.3">
      <c r="B14" s="579">
        <f t="shared" si="1"/>
        <v>6</v>
      </c>
      <c r="C14" s="1079" t="s">
        <v>520</v>
      </c>
      <c r="D14" t="s">
        <v>1259</v>
      </c>
      <c r="E14" s="537">
        <v>49506.765960577934</v>
      </c>
      <c r="F14" s="741">
        <v>555</v>
      </c>
      <c r="G14" s="537">
        <v>1676</v>
      </c>
      <c r="H14" s="1235">
        <f t="shared" si="0"/>
        <v>0.80576923076923079</v>
      </c>
      <c r="J14" s="1267"/>
      <c r="K14" s="550"/>
      <c r="L14" s="662"/>
      <c r="M14" s="922"/>
      <c r="N14" s="662"/>
      <c r="O14" s="1310"/>
    </row>
    <row r="15" spans="2:15" ht="13" x14ac:dyDescent="0.3">
      <c r="B15" s="579">
        <f t="shared" si="1"/>
        <v>7</v>
      </c>
      <c r="C15" s="1079" t="s">
        <v>520</v>
      </c>
      <c r="D15" t="s">
        <v>1259</v>
      </c>
      <c r="E15" s="537">
        <v>71921</v>
      </c>
      <c r="F15" s="741">
        <v>1007</v>
      </c>
      <c r="G15" s="537">
        <v>1988</v>
      </c>
      <c r="H15" s="1235">
        <f t="shared" si="0"/>
        <v>0.95576923076923082</v>
      </c>
      <c r="J15" s="1267"/>
      <c r="K15" s="550"/>
      <c r="L15" s="662"/>
      <c r="M15" s="922"/>
      <c r="N15" s="662"/>
      <c r="O15" s="1310"/>
    </row>
    <row r="16" spans="2:15" ht="13" x14ac:dyDescent="0.3">
      <c r="B16" s="579">
        <f t="shared" si="1"/>
        <v>8</v>
      </c>
      <c r="C16" s="1079" t="s">
        <v>520</v>
      </c>
      <c r="D16" t="s">
        <v>1259</v>
      </c>
      <c r="E16" s="537">
        <f>10513.9821+42353</f>
        <v>52866.982100000001</v>
      </c>
      <c r="F16" s="741">
        <v>914</v>
      </c>
      <c r="G16" s="537">
        <f>396+1068</f>
        <v>1464</v>
      </c>
      <c r="H16" s="1235">
        <f t="shared" si="0"/>
        <v>0.7038461538461539</v>
      </c>
      <c r="J16" s="1267"/>
      <c r="K16" s="550"/>
      <c r="L16" s="662"/>
      <c r="M16" s="922"/>
      <c r="N16" s="662"/>
      <c r="O16" s="1310"/>
    </row>
    <row r="17" spans="2:15" ht="13" x14ac:dyDescent="0.3">
      <c r="B17" s="579">
        <f t="shared" si="1"/>
        <v>9</v>
      </c>
      <c r="C17" s="1079" t="s">
        <v>520</v>
      </c>
      <c r="D17" t="s">
        <v>1259</v>
      </c>
      <c r="E17" s="537">
        <v>75370</v>
      </c>
      <c r="F17" s="741">
        <v>1019</v>
      </c>
      <c r="G17" s="537">
        <v>2080</v>
      </c>
      <c r="H17" s="1235">
        <f t="shared" si="0"/>
        <v>1</v>
      </c>
      <c r="J17" s="1267"/>
      <c r="K17" s="550"/>
      <c r="L17" s="662"/>
      <c r="M17" s="922"/>
      <c r="N17" s="662"/>
      <c r="O17" s="1310"/>
    </row>
    <row r="18" spans="2:15" ht="13" x14ac:dyDescent="0.3">
      <c r="B18" s="579">
        <f t="shared" si="1"/>
        <v>10</v>
      </c>
      <c r="C18" s="1079" t="s">
        <v>520</v>
      </c>
      <c r="D18" t="s">
        <v>1260</v>
      </c>
      <c r="E18" s="537">
        <v>73969.394947110908</v>
      </c>
      <c r="F18" s="741">
        <v>1347</v>
      </c>
      <c r="G18" s="537">
        <v>2096</v>
      </c>
      <c r="H18" s="1235">
        <f t="shared" si="0"/>
        <v>1.0076923076923077</v>
      </c>
      <c r="J18" s="1267"/>
      <c r="K18" s="550"/>
      <c r="L18" s="662"/>
      <c r="M18" s="922"/>
      <c r="N18" s="662"/>
      <c r="O18" s="1310"/>
    </row>
    <row r="19" spans="2:15" ht="13" x14ac:dyDescent="0.3">
      <c r="B19" s="579">
        <f t="shared" si="1"/>
        <v>11</v>
      </c>
      <c r="C19" s="1079" t="s">
        <v>520</v>
      </c>
      <c r="D19" t="s">
        <v>1260</v>
      </c>
      <c r="E19" s="537">
        <v>42920.406029157122</v>
      </c>
      <c r="F19" s="741">
        <v>391</v>
      </c>
      <c r="G19" s="537">
        <v>1191.5</v>
      </c>
      <c r="H19" s="1235">
        <f t="shared" si="0"/>
        <v>0.57283653846153848</v>
      </c>
      <c r="J19" s="1267"/>
      <c r="K19" s="550"/>
      <c r="L19" s="662"/>
      <c r="M19" s="922"/>
      <c r="N19" s="662"/>
      <c r="O19" s="1310"/>
    </row>
    <row r="20" spans="2:15" ht="13" x14ac:dyDescent="0.3">
      <c r="B20" s="579">
        <f t="shared" si="1"/>
        <v>12</v>
      </c>
      <c r="C20" s="1079" t="s">
        <v>520</v>
      </c>
      <c r="D20" t="s">
        <v>1261</v>
      </c>
      <c r="E20" s="537">
        <v>70365.064737386507</v>
      </c>
      <c r="F20" s="741">
        <v>1143</v>
      </c>
      <c r="G20" s="537">
        <v>1965</v>
      </c>
      <c r="H20" s="1235">
        <f t="shared" si="0"/>
        <v>0.94471153846153844</v>
      </c>
      <c r="J20" s="1267"/>
      <c r="K20" s="550"/>
      <c r="L20" s="662"/>
      <c r="M20" s="922"/>
      <c r="N20" s="662"/>
      <c r="O20" s="1310"/>
    </row>
    <row r="21" spans="2:15" ht="13" x14ac:dyDescent="0.3">
      <c r="B21" s="579">
        <f t="shared" si="1"/>
        <v>13</v>
      </c>
      <c r="C21" s="1079" t="s">
        <v>520</v>
      </c>
      <c r="D21" t="s">
        <v>1265</v>
      </c>
      <c r="E21" s="537">
        <v>266949.93080974172</v>
      </c>
      <c r="F21" s="741">
        <v>35</v>
      </c>
      <c r="G21" s="537">
        <v>2079.9999999999995</v>
      </c>
      <c r="H21" s="1235">
        <f t="shared" ref="H21:H49" si="2">+G21/2080</f>
        <v>0.99999999999999978</v>
      </c>
      <c r="J21" s="1267"/>
      <c r="K21" s="550"/>
      <c r="L21" s="662"/>
      <c r="M21" s="922"/>
      <c r="N21" s="662"/>
      <c r="O21" s="1310"/>
    </row>
    <row r="22" spans="2:15" ht="13" x14ac:dyDescent="0.3">
      <c r="B22" s="579">
        <f t="shared" si="1"/>
        <v>14</v>
      </c>
      <c r="C22" s="1079" t="s">
        <v>520</v>
      </c>
      <c r="D22" t="s">
        <v>1266</v>
      </c>
      <c r="E22" s="537">
        <v>110978.39603684838</v>
      </c>
      <c r="F22" s="741">
        <v>662</v>
      </c>
      <c r="G22" s="537">
        <v>2106</v>
      </c>
      <c r="H22" s="1235">
        <f t="shared" si="2"/>
        <v>1.0125</v>
      </c>
      <c r="J22" s="1267"/>
      <c r="K22" s="550"/>
      <c r="L22" s="662"/>
      <c r="M22" s="922"/>
      <c r="N22" s="662"/>
      <c r="O22" s="1310"/>
    </row>
    <row r="23" spans="2:15" ht="13" x14ac:dyDescent="0.3">
      <c r="B23" s="579">
        <f t="shared" si="1"/>
        <v>15</v>
      </c>
      <c r="C23" s="1079" t="s">
        <v>520</v>
      </c>
      <c r="D23" t="s">
        <v>1266</v>
      </c>
      <c r="E23" s="537">
        <v>23057.796027803735</v>
      </c>
      <c r="F23" s="741">
        <v>0</v>
      </c>
      <c r="G23" s="537">
        <v>448</v>
      </c>
      <c r="H23" s="1235">
        <f t="shared" si="2"/>
        <v>0.2153846153846154</v>
      </c>
      <c r="J23" s="1267"/>
      <c r="K23" s="550"/>
      <c r="L23" s="662"/>
      <c r="M23" s="922"/>
      <c r="N23" s="662"/>
      <c r="O23" s="1310"/>
    </row>
    <row r="24" spans="2:15" ht="13" x14ac:dyDescent="0.3">
      <c r="B24" s="579">
        <f t="shared" si="1"/>
        <v>16</v>
      </c>
      <c r="C24" s="1079" t="s">
        <v>520</v>
      </c>
      <c r="D24" t="s">
        <v>1266</v>
      </c>
      <c r="E24" s="537">
        <v>49947.169071243872</v>
      </c>
      <c r="F24" s="741">
        <v>1216</v>
      </c>
      <c r="G24" s="537">
        <v>1136</v>
      </c>
      <c r="H24" s="1235">
        <f t="shared" si="2"/>
        <v>0.5461538461538461</v>
      </c>
      <c r="J24" s="1267"/>
      <c r="K24" s="550"/>
      <c r="L24" s="662"/>
      <c r="M24" s="922"/>
      <c r="N24" s="662"/>
      <c r="O24" s="1310"/>
    </row>
    <row r="25" spans="2:15" ht="13" x14ac:dyDescent="0.3">
      <c r="B25" s="579">
        <f t="shared" si="1"/>
        <v>17</v>
      </c>
      <c r="C25" s="1079" t="s">
        <v>520</v>
      </c>
      <c r="D25" t="s">
        <v>1266</v>
      </c>
      <c r="E25" s="537">
        <v>57270.791990921782</v>
      </c>
      <c r="F25" s="741">
        <v>348</v>
      </c>
      <c r="G25" s="537">
        <v>1106.8499999999999</v>
      </c>
      <c r="H25" s="1235">
        <f t="shared" si="2"/>
        <v>0.53213942307692308</v>
      </c>
      <c r="J25" s="1267"/>
      <c r="K25" s="550"/>
      <c r="L25" s="662"/>
      <c r="M25" s="922"/>
      <c r="N25" s="662"/>
      <c r="O25" s="1310"/>
    </row>
    <row r="26" spans="2:15" ht="13" x14ac:dyDescent="0.3">
      <c r="B26" s="579">
        <f t="shared" si="1"/>
        <v>18</v>
      </c>
      <c r="C26" s="1079" t="s">
        <v>520</v>
      </c>
      <c r="D26" t="s">
        <v>1266</v>
      </c>
      <c r="E26" s="537">
        <v>37074.92664728369</v>
      </c>
      <c r="F26" s="741">
        <v>111</v>
      </c>
      <c r="G26" s="537">
        <v>853</v>
      </c>
      <c r="H26" s="1235">
        <f t="shared" si="2"/>
        <v>0.41009615384615383</v>
      </c>
      <c r="J26" s="1267"/>
      <c r="K26" s="550"/>
      <c r="L26" s="662"/>
      <c r="M26" s="922"/>
      <c r="N26" s="662"/>
      <c r="O26" s="1310"/>
    </row>
    <row r="27" spans="2:15" ht="13" x14ac:dyDescent="0.3">
      <c r="B27" s="579">
        <f t="shared" si="1"/>
        <v>19</v>
      </c>
      <c r="C27" s="1079" t="s">
        <v>520</v>
      </c>
      <c r="D27" t="s">
        <v>1266</v>
      </c>
      <c r="E27" s="537">
        <v>109114.17276731101</v>
      </c>
      <c r="F27" s="741">
        <v>921</v>
      </c>
      <c r="G27" s="537">
        <v>2088</v>
      </c>
      <c r="H27" s="1235">
        <f t="shared" si="2"/>
        <v>1.0038461538461538</v>
      </c>
      <c r="J27" s="1267"/>
      <c r="K27" s="550"/>
      <c r="L27" s="662"/>
      <c r="M27" s="922"/>
      <c r="N27" s="662"/>
      <c r="O27" s="1310"/>
    </row>
    <row r="28" spans="2:15" ht="13" x14ac:dyDescent="0.3">
      <c r="B28" s="579">
        <f t="shared" si="1"/>
        <v>20</v>
      </c>
      <c r="C28" s="1079" t="s">
        <v>520</v>
      </c>
      <c r="D28" t="s">
        <v>1266</v>
      </c>
      <c r="E28" s="537">
        <v>82060.050786216234</v>
      </c>
      <c r="F28" s="741">
        <v>0</v>
      </c>
      <c r="G28" s="537">
        <v>1760</v>
      </c>
      <c r="H28" s="1235">
        <f t="shared" si="2"/>
        <v>0.84615384615384615</v>
      </c>
      <c r="J28" s="1267"/>
      <c r="K28" s="550"/>
      <c r="L28" s="662"/>
      <c r="M28" s="922"/>
      <c r="N28" s="662"/>
      <c r="O28" s="1310"/>
    </row>
    <row r="29" spans="2:15" ht="13" x14ac:dyDescent="0.3">
      <c r="B29" s="579">
        <f t="shared" si="1"/>
        <v>21</v>
      </c>
      <c r="C29" s="1079" t="s">
        <v>520</v>
      </c>
      <c r="D29" t="s">
        <v>1266</v>
      </c>
      <c r="E29" s="537">
        <v>86899.068654869523</v>
      </c>
      <c r="F29" s="741">
        <v>427</v>
      </c>
      <c r="G29" s="537">
        <v>1419.6</v>
      </c>
      <c r="H29" s="1235">
        <f t="shared" si="2"/>
        <v>0.6825</v>
      </c>
      <c r="J29" s="1267"/>
      <c r="K29" s="550"/>
      <c r="L29" s="662"/>
      <c r="M29" s="922"/>
      <c r="N29" s="662"/>
      <c r="O29" s="1310"/>
    </row>
    <row r="30" spans="2:15" ht="13" x14ac:dyDescent="0.3">
      <c r="B30" s="579">
        <f t="shared" si="1"/>
        <v>22</v>
      </c>
      <c r="C30" s="1079" t="s">
        <v>520</v>
      </c>
      <c r="D30" t="s">
        <v>1267</v>
      </c>
      <c r="E30" s="537">
        <v>185826.40868064325</v>
      </c>
      <c r="F30" s="741">
        <v>773</v>
      </c>
      <c r="G30" s="537">
        <v>2080</v>
      </c>
      <c r="H30" s="1235">
        <f t="shared" si="2"/>
        <v>1</v>
      </c>
      <c r="J30" s="1267"/>
      <c r="K30" s="550"/>
      <c r="L30" s="662"/>
      <c r="M30" s="922"/>
      <c r="N30" s="662"/>
      <c r="O30" s="1310"/>
    </row>
    <row r="31" spans="2:15" ht="13" x14ac:dyDescent="0.3">
      <c r="B31" s="579">
        <f t="shared" si="1"/>
        <v>23</v>
      </c>
      <c r="C31" s="1079" t="s">
        <v>520</v>
      </c>
      <c r="D31" t="s">
        <v>1268</v>
      </c>
      <c r="E31" s="537">
        <v>78184.433459513253</v>
      </c>
      <c r="F31" s="741">
        <v>676</v>
      </c>
      <c r="G31" s="537">
        <v>2080</v>
      </c>
      <c r="H31" s="1235">
        <f t="shared" si="2"/>
        <v>1</v>
      </c>
      <c r="J31" s="1267"/>
      <c r="K31" s="550"/>
      <c r="L31" s="662"/>
      <c r="M31" s="922"/>
      <c r="N31" s="662"/>
      <c r="O31" s="1310"/>
    </row>
    <row r="32" spans="2:15" ht="13" x14ac:dyDescent="0.3">
      <c r="B32" s="579">
        <f t="shared" si="1"/>
        <v>24</v>
      </c>
      <c r="C32" s="1079" t="s">
        <v>520</v>
      </c>
      <c r="D32" t="s">
        <v>1268</v>
      </c>
      <c r="E32" s="537">
        <v>15050.404057953449</v>
      </c>
      <c r="F32" s="741">
        <v>0</v>
      </c>
      <c r="G32" s="537">
        <v>320</v>
      </c>
      <c r="H32" s="1235">
        <f t="shared" si="2"/>
        <v>0.15384615384615385</v>
      </c>
      <c r="J32" s="1267"/>
      <c r="K32" s="550"/>
      <c r="L32" s="662"/>
      <c r="M32" s="922"/>
      <c r="N32" s="662"/>
      <c r="O32" s="1310"/>
    </row>
    <row r="33" spans="2:15" ht="13" x14ac:dyDescent="0.3">
      <c r="B33" s="579">
        <f t="shared" si="1"/>
        <v>25</v>
      </c>
      <c r="C33" s="1079" t="s">
        <v>520</v>
      </c>
      <c r="D33" t="s">
        <v>1268</v>
      </c>
      <c r="E33" s="537">
        <v>81180.983392686801</v>
      </c>
      <c r="F33" s="741">
        <v>783</v>
      </c>
      <c r="G33" s="537">
        <v>2076</v>
      </c>
      <c r="H33" s="1235">
        <f t="shared" si="2"/>
        <v>0.99807692307692308</v>
      </c>
      <c r="J33" s="1267"/>
      <c r="K33" s="550"/>
      <c r="L33" s="662"/>
      <c r="M33" s="922"/>
      <c r="N33" s="662"/>
      <c r="O33" s="1310"/>
    </row>
    <row r="34" spans="2:15" ht="13" x14ac:dyDescent="0.3">
      <c r="B34" s="579">
        <f t="shared" si="1"/>
        <v>26</v>
      </c>
      <c r="C34" s="1079" t="s">
        <v>520</v>
      </c>
      <c r="D34" t="s">
        <v>1268</v>
      </c>
      <c r="E34" s="537">
        <v>41522.608327743699</v>
      </c>
      <c r="F34" s="741">
        <v>0</v>
      </c>
      <c r="G34" s="537">
        <v>891.99999999999989</v>
      </c>
      <c r="H34" s="1235">
        <f t="shared" si="2"/>
        <v>0.42884615384615377</v>
      </c>
      <c r="J34" s="1267"/>
      <c r="K34" s="550"/>
      <c r="L34" s="662"/>
      <c r="M34" s="922"/>
      <c r="N34" s="662"/>
      <c r="O34" s="1310"/>
    </row>
    <row r="35" spans="2:15" ht="13" x14ac:dyDescent="0.3">
      <c r="B35" s="579">
        <f t="shared" si="1"/>
        <v>27</v>
      </c>
      <c r="C35" s="1079" t="s">
        <v>520</v>
      </c>
      <c r="D35" t="s">
        <v>1268</v>
      </c>
      <c r="E35" s="537">
        <v>88309.567793851747</v>
      </c>
      <c r="F35" s="741">
        <v>658</v>
      </c>
      <c r="G35" s="537">
        <v>2147</v>
      </c>
      <c r="H35" s="1235">
        <f t="shared" si="2"/>
        <v>1.0322115384615385</v>
      </c>
      <c r="J35" s="1267"/>
      <c r="K35" s="550"/>
      <c r="L35" s="662"/>
      <c r="M35" s="922"/>
      <c r="N35" s="662"/>
      <c r="O35" s="1310"/>
    </row>
    <row r="36" spans="2:15" ht="13" x14ac:dyDescent="0.3">
      <c r="B36" s="579">
        <f t="shared" si="1"/>
        <v>28</v>
      </c>
      <c r="C36" s="1079" t="s">
        <v>520</v>
      </c>
      <c r="D36" t="s">
        <v>1268</v>
      </c>
      <c r="E36" s="537">
        <v>78664.889569215899</v>
      </c>
      <c r="F36" s="741">
        <v>947</v>
      </c>
      <c r="G36" s="537">
        <v>2084</v>
      </c>
      <c r="H36" s="1235">
        <f t="shared" si="2"/>
        <v>1.0019230769230769</v>
      </c>
      <c r="J36" s="1267"/>
      <c r="K36" s="550"/>
      <c r="L36" s="662"/>
      <c r="M36" s="922"/>
      <c r="N36" s="662"/>
      <c r="O36" s="1310"/>
    </row>
    <row r="37" spans="2:15" ht="13" x14ac:dyDescent="0.3">
      <c r="B37" s="579">
        <f t="shared" si="1"/>
        <v>29</v>
      </c>
      <c r="C37" s="1079" t="s">
        <v>520</v>
      </c>
      <c r="D37" t="s">
        <v>1268</v>
      </c>
      <c r="E37" s="537">
        <v>27466.763806500207</v>
      </c>
      <c r="F37" s="741">
        <v>713</v>
      </c>
      <c r="G37" s="537">
        <v>710</v>
      </c>
      <c r="H37" s="1235">
        <f t="shared" si="2"/>
        <v>0.34134615384615385</v>
      </c>
      <c r="J37" s="1267"/>
      <c r="K37" s="550"/>
      <c r="L37" s="662"/>
      <c r="M37" s="922"/>
      <c r="N37" s="662"/>
      <c r="O37" s="1310"/>
    </row>
    <row r="38" spans="2:15" ht="13" x14ac:dyDescent="0.3">
      <c r="B38" s="579">
        <f t="shared" si="1"/>
        <v>30</v>
      </c>
      <c r="C38" s="1079" t="s">
        <v>520</v>
      </c>
      <c r="D38" t="s">
        <v>1268</v>
      </c>
      <c r="E38" s="537">
        <v>89893.609942133335</v>
      </c>
      <c r="F38" s="741">
        <v>1534</v>
      </c>
      <c r="G38" s="537">
        <v>2088</v>
      </c>
      <c r="H38" s="1235">
        <f t="shared" si="2"/>
        <v>1.0038461538461538</v>
      </c>
      <c r="J38" s="1267"/>
      <c r="K38" s="550"/>
      <c r="L38" s="662"/>
      <c r="M38" s="922"/>
      <c r="N38" s="662"/>
      <c r="O38" s="1310"/>
    </row>
    <row r="39" spans="2:15" ht="13" x14ac:dyDescent="0.3">
      <c r="B39" s="579">
        <f t="shared" si="1"/>
        <v>31</v>
      </c>
      <c r="C39" s="1079" t="s">
        <v>520</v>
      </c>
      <c r="D39" t="s">
        <v>1268</v>
      </c>
      <c r="E39" s="537">
        <v>97054.532543119392</v>
      </c>
      <c r="F39" s="741">
        <v>1481</v>
      </c>
      <c r="G39" s="537">
        <v>2080</v>
      </c>
      <c r="H39" s="1235">
        <f t="shared" si="2"/>
        <v>1</v>
      </c>
      <c r="J39" s="1267"/>
      <c r="K39" s="550"/>
      <c r="L39" s="662"/>
      <c r="M39" s="922"/>
      <c r="N39" s="662"/>
      <c r="O39" s="1310"/>
    </row>
    <row r="40" spans="2:15" ht="13" x14ac:dyDescent="0.3">
      <c r="B40" s="579">
        <f t="shared" si="1"/>
        <v>32</v>
      </c>
      <c r="C40" s="1079" t="s">
        <v>520</v>
      </c>
      <c r="D40" t="s">
        <v>1268</v>
      </c>
      <c r="E40" s="537">
        <v>81252.335292168442</v>
      </c>
      <c r="F40" s="741">
        <v>897</v>
      </c>
      <c r="G40" s="537">
        <v>1801.9999999999993</v>
      </c>
      <c r="H40" s="1235">
        <f t="shared" si="2"/>
        <v>0.86634615384615354</v>
      </c>
      <c r="J40" s="1267"/>
      <c r="K40" s="550"/>
      <c r="L40" s="662"/>
      <c r="M40" s="922"/>
      <c r="N40" s="662"/>
      <c r="O40" s="1310"/>
    </row>
    <row r="41" spans="2:15" ht="13" x14ac:dyDescent="0.3">
      <c r="B41" s="579">
        <f t="shared" si="1"/>
        <v>33</v>
      </c>
      <c r="C41" s="1079" t="s">
        <v>520</v>
      </c>
      <c r="D41" t="s">
        <v>1268</v>
      </c>
      <c r="E41" s="537">
        <v>80205.331110013227</v>
      </c>
      <c r="F41" s="741">
        <v>725</v>
      </c>
      <c r="G41" s="537">
        <v>2064</v>
      </c>
      <c r="H41" s="1235">
        <f t="shared" si="2"/>
        <v>0.99230769230769234</v>
      </c>
      <c r="J41" s="1267"/>
      <c r="K41" s="550"/>
      <c r="L41" s="662"/>
      <c r="M41" s="922"/>
      <c r="N41" s="662"/>
      <c r="O41" s="1310"/>
    </row>
    <row r="42" spans="2:15" ht="13" x14ac:dyDescent="0.3">
      <c r="B42" s="579">
        <f t="shared" si="1"/>
        <v>34</v>
      </c>
      <c r="C42" s="1079" t="s">
        <v>520</v>
      </c>
      <c r="D42" t="s">
        <v>1268</v>
      </c>
      <c r="E42" s="537">
        <v>101789.10082446432</v>
      </c>
      <c r="F42" s="741">
        <v>1176</v>
      </c>
      <c r="G42" s="537">
        <v>2020</v>
      </c>
      <c r="H42" s="1235">
        <f t="shared" si="2"/>
        <v>0.97115384615384615</v>
      </c>
      <c r="J42" s="1267"/>
      <c r="K42" s="550"/>
      <c r="L42" s="662"/>
      <c r="M42" s="922"/>
      <c r="N42" s="662"/>
      <c r="O42" s="1310"/>
    </row>
    <row r="43" spans="2:15" ht="13" x14ac:dyDescent="0.3">
      <c r="B43" s="579">
        <f t="shared" si="1"/>
        <v>35</v>
      </c>
      <c r="C43" s="1079" t="s">
        <v>520</v>
      </c>
      <c r="D43" t="s">
        <v>1268</v>
      </c>
      <c r="E43" s="537">
        <v>85610.097590060424</v>
      </c>
      <c r="F43" s="741">
        <v>810</v>
      </c>
      <c r="G43" s="537">
        <v>2072</v>
      </c>
      <c r="H43" s="1235">
        <f t="shared" si="2"/>
        <v>0.99615384615384617</v>
      </c>
      <c r="J43" s="1267"/>
      <c r="K43" s="550"/>
      <c r="L43" s="662"/>
      <c r="M43" s="922"/>
      <c r="N43" s="662"/>
      <c r="O43" s="1310"/>
    </row>
    <row r="44" spans="2:15" ht="13" x14ac:dyDescent="0.3">
      <c r="B44" s="579">
        <f t="shared" si="1"/>
        <v>36</v>
      </c>
      <c r="C44" s="1079" t="s">
        <v>520</v>
      </c>
      <c r="D44" t="s">
        <v>1268</v>
      </c>
      <c r="E44" s="537">
        <v>87573.39407128701</v>
      </c>
      <c r="F44" s="741">
        <v>865</v>
      </c>
      <c r="G44" s="537">
        <v>1959.0000000000005</v>
      </c>
      <c r="H44" s="1235">
        <f t="shared" si="2"/>
        <v>0.94182692307692328</v>
      </c>
      <c r="J44" s="1267"/>
      <c r="K44" s="550"/>
      <c r="L44" s="662"/>
      <c r="M44" s="922"/>
      <c r="N44" s="662"/>
      <c r="O44" s="1310"/>
    </row>
    <row r="45" spans="2:15" ht="13" x14ac:dyDescent="0.3">
      <c r="B45" s="579">
        <f t="shared" si="1"/>
        <v>37</v>
      </c>
      <c r="C45" s="1079" t="s">
        <v>520</v>
      </c>
      <c r="D45" t="s">
        <v>1269</v>
      </c>
      <c r="E45" s="537">
        <v>38220.144620490115</v>
      </c>
      <c r="F45" s="741">
        <v>0</v>
      </c>
      <c r="G45" s="537">
        <v>782.00000000000011</v>
      </c>
      <c r="H45" s="1235">
        <f t="shared" si="2"/>
        <v>0.37596153846153851</v>
      </c>
      <c r="J45" s="1267"/>
      <c r="K45" s="550"/>
      <c r="L45" s="662"/>
      <c r="M45" s="922"/>
      <c r="N45" s="662"/>
      <c r="O45" s="1310"/>
    </row>
    <row r="46" spans="2:15" ht="13" x14ac:dyDescent="0.3">
      <c r="B46" s="579">
        <f t="shared" si="1"/>
        <v>38</v>
      </c>
      <c r="C46" s="1079" t="s">
        <v>520</v>
      </c>
      <c r="D46" t="s">
        <v>1269</v>
      </c>
      <c r="E46" s="537">
        <v>74546.915622592991</v>
      </c>
      <c r="F46" s="741">
        <v>725</v>
      </c>
      <c r="G46" s="537">
        <v>1439.5</v>
      </c>
      <c r="H46" s="1235">
        <f t="shared" si="2"/>
        <v>0.69206730769230773</v>
      </c>
      <c r="J46" s="1267"/>
      <c r="K46" s="550"/>
      <c r="L46" s="662"/>
      <c r="M46" s="922"/>
      <c r="N46" s="662"/>
      <c r="O46" s="1310"/>
    </row>
    <row r="47" spans="2:15" ht="13" x14ac:dyDescent="0.3">
      <c r="B47" s="579">
        <f t="shared" si="1"/>
        <v>39</v>
      </c>
      <c r="C47" s="1079" t="s">
        <v>520</v>
      </c>
      <c r="D47" t="s">
        <v>1269</v>
      </c>
      <c r="E47" s="537">
        <v>38660.247933259074</v>
      </c>
      <c r="F47" s="741">
        <v>0</v>
      </c>
      <c r="G47" s="537">
        <v>691.8</v>
      </c>
      <c r="H47" s="1235">
        <f t="shared" si="2"/>
        <v>0.33259615384615382</v>
      </c>
      <c r="J47" s="1267"/>
      <c r="K47" s="550"/>
      <c r="L47" s="662"/>
      <c r="M47" s="922"/>
      <c r="N47" s="662"/>
      <c r="O47" s="1310"/>
    </row>
    <row r="48" spans="2:15" ht="13" x14ac:dyDescent="0.3">
      <c r="B48" s="579">
        <f t="shared" si="1"/>
        <v>40</v>
      </c>
      <c r="C48" s="1079" t="s">
        <v>520</v>
      </c>
      <c r="D48" t="s">
        <v>1269</v>
      </c>
      <c r="E48" s="537">
        <v>118752.13551905438</v>
      </c>
      <c r="F48" s="1242">
        <v>0</v>
      </c>
      <c r="G48" s="537">
        <v>2138</v>
      </c>
      <c r="H48" s="1235">
        <f t="shared" si="2"/>
        <v>1.0278846153846153</v>
      </c>
      <c r="J48" s="1267"/>
      <c r="K48" s="550"/>
      <c r="L48" s="662"/>
      <c r="M48" s="922"/>
      <c r="N48" s="662"/>
      <c r="O48" s="1310"/>
    </row>
    <row r="49" spans="2:15" ht="13" x14ac:dyDescent="0.3">
      <c r="B49" s="579">
        <f t="shared" si="1"/>
        <v>41</v>
      </c>
      <c r="C49" s="1079" t="s">
        <v>520</v>
      </c>
      <c r="D49" t="s">
        <v>1269</v>
      </c>
      <c r="E49" s="537">
        <v>59395.69952514788</v>
      </c>
      <c r="F49" s="741">
        <v>0</v>
      </c>
      <c r="G49" s="537">
        <v>1279.9999999999998</v>
      </c>
      <c r="H49" s="1235">
        <f t="shared" si="2"/>
        <v>0.61538461538461531</v>
      </c>
      <c r="J49" s="1267"/>
      <c r="K49" s="550"/>
      <c r="L49" s="662"/>
      <c r="M49" s="922"/>
      <c r="N49" s="662"/>
      <c r="O49" s="1310"/>
    </row>
    <row r="50" spans="2:15" ht="13" x14ac:dyDescent="0.3">
      <c r="B50" s="579"/>
      <c r="C50" s="1080"/>
      <c r="D50" s="1079"/>
      <c r="E50" s="537"/>
      <c r="F50" s="537"/>
      <c r="G50" s="537"/>
      <c r="H50" s="1051"/>
    </row>
    <row r="51" spans="2:15" ht="13" x14ac:dyDescent="0.3">
      <c r="B51" s="579"/>
      <c r="C51" s="1080"/>
      <c r="D51" s="1079"/>
      <c r="E51" s="537"/>
      <c r="F51" s="537"/>
      <c r="G51" s="537"/>
      <c r="H51" s="1051"/>
    </row>
    <row r="52" spans="2:15" ht="13" x14ac:dyDescent="0.3">
      <c r="B52" s="579"/>
      <c r="C52" s="1080"/>
      <c r="D52" s="1079"/>
      <c r="E52" s="537"/>
      <c r="F52" s="537"/>
      <c r="G52" s="537"/>
      <c r="H52" s="1051"/>
    </row>
    <row r="53" spans="2:15" ht="13" x14ac:dyDescent="0.3">
      <c r="B53" s="579"/>
      <c r="C53" s="1102">
        <v>10</v>
      </c>
      <c r="D53" s="1079" t="s">
        <v>1053</v>
      </c>
      <c r="E53" s="537"/>
      <c r="F53" s="537">
        <f>1944+159-1</f>
        <v>2102</v>
      </c>
      <c r="G53" s="537">
        <f>+F53*0.68</f>
        <v>1429.3600000000001</v>
      </c>
      <c r="H53" s="1235">
        <f>+G53/2080</f>
        <v>0.68719230769230777</v>
      </c>
    </row>
    <row r="54" spans="2:15" ht="13" x14ac:dyDescent="0.3">
      <c r="B54" s="579"/>
      <c r="C54" s="1080"/>
      <c r="D54" s="1079"/>
      <c r="E54" s="537"/>
      <c r="F54" s="537"/>
      <c r="G54" s="537"/>
      <c r="H54" s="1051"/>
    </row>
    <row r="55" spans="2:15" ht="13" x14ac:dyDescent="0.3">
      <c r="B55" s="579"/>
      <c r="C55" s="535"/>
      <c r="D55" s="1079"/>
      <c r="E55" s="537"/>
      <c r="F55" s="537"/>
      <c r="G55" s="537"/>
      <c r="H55" s="1051"/>
    </row>
    <row r="56" spans="2:15" ht="13" x14ac:dyDescent="0.3">
      <c r="B56" s="579"/>
      <c r="C56" s="535"/>
      <c r="D56" s="1079"/>
      <c r="E56" s="537"/>
      <c r="F56" s="537"/>
      <c r="G56" s="537"/>
      <c r="H56" s="1051"/>
    </row>
    <row r="57" spans="2:15" ht="13" x14ac:dyDescent="0.3">
      <c r="C57" s="1102"/>
      <c r="D57" s="1079" t="s">
        <v>1270</v>
      </c>
      <c r="E57" s="537"/>
      <c r="F57" s="609"/>
      <c r="G57" s="537"/>
      <c r="H57" s="550"/>
    </row>
    <row r="58" spans="2:15" x14ac:dyDescent="0.25">
      <c r="G58" s="537"/>
      <c r="H58" s="550"/>
    </row>
    <row r="59" spans="2:15" ht="13" x14ac:dyDescent="0.3">
      <c r="B59" s="746">
        <f>+B49+C53</f>
        <v>51</v>
      </c>
      <c r="C59" s="1080" t="s">
        <v>520</v>
      </c>
      <c r="D59" s="1079" t="s">
        <v>1054</v>
      </c>
      <c r="E59" s="609">
        <f>SUM(E9:E58)</f>
        <v>3040378.8911833675</v>
      </c>
      <c r="F59" s="609">
        <f>SUM(F9:F57)</f>
        <v>27658</v>
      </c>
      <c r="G59" s="609">
        <f>SUM(G9:G58)</f>
        <v>67113.11</v>
      </c>
      <c r="H59" s="1081">
        <f>+G59/2080</f>
        <v>32.265918269230767</v>
      </c>
    </row>
    <row r="60" spans="2:15" ht="13" x14ac:dyDescent="0.3">
      <c r="C60" s="535"/>
      <c r="D60" s="1079"/>
      <c r="E60" s="537"/>
      <c r="F60" s="537"/>
      <c r="G60" s="537"/>
      <c r="H60" s="550"/>
    </row>
    <row r="61" spans="2:15" ht="13" x14ac:dyDescent="0.3">
      <c r="C61" s="535"/>
      <c r="D61" s="1079"/>
      <c r="E61" s="537"/>
      <c r="F61" s="537"/>
      <c r="G61" s="537"/>
      <c r="H61" s="550"/>
    </row>
    <row r="62" spans="2:15" ht="13" x14ac:dyDescent="0.3">
      <c r="C62" s="535"/>
      <c r="D62" s="1079"/>
      <c r="E62" s="537"/>
      <c r="F62" s="537"/>
      <c r="G62" s="537"/>
      <c r="H62" s="550"/>
    </row>
    <row r="63" spans="2:15" ht="12" customHeight="1" x14ac:dyDescent="0.3">
      <c r="C63" s="535"/>
      <c r="D63" s="1079"/>
      <c r="E63" s="537"/>
      <c r="F63" s="537"/>
      <c r="G63" s="537"/>
      <c r="H63" s="550"/>
    </row>
    <row r="64" spans="2:15" ht="16" thickBot="1" x14ac:dyDescent="0.4">
      <c r="C64" s="606" t="s">
        <v>1055</v>
      </c>
      <c r="D64" s="1079"/>
      <c r="E64" s="537"/>
      <c r="F64" s="537"/>
      <c r="G64" s="537"/>
      <c r="H64" s="550"/>
    </row>
    <row r="65" spans="2:15" ht="27" thickBot="1" x14ac:dyDescent="0.4">
      <c r="B65" s="1104" t="s">
        <v>1095</v>
      </c>
      <c r="C65" s="1078" t="s">
        <v>1026</v>
      </c>
      <c r="D65" s="1045" t="s">
        <v>1027</v>
      </c>
      <c r="E65" s="1046" t="s">
        <v>1028</v>
      </c>
      <c r="F65" s="1045" t="s">
        <v>1029</v>
      </c>
      <c r="G65" s="1047" t="s">
        <v>1030</v>
      </c>
      <c r="H65" s="1048" t="s">
        <v>203</v>
      </c>
      <c r="J65" s="1270"/>
      <c r="K65" s="1303"/>
      <c r="L65" s="1304"/>
      <c r="M65" s="1303"/>
      <c r="N65" s="1304"/>
      <c r="O65" s="794"/>
    </row>
    <row r="66" spans="2:15" ht="13" x14ac:dyDescent="0.3">
      <c r="B66" s="579">
        <v>1</v>
      </c>
      <c r="C66" s="1079" t="s">
        <v>521</v>
      </c>
      <c r="D66" t="s">
        <v>1271</v>
      </c>
      <c r="E66" s="537">
        <v>24233.673332608152</v>
      </c>
      <c r="F66" s="741">
        <v>65</v>
      </c>
      <c r="G66" s="741">
        <v>480</v>
      </c>
      <c r="H66" s="1235">
        <f t="shared" ref="H66:H97" si="3">+G66/2080</f>
        <v>0.23076923076923078</v>
      </c>
      <c r="J66" s="552"/>
      <c r="K66" s="550"/>
      <c r="L66" s="662"/>
      <c r="M66" s="922"/>
      <c r="N66" s="922"/>
      <c r="O66" s="1310"/>
    </row>
    <row r="67" spans="2:15" ht="13" x14ac:dyDescent="0.3">
      <c r="B67" s="579">
        <f>+B66+1</f>
        <v>2</v>
      </c>
      <c r="C67" s="1079" t="s">
        <v>521</v>
      </c>
      <c r="D67" t="s">
        <v>1271</v>
      </c>
      <c r="E67" s="537">
        <v>82018.288939166712</v>
      </c>
      <c r="F67" s="741">
        <v>939</v>
      </c>
      <c r="G67" s="741">
        <v>2080</v>
      </c>
      <c r="H67" s="1235">
        <f t="shared" si="3"/>
        <v>1</v>
      </c>
      <c r="J67" s="552"/>
      <c r="K67" s="550"/>
      <c r="L67" s="662"/>
      <c r="M67" s="922"/>
      <c r="N67" s="922"/>
      <c r="O67" s="1310"/>
    </row>
    <row r="68" spans="2:15" ht="13" x14ac:dyDescent="0.3">
      <c r="B68" s="579">
        <f t="shared" ref="B68:B131" si="4">+B67+1</f>
        <v>3</v>
      </c>
      <c r="C68" s="1079" t="s">
        <v>521</v>
      </c>
      <c r="D68" t="s">
        <v>1271</v>
      </c>
      <c r="E68" s="537">
        <v>84618.436099687955</v>
      </c>
      <c r="F68" s="741">
        <v>1301</v>
      </c>
      <c r="G68" s="741">
        <v>2064</v>
      </c>
      <c r="H68" s="1235">
        <f t="shared" si="3"/>
        <v>0.99230769230769234</v>
      </c>
      <c r="J68" s="552"/>
      <c r="K68" s="550"/>
      <c r="L68" s="662"/>
      <c r="M68" s="922"/>
      <c r="N68" s="922"/>
      <c r="O68" s="1310"/>
    </row>
    <row r="69" spans="2:15" ht="13" x14ac:dyDescent="0.3">
      <c r="B69" s="579">
        <f t="shared" si="4"/>
        <v>4</v>
      </c>
      <c r="C69" s="1079" t="s">
        <v>521</v>
      </c>
      <c r="D69" t="s">
        <v>1271</v>
      </c>
      <c r="E69" s="537">
        <v>50569.44957274534</v>
      </c>
      <c r="F69" s="741">
        <v>661</v>
      </c>
      <c r="G69" s="741">
        <v>768</v>
      </c>
      <c r="H69" s="1235">
        <f t="shared" si="3"/>
        <v>0.36923076923076925</v>
      </c>
      <c r="J69" s="552"/>
      <c r="K69" s="550"/>
      <c r="L69" s="662"/>
      <c r="M69" s="922"/>
      <c r="N69" s="922"/>
      <c r="O69" s="1310"/>
    </row>
    <row r="70" spans="2:15" ht="13" x14ac:dyDescent="0.3">
      <c r="B70" s="579">
        <f t="shared" si="4"/>
        <v>5</v>
      </c>
      <c r="C70" s="1079" t="s">
        <v>521</v>
      </c>
      <c r="D70" t="s">
        <v>1271</v>
      </c>
      <c r="E70" s="537">
        <v>96300.920576213524</v>
      </c>
      <c r="F70" s="741">
        <v>1249</v>
      </c>
      <c r="G70" s="741">
        <v>1904</v>
      </c>
      <c r="H70" s="1235">
        <f t="shared" si="3"/>
        <v>0.91538461538461535</v>
      </c>
      <c r="J70" s="552"/>
      <c r="K70" s="550"/>
      <c r="L70" s="662"/>
      <c r="M70" s="922"/>
      <c r="N70" s="922"/>
      <c r="O70" s="1310"/>
    </row>
    <row r="71" spans="2:15" ht="13" x14ac:dyDescent="0.3">
      <c r="B71" s="579">
        <f t="shared" si="4"/>
        <v>6</v>
      </c>
      <c r="C71" s="1079" t="s">
        <v>521</v>
      </c>
      <c r="D71" t="s">
        <v>1271</v>
      </c>
      <c r="E71" s="537">
        <v>8749.0819737195034</v>
      </c>
      <c r="F71" s="741">
        <v>243</v>
      </c>
      <c r="G71" s="741">
        <v>208</v>
      </c>
      <c r="H71" s="1235">
        <f t="shared" si="3"/>
        <v>0.1</v>
      </c>
      <c r="J71" s="552"/>
      <c r="K71" s="550"/>
      <c r="L71" s="662"/>
      <c r="M71" s="922"/>
      <c r="N71" s="922"/>
      <c r="O71" s="1310"/>
    </row>
    <row r="72" spans="2:15" ht="13" x14ac:dyDescent="0.3">
      <c r="B72" s="579">
        <f t="shared" si="4"/>
        <v>7</v>
      </c>
      <c r="C72" s="1079" t="s">
        <v>521</v>
      </c>
      <c r="D72" t="s">
        <v>1271</v>
      </c>
      <c r="E72" s="537">
        <v>83002.605381063084</v>
      </c>
      <c r="F72" s="741">
        <v>1373</v>
      </c>
      <c r="G72" s="741">
        <v>2128</v>
      </c>
      <c r="H72" s="1235">
        <f t="shared" si="3"/>
        <v>1.023076923076923</v>
      </c>
      <c r="J72" s="552"/>
      <c r="K72" s="550"/>
      <c r="L72" s="662"/>
      <c r="M72" s="922"/>
      <c r="N72" s="922"/>
      <c r="O72" s="1310"/>
    </row>
    <row r="73" spans="2:15" ht="13" x14ac:dyDescent="0.3">
      <c r="B73" s="579">
        <f t="shared" si="4"/>
        <v>8</v>
      </c>
      <c r="C73" s="1079" t="s">
        <v>521</v>
      </c>
      <c r="D73" t="s">
        <v>1271</v>
      </c>
      <c r="E73" s="537">
        <v>74651.235297479376</v>
      </c>
      <c r="F73" s="741">
        <v>843</v>
      </c>
      <c r="G73" s="741">
        <v>1867.5</v>
      </c>
      <c r="H73" s="1235">
        <f t="shared" si="3"/>
        <v>0.89783653846153844</v>
      </c>
      <c r="J73" s="552"/>
      <c r="K73" s="550"/>
      <c r="L73" s="662"/>
      <c r="M73" s="922"/>
      <c r="N73" s="922"/>
      <c r="O73" s="1310"/>
    </row>
    <row r="74" spans="2:15" ht="13" x14ac:dyDescent="0.3">
      <c r="B74" s="579">
        <f t="shared" si="4"/>
        <v>9</v>
      </c>
      <c r="C74" s="1079" t="s">
        <v>521</v>
      </c>
      <c r="D74" t="s">
        <v>1271</v>
      </c>
      <c r="E74" s="537">
        <v>3435.4640476178629</v>
      </c>
      <c r="F74" s="741">
        <v>0</v>
      </c>
      <c r="G74" s="741">
        <v>85.13</v>
      </c>
      <c r="H74" s="1235">
        <f t="shared" si="3"/>
        <v>4.0927884615384616E-2</v>
      </c>
      <c r="J74" s="552"/>
      <c r="K74" s="550"/>
      <c r="L74" s="662"/>
      <c r="M74" s="922"/>
      <c r="N74" s="922"/>
      <c r="O74" s="1310"/>
    </row>
    <row r="75" spans="2:15" ht="13" x14ac:dyDescent="0.3">
      <c r="B75" s="579">
        <f t="shared" si="4"/>
        <v>10</v>
      </c>
      <c r="C75" s="1079" t="s">
        <v>521</v>
      </c>
      <c r="D75" t="s">
        <v>1271</v>
      </c>
      <c r="E75" s="537">
        <v>79052.738108540987</v>
      </c>
      <c r="F75" s="741">
        <v>1298</v>
      </c>
      <c r="G75" s="741">
        <v>2071</v>
      </c>
      <c r="H75" s="1235">
        <f t="shared" si="3"/>
        <v>0.99567307692307694</v>
      </c>
      <c r="J75" s="552"/>
      <c r="K75" s="550"/>
      <c r="L75" s="662"/>
      <c r="M75" s="922"/>
      <c r="N75" s="922"/>
      <c r="O75" s="1310"/>
    </row>
    <row r="76" spans="2:15" ht="13" x14ac:dyDescent="0.3">
      <c r="B76" s="579">
        <f t="shared" si="4"/>
        <v>11</v>
      </c>
      <c r="C76" s="1079" t="s">
        <v>521</v>
      </c>
      <c r="D76" t="s">
        <v>1271</v>
      </c>
      <c r="E76" s="537">
        <v>81638.964653379109</v>
      </c>
      <c r="F76" s="741">
        <v>983</v>
      </c>
      <c r="G76" s="741">
        <v>1649</v>
      </c>
      <c r="H76" s="1235">
        <f t="shared" si="3"/>
        <v>0.7927884615384615</v>
      </c>
      <c r="J76" s="552"/>
      <c r="K76" s="550"/>
      <c r="L76" s="662"/>
      <c r="M76" s="922"/>
      <c r="N76" s="922"/>
      <c r="O76" s="1310"/>
    </row>
    <row r="77" spans="2:15" ht="13" x14ac:dyDescent="0.3">
      <c r="B77" s="579">
        <f t="shared" si="4"/>
        <v>12</v>
      </c>
      <c r="C77" s="1079" t="s">
        <v>521</v>
      </c>
      <c r="D77" t="s">
        <v>1271</v>
      </c>
      <c r="E77" s="537">
        <v>20447.835482787908</v>
      </c>
      <c r="F77" s="741">
        <v>264</v>
      </c>
      <c r="G77" s="741">
        <v>560</v>
      </c>
      <c r="H77" s="1235">
        <f t="shared" si="3"/>
        <v>0.26923076923076922</v>
      </c>
      <c r="J77" s="552"/>
      <c r="K77" s="550"/>
      <c r="L77" s="662"/>
      <c r="M77" s="922"/>
      <c r="N77" s="922"/>
      <c r="O77" s="1310"/>
    </row>
    <row r="78" spans="2:15" ht="13" x14ac:dyDescent="0.3">
      <c r="B78" s="579">
        <f t="shared" si="4"/>
        <v>13</v>
      </c>
      <c r="C78" s="1079" t="s">
        <v>521</v>
      </c>
      <c r="D78" t="s">
        <v>1271</v>
      </c>
      <c r="E78" s="537">
        <v>77631.306339582166</v>
      </c>
      <c r="F78" s="741">
        <v>1361</v>
      </c>
      <c r="G78" s="741">
        <v>2085</v>
      </c>
      <c r="H78" s="1235">
        <f t="shared" si="3"/>
        <v>1.0024038461538463</v>
      </c>
      <c r="J78" s="552"/>
      <c r="K78" s="550"/>
      <c r="L78" s="662"/>
      <c r="M78" s="922"/>
      <c r="N78" s="922"/>
      <c r="O78" s="1310"/>
    </row>
    <row r="79" spans="2:15" ht="13" x14ac:dyDescent="0.3">
      <c r="B79" s="579">
        <f t="shared" si="4"/>
        <v>14</v>
      </c>
      <c r="C79" s="1079" t="s">
        <v>521</v>
      </c>
      <c r="D79" t="s">
        <v>1271</v>
      </c>
      <c r="E79" s="537">
        <v>82846.29075757692</v>
      </c>
      <c r="F79" s="741">
        <v>0</v>
      </c>
      <c r="G79" s="741">
        <v>2080</v>
      </c>
      <c r="H79" s="1235">
        <f t="shared" si="3"/>
        <v>1</v>
      </c>
      <c r="J79" s="552"/>
      <c r="K79" s="550"/>
      <c r="L79" s="662"/>
      <c r="M79" s="922"/>
      <c r="N79" s="922"/>
      <c r="O79" s="1310"/>
    </row>
    <row r="80" spans="2:15" ht="13" x14ac:dyDescent="0.3">
      <c r="B80" s="579">
        <f t="shared" si="4"/>
        <v>15</v>
      </c>
      <c r="C80" s="1079" t="s">
        <v>521</v>
      </c>
      <c r="D80" t="s">
        <v>1271</v>
      </c>
      <c r="E80" s="537">
        <v>34404.666751921621</v>
      </c>
      <c r="F80" s="741">
        <v>1216</v>
      </c>
      <c r="G80" s="741">
        <v>896</v>
      </c>
      <c r="H80" s="1235">
        <f t="shared" si="3"/>
        <v>0.43076923076923079</v>
      </c>
      <c r="J80" s="552"/>
      <c r="K80" s="550"/>
      <c r="L80" s="662"/>
      <c r="M80" s="922"/>
      <c r="N80" s="922"/>
      <c r="O80" s="1310"/>
    </row>
    <row r="81" spans="2:15" ht="13" x14ac:dyDescent="0.3">
      <c r="B81" s="579">
        <f t="shared" si="4"/>
        <v>16</v>
      </c>
      <c r="C81" s="1079" t="s">
        <v>521</v>
      </c>
      <c r="D81" t="s">
        <v>1271</v>
      </c>
      <c r="E81" s="537">
        <v>68541.963746051828</v>
      </c>
      <c r="F81" s="741">
        <v>996</v>
      </c>
      <c r="G81" s="741">
        <v>1679.9999999999998</v>
      </c>
      <c r="H81" s="1235">
        <f t="shared" si="3"/>
        <v>0.8076923076923076</v>
      </c>
      <c r="J81" s="552"/>
      <c r="K81" s="550"/>
      <c r="L81" s="662"/>
      <c r="M81" s="922"/>
      <c r="N81" s="922"/>
      <c r="O81" s="1310"/>
    </row>
    <row r="82" spans="2:15" ht="13" x14ac:dyDescent="0.3">
      <c r="B82" s="579">
        <f t="shared" si="4"/>
        <v>17</v>
      </c>
      <c r="C82" s="1079" t="s">
        <v>521</v>
      </c>
      <c r="D82" t="s">
        <v>1271</v>
      </c>
      <c r="E82" s="537">
        <v>80966.7877885567</v>
      </c>
      <c r="F82" s="741">
        <v>106</v>
      </c>
      <c r="G82" s="741">
        <v>2080</v>
      </c>
      <c r="H82" s="1235">
        <f t="shared" si="3"/>
        <v>1</v>
      </c>
      <c r="J82" s="552"/>
      <c r="K82" s="550"/>
      <c r="L82" s="662"/>
      <c r="M82" s="922"/>
      <c r="N82" s="922"/>
      <c r="O82" s="1310"/>
    </row>
    <row r="83" spans="2:15" ht="13" x14ac:dyDescent="0.3">
      <c r="B83" s="579">
        <f t="shared" si="4"/>
        <v>18</v>
      </c>
      <c r="C83" s="1079" t="s">
        <v>521</v>
      </c>
      <c r="D83" t="s">
        <v>1271</v>
      </c>
      <c r="E83" s="537">
        <v>18734.010824902969</v>
      </c>
      <c r="F83" s="741">
        <v>1472</v>
      </c>
      <c r="G83" s="741">
        <v>472</v>
      </c>
      <c r="H83" s="1235">
        <f t="shared" si="3"/>
        <v>0.22692307692307692</v>
      </c>
      <c r="J83" s="552"/>
      <c r="K83" s="550"/>
      <c r="L83" s="662"/>
      <c r="M83" s="922"/>
      <c r="N83" s="922"/>
      <c r="O83" s="1310"/>
    </row>
    <row r="84" spans="2:15" ht="13" x14ac:dyDescent="0.3">
      <c r="B84" s="579">
        <f t="shared" si="4"/>
        <v>19</v>
      </c>
      <c r="C84" s="1079" t="s">
        <v>521</v>
      </c>
      <c r="D84" t="s">
        <v>1271</v>
      </c>
      <c r="E84" s="537">
        <v>79283.622462269792</v>
      </c>
      <c r="F84" s="741">
        <v>842</v>
      </c>
      <c r="G84" s="741">
        <v>2118</v>
      </c>
      <c r="H84" s="1235">
        <f t="shared" si="3"/>
        <v>1.0182692307692307</v>
      </c>
      <c r="J84" s="552"/>
      <c r="K84" s="550"/>
      <c r="L84" s="662"/>
      <c r="M84" s="922"/>
      <c r="N84" s="922"/>
      <c r="O84" s="1310"/>
    </row>
    <row r="85" spans="2:15" ht="13" x14ac:dyDescent="0.3">
      <c r="B85" s="579">
        <f t="shared" si="4"/>
        <v>20</v>
      </c>
      <c r="C85" s="1079" t="s">
        <v>521</v>
      </c>
      <c r="D85" t="s">
        <v>1271</v>
      </c>
      <c r="E85" s="537">
        <v>44666.738772338096</v>
      </c>
      <c r="F85" s="741">
        <v>324</v>
      </c>
      <c r="G85" s="741">
        <v>1012.63</v>
      </c>
      <c r="H85" s="1235">
        <f t="shared" si="3"/>
        <v>0.48684134615384617</v>
      </c>
      <c r="J85" s="552"/>
      <c r="K85" s="550"/>
      <c r="L85" s="662"/>
      <c r="M85" s="922"/>
      <c r="N85" s="922"/>
      <c r="O85" s="1310"/>
    </row>
    <row r="86" spans="2:15" ht="13" x14ac:dyDescent="0.3">
      <c r="B86" s="579">
        <f t="shared" si="4"/>
        <v>21</v>
      </c>
      <c r="C86" s="1079" t="s">
        <v>521</v>
      </c>
      <c r="D86" t="s">
        <v>1271</v>
      </c>
      <c r="E86" s="537">
        <v>89361.898385310051</v>
      </c>
      <c r="F86" s="741">
        <v>1576</v>
      </c>
      <c r="G86" s="741">
        <v>2128</v>
      </c>
      <c r="H86" s="1235">
        <f t="shared" si="3"/>
        <v>1.023076923076923</v>
      </c>
      <c r="J86" s="552"/>
      <c r="K86" s="550"/>
      <c r="L86" s="662"/>
      <c r="M86" s="922"/>
      <c r="N86" s="922"/>
      <c r="O86" s="1310"/>
    </row>
    <row r="87" spans="2:15" ht="13" x14ac:dyDescent="0.3">
      <c r="B87" s="579">
        <f t="shared" si="4"/>
        <v>22</v>
      </c>
      <c r="C87" s="1079" t="s">
        <v>521</v>
      </c>
      <c r="D87" t="s">
        <v>1271</v>
      </c>
      <c r="E87" s="537">
        <v>84943.107228855806</v>
      </c>
      <c r="F87" s="741">
        <v>1411</v>
      </c>
      <c r="G87" s="741">
        <v>2094.5</v>
      </c>
      <c r="H87" s="1235">
        <f t="shared" si="3"/>
        <v>1.0069711538461539</v>
      </c>
      <c r="J87" s="552"/>
      <c r="K87" s="550"/>
      <c r="L87" s="662"/>
      <c r="M87" s="922"/>
      <c r="N87" s="922"/>
      <c r="O87" s="1310"/>
    </row>
    <row r="88" spans="2:15" ht="13" x14ac:dyDescent="0.3">
      <c r="B88" s="579">
        <f t="shared" si="4"/>
        <v>23</v>
      </c>
      <c r="C88" s="1079" t="s">
        <v>521</v>
      </c>
      <c r="D88" t="s">
        <v>1271</v>
      </c>
      <c r="E88" s="537">
        <v>82841.41404511928</v>
      </c>
      <c r="F88" s="741">
        <v>808</v>
      </c>
      <c r="G88" s="741">
        <v>2067.75</v>
      </c>
      <c r="H88" s="1235">
        <f t="shared" si="3"/>
        <v>0.99411057692307692</v>
      </c>
      <c r="J88" s="552"/>
      <c r="K88" s="550"/>
      <c r="L88" s="662"/>
      <c r="M88" s="922"/>
      <c r="N88" s="922"/>
      <c r="O88" s="1310"/>
    </row>
    <row r="89" spans="2:15" ht="13" x14ac:dyDescent="0.3">
      <c r="B89" s="579">
        <f t="shared" si="4"/>
        <v>24</v>
      </c>
      <c r="C89" s="1079" t="s">
        <v>521</v>
      </c>
      <c r="D89" t="s">
        <v>1271</v>
      </c>
      <c r="E89" s="537">
        <v>80959.262861342431</v>
      </c>
      <c r="F89" s="741">
        <v>828</v>
      </c>
      <c r="G89" s="741">
        <v>2092</v>
      </c>
      <c r="H89" s="1235">
        <f t="shared" si="3"/>
        <v>1.0057692307692307</v>
      </c>
      <c r="J89" s="552"/>
      <c r="K89" s="550"/>
      <c r="L89" s="662"/>
      <c r="M89" s="922"/>
      <c r="N89" s="922"/>
      <c r="O89" s="1310"/>
    </row>
    <row r="90" spans="2:15" ht="13" x14ac:dyDescent="0.3">
      <c r="B90" s="579">
        <f t="shared" si="4"/>
        <v>25</v>
      </c>
      <c r="C90" s="1079" t="s">
        <v>521</v>
      </c>
      <c r="D90" t="s">
        <v>1271</v>
      </c>
      <c r="E90" s="537">
        <v>13922.38449077053</v>
      </c>
      <c r="F90" s="741">
        <v>1440</v>
      </c>
      <c r="G90" s="741">
        <v>320</v>
      </c>
      <c r="H90" s="1235">
        <f t="shared" si="3"/>
        <v>0.15384615384615385</v>
      </c>
      <c r="J90" s="552"/>
      <c r="K90" s="550"/>
      <c r="L90" s="662"/>
      <c r="M90" s="922"/>
      <c r="N90" s="922"/>
      <c r="O90" s="1310"/>
    </row>
    <row r="91" spans="2:15" ht="13" x14ac:dyDescent="0.3">
      <c r="B91" s="579">
        <f t="shared" si="4"/>
        <v>26</v>
      </c>
      <c r="C91" s="1079" t="s">
        <v>521</v>
      </c>
      <c r="D91" t="s">
        <v>1271</v>
      </c>
      <c r="E91" s="537">
        <v>37369.957757703261</v>
      </c>
      <c r="F91" s="741">
        <v>719</v>
      </c>
      <c r="G91" s="741">
        <v>781</v>
      </c>
      <c r="H91" s="1235">
        <f t="shared" si="3"/>
        <v>0.37548076923076923</v>
      </c>
      <c r="J91" s="552"/>
      <c r="K91" s="550"/>
      <c r="L91" s="662"/>
      <c r="M91" s="922"/>
      <c r="N91" s="922"/>
      <c r="O91" s="1310"/>
    </row>
    <row r="92" spans="2:15" ht="13" x14ac:dyDescent="0.3">
      <c r="B92" s="579">
        <f t="shared" si="4"/>
        <v>27</v>
      </c>
      <c r="C92" s="1079" t="s">
        <v>521</v>
      </c>
      <c r="D92" t="s">
        <v>1271</v>
      </c>
      <c r="E92" s="537">
        <v>85827.790836322005</v>
      </c>
      <c r="F92" s="741">
        <v>1382</v>
      </c>
      <c r="G92" s="741">
        <v>2084</v>
      </c>
      <c r="H92" s="1235">
        <f t="shared" si="3"/>
        <v>1.0019230769230769</v>
      </c>
      <c r="J92" s="552"/>
      <c r="K92" s="550"/>
      <c r="L92" s="662"/>
      <c r="M92" s="922"/>
      <c r="N92" s="922"/>
      <c r="O92" s="1310"/>
    </row>
    <row r="93" spans="2:15" ht="13" x14ac:dyDescent="0.3">
      <c r="B93" s="579">
        <f t="shared" si="4"/>
        <v>28</v>
      </c>
      <c r="C93" s="1079" t="s">
        <v>521</v>
      </c>
      <c r="D93" t="s">
        <v>1271</v>
      </c>
      <c r="E93" s="537">
        <v>84775.949914762139</v>
      </c>
      <c r="F93" s="741">
        <v>1419</v>
      </c>
      <c r="G93" s="741">
        <v>2084</v>
      </c>
      <c r="H93" s="1235">
        <f t="shared" si="3"/>
        <v>1.0019230769230769</v>
      </c>
      <c r="J93" s="552"/>
      <c r="K93" s="550"/>
      <c r="L93" s="662"/>
      <c r="M93" s="922"/>
      <c r="N93" s="922"/>
      <c r="O93" s="1310"/>
    </row>
    <row r="94" spans="2:15" ht="13" x14ac:dyDescent="0.3">
      <c r="B94" s="579">
        <f t="shared" si="4"/>
        <v>29</v>
      </c>
      <c r="C94" s="1079" t="s">
        <v>521</v>
      </c>
      <c r="D94" t="s">
        <v>1271</v>
      </c>
      <c r="E94" s="537">
        <v>82144.933564114937</v>
      </c>
      <c r="F94" s="741">
        <v>955</v>
      </c>
      <c r="G94" s="741">
        <v>2108</v>
      </c>
      <c r="H94" s="1235">
        <f t="shared" si="3"/>
        <v>1.0134615384615384</v>
      </c>
      <c r="J94" s="552"/>
      <c r="K94" s="550"/>
      <c r="L94" s="662"/>
      <c r="M94" s="922"/>
      <c r="N94" s="922"/>
      <c r="O94" s="1310"/>
    </row>
    <row r="95" spans="2:15" ht="13" x14ac:dyDescent="0.3">
      <c r="B95" s="579">
        <f t="shared" si="4"/>
        <v>30</v>
      </c>
      <c r="C95" s="1079" t="s">
        <v>521</v>
      </c>
      <c r="D95" t="s">
        <v>1271</v>
      </c>
      <c r="E95" s="537">
        <v>38062.930603312969</v>
      </c>
      <c r="F95" s="741">
        <v>562</v>
      </c>
      <c r="G95" s="741">
        <v>984</v>
      </c>
      <c r="H95" s="1235">
        <f t="shared" si="3"/>
        <v>0.47307692307692306</v>
      </c>
      <c r="J95" s="552"/>
      <c r="K95" s="550"/>
      <c r="L95" s="662"/>
      <c r="M95" s="922"/>
      <c r="N95" s="922"/>
      <c r="O95" s="1310"/>
    </row>
    <row r="96" spans="2:15" ht="13" x14ac:dyDescent="0.3">
      <c r="B96" s="579">
        <f t="shared" si="4"/>
        <v>31</v>
      </c>
      <c r="C96" s="1079" t="s">
        <v>521</v>
      </c>
      <c r="D96" t="s">
        <v>1271</v>
      </c>
      <c r="E96" s="537">
        <v>85984.854954550668</v>
      </c>
      <c r="F96" s="741">
        <v>1019</v>
      </c>
      <c r="G96" s="741">
        <v>2100</v>
      </c>
      <c r="H96" s="1235">
        <f t="shared" si="3"/>
        <v>1.0096153846153846</v>
      </c>
      <c r="J96" s="552"/>
      <c r="K96" s="550"/>
      <c r="L96" s="662"/>
      <c r="M96" s="922"/>
      <c r="N96" s="922"/>
      <c r="O96" s="1310"/>
    </row>
    <row r="97" spans="2:15" ht="13" x14ac:dyDescent="0.3">
      <c r="B97" s="579">
        <f t="shared" si="4"/>
        <v>32</v>
      </c>
      <c r="C97" s="1079" t="s">
        <v>521</v>
      </c>
      <c r="D97" t="s">
        <v>1271</v>
      </c>
      <c r="E97" s="537">
        <v>38184.72849559335</v>
      </c>
      <c r="F97" s="741">
        <v>1177</v>
      </c>
      <c r="G97" s="741">
        <v>960</v>
      </c>
      <c r="H97" s="1235">
        <f t="shared" si="3"/>
        <v>0.46153846153846156</v>
      </c>
      <c r="J97" s="552"/>
      <c r="K97" s="550"/>
      <c r="L97" s="662"/>
      <c r="M97" s="922"/>
      <c r="N97" s="922"/>
      <c r="O97" s="1310"/>
    </row>
    <row r="98" spans="2:15" ht="13" x14ac:dyDescent="0.3">
      <c r="B98" s="579">
        <f t="shared" si="4"/>
        <v>33</v>
      </c>
      <c r="C98" s="1079" t="s">
        <v>521</v>
      </c>
      <c r="D98" t="s">
        <v>1271</v>
      </c>
      <c r="E98" s="537">
        <v>68799.749964403061</v>
      </c>
      <c r="F98" s="741">
        <v>827</v>
      </c>
      <c r="G98" s="741">
        <v>1672</v>
      </c>
      <c r="H98" s="1235">
        <f t="shared" ref="H98:H129" si="5">+G98/2080</f>
        <v>0.80384615384615388</v>
      </c>
      <c r="J98" s="552"/>
      <c r="K98" s="550"/>
      <c r="L98" s="662"/>
      <c r="M98" s="922"/>
      <c r="N98" s="922"/>
      <c r="O98" s="1310"/>
    </row>
    <row r="99" spans="2:15" ht="13" x14ac:dyDescent="0.3">
      <c r="B99" s="579">
        <f t="shared" si="4"/>
        <v>34</v>
      </c>
      <c r="C99" s="1079" t="s">
        <v>521</v>
      </c>
      <c r="D99" t="s">
        <v>1271</v>
      </c>
      <c r="E99" s="537">
        <v>12596.878055582605</v>
      </c>
      <c r="F99" s="741">
        <v>288</v>
      </c>
      <c r="G99" s="741">
        <v>240</v>
      </c>
      <c r="H99" s="1235">
        <f t="shared" si="5"/>
        <v>0.11538461538461539</v>
      </c>
      <c r="J99" s="552"/>
      <c r="K99" s="550"/>
      <c r="L99" s="662"/>
      <c r="M99" s="922"/>
      <c r="N99" s="922"/>
      <c r="O99" s="1310"/>
    </row>
    <row r="100" spans="2:15" ht="13" x14ac:dyDescent="0.3">
      <c r="B100" s="579">
        <f t="shared" si="4"/>
        <v>35</v>
      </c>
      <c r="C100" s="1079" t="s">
        <v>521</v>
      </c>
      <c r="D100" t="s">
        <v>1271</v>
      </c>
      <c r="E100" s="537">
        <v>64244.191007345828</v>
      </c>
      <c r="F100" s="741">
        <v>673</v>
      </c>
      <c r="G100" s="741">
        <v>1672</v>
      </c>
      <c r="H100" s="1235">
        <f t="shared" si="5"/>
        <v>0.80384615384615388</v>
      </c>
      <c r="J100" s="552"/>
      <c r="K100" s="550"/>
      <c r="L100" s="662"/>
      <c r="M100" s="922"/>
      <c r="N100" s="922"/>
      <c r="O100" s="1310"/>
    </row>
    <row r="101" spans="2:15" ht="13" x14ac:dyDescent="0.3">
      <c r="B101" s="579">
        <f t="shared" si="4"/>
        <v>36</v>
      </c>
      <c r="C101" s="1079" t="s">
        <v>521</v>
      </c>
      <c r="D101" t="s">
        <v>1271</v>
      </c>
      <c r="E101" s="537">
        <v>56169.004739724762</v>
      </c>
      <c r="F101" s="741">
        <v>733</v>
      </c>
      <c r="G101" s="741">
        <v>1360</v>
      </c>
      <c r="H101" s="1235">
        <f t="shared" si="5"/>
        <v>0.65384615384615385</v>
      </c>
      <c r="J101" s="552"/>
      <c r="K101" s="550"/>
      <c r="L101" s="662"/>
      <c r="M101" s="922"/>
      <c r="N101" s="922"/>
      <c r="O101" s="1310"/>
    </row>
    <row r="102" spans="2:15" ht="13" x14ac:dyDescent="0.3">
      <c r="B102" s="579">
        <f t="shared" si="4"/>
        <v>37</v>
      </c>
      <c r="C102" s="1079" t="s">
        <v>521</v>
      </c>
      <c r="D102" t="s">
        <v>1271</v>
      </c>
      <c r="E102" s="537">
        <v>89364.10689648446</v>
      </c>
      <c r="F102" s="741">
        <v>1334</v>
      </c>
      <c r="G102" s="741">
        <v>2080</v>
      </c>
      <c r="H102" s="1235">
        <f t="shared" si="5"/>
        <v>1</v>
      </c>
      <c r="J102" s="552"/>
      <c r="K102" s="550"/>
      <c r="L102" s="662"/>
      <c r="M102" s="922"/>
      <c r="N102" s="922"/>
      <c r="O102" s="1310"/>
    </row>
    <row r="103" spans="2:15" ht="13" x14ac:dyDescent="0.3">
      <c r="B103" s="579">
        <f t="shared" si="4"/>
        <v>38</v>
      </c>
      <c r="C103" s="1079" t="s">
        <v>521</v>
      </c>
      <c r="D103" t="s">
        <v>1271</v>
      </c>
      <c r="E103" s="537">
        <v>101390.94923074629</v>
      </c>
      <c r="F103" s="741">
        <v>1406</v>
      </c>
      <c r="G103" s="741">
        <v>2209.9999999999995</v>
      </c>
      <c r="H103" s="1235">
        <f t="shared" si="5"/>
        <v>1.0624999999999998</v>
      </c>
      <c r="J103" s="552"/>
      <c r="K103" s="550"/>
      <c r="L103" s="662"/>
      <c r="M103" s="922"/>
      <c r="N103" s="922"/>
      <c r="O103" s="1310"/>
    </row>
    <row r="104" spans="2:15" ht="13" x14ac:dyDescent="0.3">
      <c r="B104" s="579">
        <f t="shared" si="4"/>
        <v>39</v>
      </c>
      <c r="C104" s="1079" t="s">
        <v>521</v>
      </c>
      <c r="D104" t="s">
        <v>1271</v>
      </c>
      <c r="E104" s="537">
        <v>92576.901052750909</v>
      </c>
      <c r="F104" s="741">
        <v>1767</v>
      </c>
      <c r="G104" s="741">
        <v>2228</v>
      </c>
      <c r="H104" s="1235">
        <f t="shared" si="5"/>
        <v>1.0711538461538461</v>
      </c>
      <c r="J104" s="552"/>
      <c r="K104" s="550"/>
      <c r="L104" s="662"/>
      <c r="M104" s="922"/>
      <c r="N104" s="922"/>
      <c r="O104" s="1310"/>
    </row>
    <row r="105" spans="2:15" ht="13" x14ac:dyDescent="0.3">
      <c r="B105" s="579">
        <f t="shared" si="4"/>
        <v>40</v>
      </c>
      <c r="C105" s="1079" t="s">
        <v>521</v>
      </c>
      <c r="D105" t="s">
        <v>1271</v>
      </c>
      <c r="E105" s="537">
        <v>39767.561459023796</v>
      </c>
      <c r="F105" s="741">
        <v>473</v>
      </c>
      <c r="G105" s="741">
        <v>967</v>
      </c>
      <c r="H105" s="1235">
        <f t="shared" si="5"/>
        <v>0.46490384615384617</v>
      </c>
      <c r="J105" s="552"/>
      <c r="K105" s="550"/>
      <c r="L105" s="662"/>
      <c r="M105" s="922"/>
      <c r="N105" s="922"/>
      <c r="O105" s="1310"/>
    </row>
    <row r="106" spans="2:15" ht="13" x14ac:dyDescent="0.3">
      <c r="B106" s="579">
        <f t="shared" si="4"/>
        <v>41</v>
      </c>
      <c r="C106" s="1079" t="s">
        <v>521</v>
      </c>
      <c r="D106" t="s">
        <v>1271</v>
      </c>
      <c r="E106" s="537">
        <v>85792.134873107658</v>
      </c>
      <c r="F106" s="741">
        <v>837</v>
      </c>
      <c r="G106" s="741">
        <v>2080</v>
      </c>
      <c r="H106" s="1235">
        <f t="shared" si="5"/>
        <v>1</v>
      </c>
      <c r="J106" s="552"/>
      <c r="K106" s="550"/>
      <c r="L106" s="662"/>
      <c r="M106" s="922"/>
      <c r="N106" s="922"/>
      <c r="O106" s="1310"/>
    </row>
    <row r="107" spans="2:15" ht="13" x14ac:dyDescent="0.3">
      <c r="B107" s="579">
        <f t="shared" si="4"/>
        <v>42</v>
      </c>
      <c r="C107" s="1079" t="s">
        <v>521</v>
      </c>
      <c r="D107" t="s">
        <v>1271</v>
      </c>
      <c r="E107" s="537">
        <v>90089.018211385977</v>
      </c>
      <c r="F107" s="741">
        <v>1663</v>
      </c>
      <c r="G107" s="741">
        <v>2090.3199999999997</v>
      </c>
      <c r="H107" s="1235">
        <f t="shared" si="5"/>
        <v>1.0049615384615382</v>
      </c>
      <c r="J107" s="552"/>
      <c r="K107" s="550"/>
      <c r="L107" s="662"/>
      <c r="M107" s="922"/>
      <c r="N107" s="922"/>
      <c r="O107" s="1310"/>
    </row>
    <row r="108" spans="2:15" ht="13" x14ac:dyDescent="0.3">
      <c r="B108" s="579">
        <f t="shared" si="4"/>
        <v>43</v>
      </c>
      <c r="C108" s="1079" t="s">
        <v>521</v>
      </c>
      <c r="D108" t="s">
        <v>1271</v>
      </c>
      <c r="E108" s="537">
        <v>69982.812425471784</v>
      </c>
      <c r="F108" s="741">
        <v>1209</v>
      </c>
      <c r="G108" s="741">
        <v>1675.5</v>
      </c>
      <c r="H108" s="1235">
        <f t="shared" si="5"/>
        <v>0.80552884615384612</v>
      </c>
      <c r="J108" s="552"/>
      <c r="K108" s="550"/>
      <c r="L108" s="662"/>
      <c r="M108" s="922"/>
      <c r="N108" s="922"/>
      <c r="O108" s="1310"/>
    </row>
    <row r="109" spans="2:15" ht="13" x14ac:dyDescent="0.3">
      <c r="B109" s="579">
        <f t="shared" si="4"/>
        <v>44</v>
      </c>
      <c r="C109" s="1079" t="s">
        <v>521</v>
      </c>
      <c r="D109" t="s">
        <v>1271</v>
      </c>
      <c r="E109" s="537">
        <v>49407.732721941677</v>
      </c>
      <c r="F109" s="741">
        <v>769</v>
      </c>
      <c r="G109" s="741">
        <v>1282.9999999999998</v>
      </c>
      <c r="H109" s="1235">
        <f t="shared" si="5"/>
        <v>0.61682692307692299</v>
      </c>
      <c r="J109" s="552"/>
      <c r="K109" s="550"/>
      <c r="L109" s="662"/>
      <c r="M109" s="922"/>
      <c r="N109" s="922"/>
      <c r="O109" s="1310"/>
    </row>
    <row r="110" spans="2:15" ht="13" x14ac:dyDescent="0.3">
      <c r="B110" s="579">
        <f t="shared" si="4"/>
        <v>45</v>
      </c>
      <c r="C110" s="1079" t="s">
        <v>521</v>
      </c>
      <c r="D110" t="s">
        <v>1271</v>
      </c>
      <c r="E110" s="537">
        <v>24829.441706753194</v>
      </c>
      <c r="F110" s="741">
        <v>92</v>
      </c>
      <c r="G110" s="741">
        <v>640</v>
      </c>
      <c r="H110" s="1235">
        <f t="shared" si="5"/>
        <v>0.30769230769230771</v>
      </c>
      <c r="J110" s="552"/>
      <c r="K110" s="550"/>
      <c r="L110" s="662"/>
      <c r="M110" s="922"/>
      <c r="N110" s="922"/>
      <c r="O110" s="1310"/>
    </row>
    <row r="111" spans="2:15" ht="13" x14ac:dyDescent="0.3">
      <c r="B111" s="579">
        <f t="shared" si="4"/>
        <v>46</v>
      </c>
      <c r="C111" s="1079" t="s">
        <v>521</v>
      </c>
      <c r="D111" t="s">
        <v>1271</v>
      </c>
      <c r="E111" s="537">
        <v>60980.071451116193</v>
      </c>
      <c r="F111" s="741">
        <v>963</v>
      </c>
      <c r="G111" s="741">
        <v>1560</v>
      </c>
      <c r="H111" s="1235">
        <f t="shared" si="5"/>
        <v>0.75</v>
      </c>
      <c r="J111" s="552"/>
      <c r="K111" s="550"/>
      <c r="L111" s="662"/>
      <c r="M111" s="922"/>
      <c r="N111" s="922"/>
      <c r="O111" s="1310"/>
    </row>
    <row r="112" spans="2:15" ht="13" x14ac:dyDescent="0.3">
      <c r="B112" s="579">
        <f t="shared" si="4"/>
        <v>47</v>
      </c>
      <c r="C112" s="1079" t="s">
        <v>521</v>
      </c>
      <c r="D112" t="s">
        <v>1271</v>
      </c>
      <c r="E112" s="537">
        <v>14883.03688533186</v>
      </c>
      <c r="F112" s="741">
        <v>1094</v>
      </c>
      <c r="G112" s="741">
        <v>350</v>
      </c>
      <c r="H112" s="1235">
        <f t="shared" si="5"/>
        <v>0.16826923076923078</v>
      </c>
      <c r="J112" s="552"/>
      <c r="K112" s="550"/>
      <c r="L112" s="662"/>
      <c r="M112" s="922"/>
      <c r="N112" s="922"/>
      <c r="O112" s="1310"/>
    </row>
    <row r="113" spans="2:15" ht="13" x14ac:dyDescent="0.3">
      <c r="B113" s="579">
        <f t="shared" si="4"/>
        <v>48</v>
      </c>
      <c r="C113" s="1079" t="s">
        <v>521</v>
      </c>
      <c r="D113" t="s">
        <v>1271</v>
      </c>
      <c r="E113" s="537">
        <v>16901.046482757549</v>
      </c>
      <c r="F113" s="741">
        <v>89</v>
      </c>
      <c r="G113" s="741">
        <v>396</v>
      </c>
      <c r="H113" s="1235">
        <f t="shared" si="5"/>
        <v>0.19038461538461537</v>
      </c>
      <c r="J113" s="552"/>
      <c r="K113" s="550"/>
      <c r="L113" s="662"/>
      <c r="M113" s="922"/>
      <c r="N113" s="922"/>
      <c r="O113" s="1310"/>
    </row>
    <row r="114" spans="2:15" ht="13" x14ac:dyDescent="0.3">
      <c r="B114" s="579">
        <f t="shared" si="4"/>
        <v>49</v>
      </c>
      <c r="C114" s="1079" t="s">
        <v>521</v>
      </c>
      <c r="D114" t="s">
        <v>1271</v>
      </c>
      <c r="E114" s="537">
        <v>42185.341558811204</v>
      </c>
      <c r="F114" s="741">
        <v>8</v>
      </c>
      <c r="G114" s="741">
        <v>1044</v>
      </c>
      <c r="H114" s="1235">
        <f t="shared" si="5"/>
        <v>0.50192307692307692</v>
      </c>
      <c r="J114" s="552"/>
      <c r="K114" s="550"/>
      <c r="L114" s="662"/>
      <c r="M114" s="922"/>
      <c r="N114" s="922"/>
      <c r="O114" s="1310"/>
    </row>
    <row r="115" spans="2:15" ht="13" x14ac:dyDescent="0.3">
      <c r="B115" s="579">
        <f t="shared" si="4"/>
        <v>50</v>
      </c>
      <c r="C115" s="1079" t="s">
        <v>521</v>
      </c>
      <c r="D115" t="s">
        <v>1271</v>
      </c>
      <c r="E115" s="537">
        <v>18417.514185059506</v>
      </c>
      <c r="F115" s="741">
        <v>383</v>
      </c>
      <c r="G115" s="741">
        <v>364</v>
      </c>
      <c r="H115" s="1235">
        <f t="shared" si="5"/>
        <v>0.17499999999999999</v>
      </c>
      <c r="J115" s="552"/>
      <c r="K115" s="550"/>
      <c r="L115" s="662"/>
      <c r="M115" s="922"/>
      <c r="N115" s="922"/>
      <c r="O115" s="1310"/>
    </row>
    <row r="116" spans="2:15" ht="13" x14ac:dyDescent="0.3">
      <c r="B116" s="579">
        <f t="shared" si="4"/>
        <v>51</v>
      </c>
      <c r="C116" s="1079" t="s">
        <v>521</v>
      </c>
      <c r="D116" t="s">
        <v>1271</v>
      </c>
      <c r="E116" s="537">
        <v>17142.653607935008</v>
      </c>
      <c r="F116" s="741">
        <v>317</v>
      </c>
      <c r="G116" s="741">
        <v>408</v>
      </c>
      <c r="H116" s="1235">
        <f t="shared" si="5"/>
        <v>0.19615384615384615</v>
      </c>
      <c r="J116" s="552"/>
      <c r="K116" s="550"/>
      <c r="L116" s="662"/>
      <c r="M116" s="922"/>
      <c r="N116" s="922"/>
      <c r="O116" s="1310"/>
    </row>
    <row r="117" spans="2:15" ht="13" x14ac:dyDescent="0.3">
      <c r="B117" s="579">
        <f t="shared" si="4"/>
        <v>52</v>
      </c>
      <c r="C117" s="1079" t="s">
        <v>521</v>
      </c>
      <c r="D117" t="s">
        <v>1271</v>
      </c>
      <c r="E117" s="537">
        <v>72974.355733765784</v>
      </c>
      <c r="F117" s="741">
        <v>894</v>
      </c>
      <c r="G117" s="741">
        <v>1842.0000000000002</v>
      </c>
      <c r="H117" s="1235">
        <f t="shared" si="5"/>
        <v>0.88557692307692315</v>
      </c>
      <c r="J117" s="552"/>
      <c r="K117" s="550"/>
      <c r="L117" s="662"/>
      <c r="M117" s="922"/>
      <c r="N117" s="922"/>
      <c r="O117" s="1310"/>
    </row>
    <row r="118" spans="2:15" ht="13" x14ac:dyDescent="0.3">
      <c r="B118" s="579">
        <f t="shared" si="4"/>
        <v>53</v>
      </c>
      <c r="C118" s="1079" t="s">
        <v>521</v>
      </c>
      <c r="D118" t="s">
        <v>1271</v>
      </c>
      <c r="E118" s="537">
        <v>80875.119584922999</v>
      </c>
      <c r="F118" s="741">
        <v>1207</v>
      </c>
      <c r="G118" s="741">
        <v>2083</v>
      </c>
      <c r="H118" s="1235">
        <f t="shared" si="5"/>
        <v>1.0014423076923078</v>
      </c>
      <c r="J118" s="552"/>
      <c r="K118" s="550"/>
      <c r="L118" s="662"/>
      <c r="M118" s="922"/>
      <c r="N118" s="922"/>
      <c r="O118" s="1310"/>
    </row>
    <row r="119" spans="2:15" ht="13" x14ac:dyDescent="0.3">
      <c r="B119" s="579">
        <f t="shared" si="4"/>
        <v>54</v>
      </c>
      <c r="C119" s="1079" t="s">
        <v>521</v>
      </c>
      <c r="D119" t="s">
        <v>1271</v>
      </c>
      <c r="E119" s="537">
        <v>45466.739467170235</v>
      </c>
      <c r="F119" s="741">
        <v>283</v>
      </c>
      <c r="G119" s="741">
        <v>800</v>
      </c>
      <c r="H119" s="1235">
        <f t="shared" si="5"/>
        <v>0.38461538461538464</v>
      </c>
      <c r="J119" s="552"/>
      <c r="K119" s="550"/>
      <c r="L119" s="662"/>
      <c r="M119" s="922"/>
      <c r="N119" s="922"/>
      <c r="O119" s="1310"/>
    </row>
    <row r="120" spans="2:15" ht="13" x14ac:dyDescent="0.3">
      <c r="B120" s="579">
        <f t="shared" si="4"/>
        <v>55</v>
      </c>
      <c r="C120" s="1079" t="s">
        <v>521</v>
      </c>
      <c r="D120" t="s">
        <v>1271</v>
      </c>
      <c r="E120" s="537">
        <v>35687.432000263194</v>
      </c>
      <c r="F120" s="741">
        <v>343</v>
      </c>
      <c r="G120" s="741">
        <v>816</v>
      </c>
      <c r="H120" s="1235">
        <f t="shared" si="5"/>
        <v>0.3923076923076923</v>
      </c>
      <c r="J120" s="552"/>
      <c r="K120" s="550"/>
      <c r="L120" s="662"/>
      <c r="M120" s="922"/>
      <c r="N120" s="922"/>
      <c r="O120" s="1310"/>
    </row>
    <row r="121" spans="2:15" ht="13" x14ac:dyDescent="0.3">
      <c r="B121" s="579">
        <f t="shared" si="4"/>
        <v>56</v>
      </c>
      <c r="C121" s="1079" t="s">
        <v>521</v>
      </c>
      <c r="D121" t="s">
        <v>1271</v>
      </c>
      <c r="E121" s="537">
        <v>30835.362929827937</v>
      </c>
      <c r="F121" s="1242">
        <v>48</v>
      </c>
      <c r="G121" s="741">
        <v>796.9</v>
      </c>
      <c r="H121" s="1235">
        <f t="shared" si="5"/>
        <v>0.38312499999999999</v>
      </c>
      <c r="J121" s="552"/>
      <c r="K121" s="550"/>
      <c r="L121" s="662"/>
      <c r="M121" s="922"/>
      <c r="N121" s="922"/>
      <c r="O121" s="1310"/>
    </row>
    <row r="122" spans="2:15" ht="13" x14ac:dyDescent="0.3">
      <c r="B122" s="579">
        <f t="shared" si="4"/>
        <v>57</v>
      </c>
      <c r="C122" s="1079" t="s">
        <v>521</v>
      </c>
      <c r="D122" t="s">
        <v>1271</v>
      </c>
      <c r="E122" s="537">
        <v>13682.955896977803</v>
      </c>
      <c r="F122" s="741">
        <v>1405</v>
      </c>
      <c r="G122" s="741">
        <v>320</v>
      </c>
      <c r="H122" s="1235">
        <f t="shared" si="5"/>
        <v>0.15384615384615385</v>
      </c>
      <c r="J122" s="552"/>
      <c r="K122" s="550"/>
      <c r="L122" s="662"/>
      <c r="M122" s="922"/>
      <c r="N122" s="922"/>
      <c r="O122" s="1310"/>
    </row>
    <row r="123" spans="2:15" ht="13" x14ac:dyDescent="0.3">
      <c r="B123" s="579">
        <f t="shared" si="4"/>
        <v>58</v>
      </c>
      <c r="C123" s="1079" t="s">
        <v>521</v>
      </c>
      <c r="D123" t="s">
        <v>1271</v>
      </c>
      <c r="E123" s="537">
        <v>99101.322738655275</v>
      </c>
      <c r="F123" s="741">
        <v>970</v>
      </c>
      <c r="G123" s="741">
        <v>2080.0000000000005</v>
      </c>
      <c r="H123" s="1235">
        <f t="shared" si="5"/>
        <v>1.0000000000000002</v>
      </c>
      <c r="J123" s="552"/>
      <c r="K123" s="550"/>
      <c r="L123" s="662"/>
      <c r="M123" s="922"/>
      <c r="N123" s="922"/>
      <c r="O123" s="1310"/>
    </row>
    <row r="124" spans="2:15" ht="13" x14ac:dyDescent="0.3">
      <c r="B124" s="579">
        <f t="shared" si="4"/>
        <v>59</v>
      </c>
      <c r="C124" s="1079" t="s">
        <v>521</v>
      </c>
      <c r="D124" t="s">
        <v>1271</v>
      </c>
      <c r="E124" s="537">
        <v>78265.408871487976</v>
      </c>
      <c r="F124" s="741">
        <v>1052</v>
      </c>
      <c r="G124" s="741">
        <v>2068</v>
      </c>
      <c r="H124" s="1235">
        <f t="shared" si="5"/>
        <v>0.99423076923076925</v>
      </c>
      <c r="J124" s="552"/>
      <c r="K124" s="550"/>
      <c r="L124" s="662"/>
      <c r="M124" s="922"/>
      <c r="N124" s="922"/>
      <c r="O124" s="1310"/>
    </row>
    <row r="125" spans="2:15" ht="13" x14ac:dyDescent="0.3">
      <c r="B125" s="579">
        <f t="shared" si="4"/>
        <v>60</v>
      </c>
      <c r="C125" s="1079" t="s">
        <v>521</v>
      </c>
      <c r="D125" t="s">
        <v>1271</v>
      </c>
      <c r="E125" s="537">
        <v>64128.029315528707</v>
      </c>
      <c r="F125" s="741">
        <v>888</v>
      </c>
      <c r="G125" s="741">
        <v>1627.5</v>
      </c>
      <c r="H125" s="1235">
        <f t="shared" si="5"/>
        <v>0.78245192307692313</v>
      </c>
      <c r="J125" s="552"/>
      <c r="K125" s="550"/>
      <c r="L125" s="662"/>
      <c r="M125" s="922"/>
      <c r="N125" s="922"/>
      <c r="O125" s="1310"/>
    </row>
    <row r="126" spans="2:15" ht="13" x14ac:dyDescent="0.3">
      <c r="B126" s="579">
        <f t="shared" si="4"/>
        <v>61</v>
      </c>
      <c r="C126" s="1079" t="s">
        <v>521</v>
      </c>
      <c r="D126" t="s">
        <v>1271</v>
      </c>
      <c r="E126" s="537">
        <v>44772.747308710786</v>
      </c>
      <c r="F126" s="741">
        <v>589</v>
      </c>
      <c r="G126" s="741">
        <v>1102</v>
      </c>
      <c r="H126" s="1235">
        <f t="shared" si="5"/>
        <v>0.52980769230769231</v>
      </c>
      <c r="J126" s="552"/>
      <c r="K126" s="550"/>
      <c r="L126" s="662"/>
      <c r="M126" s="922"/>
      <c r="N126" s="922"/>
      <c r="O126" s="1310"/>
    </row>
    <row r="127" spans="2:15" ht="13" x14ac:dyDescent="0.3">
      <c r="B127" s="579">
        <f t="shared" si="4"/>
        <v>62</v>
      </c>
      <c r="C127" s="1079" t="s">
        <v>521</v>
      </c>
      <c r="D127" t="s">
        <v>1271</v>
      </c>
      <c r="E127" s="537">
        <v>87240.618405637433</v>
      </c>
      <c r="F127" s="741">
        <v>1092</v>
      </c>
      <c r="G127" s="741">
        <v>2080</v>
      </c>
      <c r="H127" s="1235">
        <f t="shared" si="5"/>
        <v>1</v>
      </c>
      <c r="J127" s="552"/>
      <c r="K127" s="550"/>
      <c r="L127" s="662"/>
      <c r="M127" s="922"/>
      <c r="N127" s="922"/>
      <c r="O127" s="1310"/>
    </row>
    <row r="128" spans="2:15" ht="13" x14ac:dyDescent="0.3">
      <c r="B128" s="579">
        <f t="shared" si="4"/>
        <v>63</v>
      </c>
      <c r="C128" s="1079" t="s">
        <v>521</v>
      </c>
      <c r="D128" t="s">
        <v>1271</v>
      </c>
      <c r="E128" s="537">
        <v>49840.970662869782</v>
      </c>
      <c r="F128" s="741">
        <v>1063</v>
      </c>
      <c r="G128" s="741">
        <v>1265</v>
      </c>
      <c r="H128" s="1235">
        <f t="shared" si="5"/>
        <v>0.60817307692307687</v>
      </c>
      <c r="J128" s="552"/>
      <c r="K128" s="550"/>
      <c r="L128" s="662"/>
      <c r="M128" s="922"/>
      <c r="N128" s="922"/>
      <c r="O128" s="1310"/>
    </row>
    <row r="129" spans="2:15" ht="13" x14ac:dyDescent="0.3">
      <c r="B129" s="579">
        <f t="shared" si="4"/>
        <v>64</v>
      </c>
      <c r="C129" s="1079" t="s">
        <v>521</v>
      </c>
      <c r="D129" t="s">
        <v>1271</v>
      </c>
      <c r="E129" s="537">
        <v>29764.035144964248</v>
      </c>
      <c r="F129" s="741">
        <v>281</v>
      </c>
      <c r="G129" s="741">
        <v>724.75</v>
      </c>
      <c r="H129" s="1235">
        <f t="shared" si="5"/>
        <v>0.34843750000000001</v>
      </c>
      <c r="J129" s="552"/>
      <c r="K129" s="550"/>
      <c r="L129" s="662"/>
      <c r="M129" s="922"/>
      <c r="N129" s="922"/>
      <c r="O129" s="1310"/>
    </row>
    <row r="130" spans="2:15" ht="13" x14ac:dyDescent="0.3">
      <c r="B130" s="579">
        <f t="shared" si="4"/>
        <v>65</v>
      </c>
      <c r="C130" s="1079" t="s">
        <v>521</v>
      </c>
      <c r="D130" t="s">
        <v>1272</v>
      </c>
      <c r="E130" s="537">
        <v>69202.308587206717</v>
      </c>
      <c r="F130" s="741">
        <v>978</v>
      </c>
      <c r="G130" s="741">
        <v>1920</v>
      </c>
      <c r="H130" s="1235">
        <f t="shared" ref="H130:H161" si="6">+G130/2080</f>
        <v>0.92307692307692313</v>
      </c>
      <c r="J130" s="552"/>
      <c r="K130" s="550"/>
      <c r="L130" s="662"/>
      <c r="M130" s="922"/>
      <c r="N130" s="922"/>
      <c r="O130" s="1310"/>
    </row>
    <row r="131" spans="2:15" ht="13" x14ac:dyDescent="0.3">
      <c r="B131" s="579">
        <f t="shared" si="4"/>
        <v>66</v>
      </c>
      <c r="C131" s="1079" t="s">
        <v>521</v>
      </c>
      <c r="D131" t="s">
        <v>1272</v>
      </c>
      <c r="E131" s="537">
        <v>59426.288903903223</v>
      </c>
      <c r="F131" s="741">
        <v>684</v>
      </c>
      <c r="G131" s="741">
        <v>1804.6000000000001</v>
      </c>
      <c r="H131" s="1235">
        <f t="shared" si="6"/>
        <v>0.86759615384615396</v>
      </c>
      <c r="J131" s="552"/>
      <c r="K131" s="550"/>
      <c r="L131" s="662"/>
      <c r="M131" s="922"/>
      <c r="N131" s="922"/>
      <c r="O131" s="1310"/>
    </row>
    <row r="132" spans="2:15" ht="13" x14ac:dyDescent="0.3">
      <c r="B132" s="579">
        <f t="shared" ref="B132:B195" si="7">+B131+1</f>
        <v>67</v>
      </c>
      <c r="C132" s="1079" t="s">
        <v>521</v>
      </c>
      <c r="D132" t="s">
        <v>1272</v>
      </c>
      <c r="E132" s="537">
        <v>39378.653633796042</v>
      </c>
      <c r="F132" s="741">
        <v>569</v>
      </c>
      <c r="G132" s="741">
        <v>1160</v>
      </c>
      <c r="H132" s="1235">
        <f t="shared" si="6"/>
        <v>0.55769230769230771</v>
      </c>
      <c r="J132" s="552"/>
      <c r="K132" s="550"/>
      <c r="L132" s="662"/>
      <c r="M132" s="922"/>
      <c r="N132" s="922"/>
      <c r="O132" s="1310"/>
    </row>
    <row r="133" spans="2:15" ht="13" x14ac:dyDescent="0.3">
      <c r="B133" s="579">
        <f t="shared" si="7"/>
        <v>68</v>
      </c>
      <c r="C133" s="1079" t="s">
        <v>521</v>
      </c>
      <c r="D133" t="s">
        <v>1272</v>
      </c>
      <c r="E133" s="537">
        <v>72984.069185627945</v>
      </c>
      <c r="F133" s="741">
        <v>1060</v>
      </c>
      <c r="G133" s="741">
        <v>2104</v>
      </c>
      <c r="H133" s="1235">
        <f t="shared" si="6"/>
        <v>1.0115384615384615</v>
      </c>
      <c r="J133" s="552"/>
      <c r="K133" s="550"/>
      <c r="L133" s="662"/>
      <c r="M133" s="922"/>
      <c r="N133" s="922"/>
      <c r="O133" s="1310"/>
    </row>
    <row r="134" spans="2:15" ht="13" x14ac:dyDescent="0.3">
      <c r="B134" s="579">
        <f t="shared" si="7"/>
        <v>69</v>
      </c>
      <c r="C134" s="1079" t="s">
        <v>521</v>
      </c>
      <c r="D134" t="s">
        <v>1272</v>
      </c>
      <c r="E134" s="537">
        <v>51417.028193828424</v>
      </c>
      <c r="F134" s="741">
        <v>824</v>
      </c>
      <c r="G134" s="741">
        <v>1320</v>
      </c>
      <c r="H134" s="1235">
        <f t="shared" si="6"/>
        <v>0.63461538461538458</v>
      </c>
      <c r="J134" s="552"/>
      <c r="K134" s="550"/>
      <c r="L134" s="662"/>
      <c r="M134" s="922"/>
      <c r="N134" s="922"/>
      <c r="O134" s="1310"/>
    </row>
    <row r="135" spans="2:15" ht="13" x14ac:dyDescent="0.3">
      <c r="B135" s="579">
        <f t="shared" si="7"/>
        <v>70</v>
      </c>
      <c r="C135" s="1079" t="s">
        <v>521</v>
      </c>
      <c r="D135" t="s">
        <v>1272</v>
      </c>
      <c r="E135" s="537">
        <v>59865.772634351772</v>
      </c>
      <c r="F135" s="741">
        <v>921</v>
      </c>
      <c r="G135" s="741">
        <v>1773</v>
      </c>
      <c r="H135" s="1235">
        <f t="shared" si="6"/>
        <v>0.85240384615384612</v>
      </c>
      <c r="J135" s="552"/>
      <c r="K135" s="550"/>
      <c r="L135" s="662"/>
      <c r="M135" s="922"/>
      <c r="N135" s="922"/>
      <c r="O135" s="1310"/>
    </row>
    <row r="136" spans="2:15" ht="13" x14ac:dyDescent="0.3">
      <c r="B136" s="579">
        <f t="shared" si="7"/>
        <v>71</v>
      </c>
      <c r="C136" s="1079" t="s">
        <v>521</v>
      </c>
      <c r="D136" t="s">
        <v>1272</v>
      </c>
      <c r="E136" s="537">
        <v>68976.710669728054</v>
      </c>
      <c r="F136" s="741">
        <v>986</v>
      </c>
      <c r="G136" s="741">
        <v>2080</v>
      </c>
      <c r="H136" s="1235">
        <f t="shared" si="6"/>
        <v>1</v>
      </c>
      <c r="J136" s="552"/>
      <c r="K136" s="550"/>
      <c r="L136" s="662"/>
      <c r="M136" s="922"/>
      <c r="N136" s="922"/>
      <c r="O136" s="1310"/>
    </row>
    <row r="137" spans="2:15" ht="13" x14ac:dyDescent="0.3">
      <c r="B137" s="579">
        <f t="shared" si="7"/>
        <v>72</v>
      </c>
      <c r="C137" s="1079" t="s">
        <v>521</v>
      </c>
      <c r="D137" t="s">
        <v>1272</v>
      </c>
      <c r="E137" s="537">
        <v>74729.722386909154</v>
      </c>
      <c r="F137" s="741">
        <v>1362</v>
      </c>
      <c r="G137" s="741">
        <v>2080</v>
      </c>
      <c r="H137" s="1235">
        <f t="shared" si="6"/>
        <v>1</v>
      </c>
      <c r="J137" s="552"/>
      <c r="K137" s="550"/>
      <c r="L137" s="662"/>
      <c r="M137" s="922"/>
      <c r="N137" s="922"/>
      <c r="O137" s="1310"/>
    </row>
    <row r="138" spans="2:15" ht="13" x14ac:dyDescent="0.3">
      <c r="B138" s="579">
        <f t="shared" si="7"/>
        <v>73</v>
      </c>
      <c r="C138" s="1079" t="s">
        <v>521</v>
      </c>
      <c r="D138" t="s">
        <v>1272</v>
      </c>
      <c r="E138" s="537">
        <v>46256.746898769641</v>
      </c>
      <c r="F138" s="741">
        <v>0</v>
      </c>
      <c r="G138" s="741">
        <v>1152</v>
      </c>
      <c r="H138" s="1235">
        <f t="shared" si="6"/>
        <v>0.55384615384615388</v>
      </c>
      <c r="J138" s="552"/>
      <c r="K138" s="550"/>
      <c r="L138" s="662"/>
      <c r="M138" s="922"/>
      <c r="N138" s="922"/>
      <c r="O138" s="1310"/>
    </row>
    <row r="139" spans="2:15" ht="13" x14ac:dyDescent="0.3">
      <c r="B139" s="579">
        <f t="shared" si="7"/>
        <v>74</v>
      </c>
      <c r="C139" s="1079" t="s">
        <v>521</v>
      </c>
      <c r="D139" t="s">
        <v>1272</v>
      </c>
      <c r="E139" s="537">
        <v>27212.205412173134</v>
      </c>
      <c r="F139" s="741">
        <v>183</v>
      </c>
      <c r="G139" s="741">
        <v>640</v>
      </c>
      <c r="H139" s="1235">
        <f t="shared" si="6"/>
        <v>0.30769230769230771</v>
      </c>
      <c r="J139" s="552"/>
      <c r="K139" s="550"/>
      <c r="L139" s="662"/>
      <c r="M139" s="922"/>
      <c r="N139" s="922"/>
      <c r="O139" s="1310"/>
    </row>
    <row r="140" spans="2:15" ht="13" x14ac:dyDescent="0.3">
      <c r="B140" s="579">
        <f t="shared" si="7"/>
        <v>75</v>
      </c>
      <c r="C140" s="1079" t="s">
        <v>521</v>
      </c>
      <c r="D140" t="s">
        <v>1272</v>
      </c>
      <c r="E140" s="537">
        <v>72813.863926248319</v>
      </c>
      <c r="F140" s="741">
        <v>901</v>
      </c>
      <c r="G140" s="741">
        <v>2080</v>
      </c>
      <c r="H140" s="1235">
        <f t="shared" si="6"/>
        <v>1</v>
      </c>
      <c r="J140" s="552"/>
      <c r="K140" s="550"/>
      <c r="L140" s="662"/>
      <c r="M140" s="922"/>
      <c r="N140" s="922"/>
      <c r="O140" s="1310"/>
    </row>
    <row r="141" spans="2:15" ht="13" x14ac:dyDescent="0.3">
      <c r="B141" s="579">
        <f t="shared" si="7"/>
        <v>76</v>
      </c>
      <c r="C141" s="1079" t="s">
        <v>521</v>
      </c>
      <c r="D141" t="s">
        <v>1272</v>
      </c>
      <c r="E141" s="537">
        <v>90093.465213524469</v>
      </c>
      <c r="F141" s="741">
        <v>1669</v>
      </c>
      <c r="G141" s="741">
        <v>1876.8</v>
      </c>
      <c r="H141" s="1235">
        <f t="shared" si="6"/>
        <v>0.90230769230769226</v>
      </c>
      <c r="J141" s="552"/>
      <c r="K141" s="550"/>
      <c r="L141" s="662"/>
      <c r="M141" s="922"/>
      <c r="N141" s="922"/>
      <c r="O141" s="1310"/>
    </row>
    <row r="142" spans="2:15" ht="13" x14ac:dyDescent="0.3">
      <c r="B142" s="579">
        <f t="shared" si="7"/>
        <v>77</v>
      </c>
      <c r="C142" s="1079" t="s">
        <v>521</v>
      </c>
      <c r="D142" t="s">
        <v>1272</v>
      </c>
      <c r="E142" s="537">
        <v>74891.983002018809</v>
      </c>
      <c r="F142" s="741">
        <v>1424</v>
      </c>
      <c r="G142" s="741">
        <v>2080</v>
      </c>
      <c r="H142" s="1235">
        <f t="shared" si="6"/>
        <v>1</v>
      </c>
      <c r="J142" s="552"/>
      <c r="K142" s="550"/>
      <c r="L142" s="662"/>
      <c r="M142" s="922"/>
      <c r="N142" s="922"/>
      <c r="O142" s="1310"/>
    </row>
    <row r="143" spans="2:15" ht="13" x14ac:dyDescent="0.3">
      <c r="B143" s="579">
        <f t="shared" si="7"/>
        <v>78</v>
      </c>
      <c r="C143" s="1079" t="s">
        <v>521</v>
      </c>
      <c r="D143" t="s">
        <v>1272</v>
      </c>
      <c r="E143" s="537">
        <v>72261.40635495387</v>
      </c>
      <c r="F143" s="741">
        <v>1352</v>
      </c>
      <c r="G143" s="741">
        <v>2080</v>
      </c>
      <c r="H143" s="1235">
        <f t="shared" si="6"/>
        <v>1</v>
      </c>
      <c r="J143" s="552"/>
      <c r="K143" s="550"/>
      <c r="L143" s="662"/>
      <c r="M143" s="922"/>
      <c r="N143" s="922"/>
      <c r="O143" s="1310"/>
    </row>
    <row r="144" spans="2:15" ht="13" x14ac:dyDescent="0.3">
      <c r="B144" s="579">
        <f t="shared" si="7"/>
        <v>79</v>
      </c>
      <c r="C144" s="1079" t="s">
        <v>521</v>
      </c>
      <c r="D144" t="s">
        <v>1272</v>
      </c>
      <c r="E144" s="537">
        <v>45542.818180160924</v>
      </c>
      <c r="F144" s="741">
        <v>477</v>
      </c>
      <c r="G144" s="741">
        <v>1437.9999999999995</v>
      </c>
      <c r="H144" s="1235">
        <f t="shared" si="6"/>
        <v>0.69134615384615361</v>
      </c>
      <c r="J144" s="552"/>
      <c r="K144" s="550"/>
      <c r="L144" s="662"/>
      <c r="M144" s="922"/>
      <c r="N144" s="922"/>
      <c r="O144" s="1310"/>
    </row>
    <row r="145" spans="2:15" ht="13" x14ac:dyDescent="0.3">
      <c r="B145" s="579">
        <f t="shared" si="7"/>
        <v>80</v>
      </c>
      <c r="C145" s="1079" t="s">
        <v>521</v>
      </c>
      <c r="D145" t="s">
        <v>1272</v>
      </c>
      <c r="E145" s="537">
        <v>73382.190799556294</v>
      </c>
      <c r="F145" s="741">
        <v>1185</v>
      </c>
      <c r="G145" s="741">
        <v>2094.5</v>
      </c>
      <c r="H145" s="1235">
        <f t="shared" si="6"/>
        <v>1.0069711538461539</v>
      </c>
      <c r="J145" s="552"/>
      <c r="K145" s="550"/>
      <c r="L145" s="662"/>
      <c r="M145" s="922"/>
      <c r="N145" s="922"/>
      <c r="O145" s="1310"/>
    </row>
    <row r="146" spans="2:15" ht="13" x14ac:dyDescent="0.3">
      <c r="B146" s="579">
        <f t="shared" si="7"/>
        <v>81</v>
      </c>
      <c r="C146" s="1079" t="s">
        <v>521</v>
      </c>
      <c r="D146" t="s">
        <v>1272</v>
      </c>
      <c r="E146" s="537">
        <v>68288.034927308399</v>
      </c>
      <c r="F146" s="741">
        <v>1768</v>
      </c>
      <c r="G146" s="741">
        <v>1760</v>
      </c>
      <c r="H146" s="1235">
        <f t="shared" si="6"/>
        <v>0.84615384615384615</v>
      </c>
      <c r="J146" s="552"/>
      <c r="K146" s="550"/>
      <c r="L146" s="662"/>
      <c r="M146" s="922"/>
      <c r="N146" s="922"/>
      <c r="O146" s="1310"/>
    </row>
    <row r="147" spans="2:15" ht="13" x14ac:dyDescent="0.3">
      <c r="B147" s="579">
        <f t="shared" si="7"/>
        <v>82</v>
      </c>
      <c r="C147" s="1079" t="s">
        <v>521</v>
      </c>
      <c r="D147" t="s">
        <v>1272</v>
      </c>
      <c r="E147" s="537">
        <v>65937.019819178822</v>
      </c>
      <c r="F147" s="741">
        <v>506</v>
      </c>
      <c r="G147" s="741">
        <v>1921</v>
      </c>
      <c r="H147" s="1235">
        <f t="shared" si="6"/>
        <v>0.92355769230769236</v>
      </c>
      <c r="J147" s="552"/>
      <c r="K147" s="550"/>
      <c r="L147" s="662"/>
      <c r="M147" s="922"/>
      <c r="N147" s="922"/>
      <c r="O147" s="1310"/>
    </row>
    <row r="148" spans="2:15" ht="13" x14ac:dyDescent="0.3">
      <c r="B148" s="579">
        <f t="shared" si="7"/>
        <v>83</v>
      </c>
      <c r="C148" s="1079" t="s">
        <v>521</v>
      </c>
      <c r="D148" t="s">
        <v>1272</v>
      </c>
      <c r="E148" s="537">
        <v>70855.92383411451</v>
      </c>
      <c r="F148" s="741">
        <v>1052</v>
      </c>
      <c r="G148" s="741">
        <v>2084</v>
      </c>
      <c r="H148" s="1235">
        <f t="shared" si="6"/>
        <v>1.0019230769230769</v>
      </c>
      <c r="J148" s="552"/>
      <c r="K148" s="550"/>
      <c r="L148" s="662"/>
      <c r="M148" s="922"/>
      <c r="N148" s="922"/>
      <c r="O148" s="1310"/>
    </row>
    <row r="149" spans="2:15" ht="13" x14ac:dyDescent="0.3">
      <c r="B149" s="579">
        <f t="shared" si="7"/>
        <v>84</v>
      </c>
      <c r="C149" s="1079" t="s">
        <v>521</v>
      </c>
      <c r="D149" t="s">
        <v>1272</v>
      </c>
      <c r="E149" s="537">
        <v>61376.294345030255</v>
      </c>
      <c r="F149" s="741">
        <v>739</v>
      </c>
      <c r="G149" s="741">
        <v>1752</v>
      </c>
      <c r="H149" s="1235">
        <f t="shared" si="6"/>
        <v>0.84230769230769231</v>
      </c>
      <c r="J149" s="552"/>
      <c r="K149" s="550"/>
      <c r="L149" s="662"/>
      <c r="M149" s="922"/>
      <c r="N149" s="922"/>
      <c r="O149" s="1310"/>
    </row>
    <row r="150" spans="2:15" ht="13" x14ac:dyDescent="0.3">
      <c r="B150" s="579">
        <f t="shared" si="7"/>
        <v>85</v>
      </c>
      <c r="C150" s="1079" t="s">
        <v>521</v>
      </c>
      <c r="D150" t="s">
        <v>1272</v>
      </c>
      <c r="E150" s="537">
        <v>80954.675953518657</v>
      </c>
      <c r="F150" s="741">
        <v>1524</v>
      </c>
      <c r="G150" s="741">
        <v>2080</v>
      </c>
      <c r="H150" s="1235">
        <f t="shared" si="6"/>
        <v>1</v>
      </c>
      <c r="J150" s="552"/>
      <c r="K150" s="550"/>
      <c r="L150" s="662"/>
      <c r="M150" s="922"/>
      <c r="N150" s="922"/>
      <c r="O150" s="1310"/>
    </row>
    <row r="151" spans="2:15" ht="13" x14ac:dyDescent="0.3">
      <c r="B151" s="579">
        <f t="shared" si="7"/>
        <v>86</v>
      </c>
      <c r="C151" s="1079" t="s">
        <v>521</v>
      </c>
      <c r="D151" t="s">
        <v>1272</v>
      </c>
      <c r="E151" s="537">
        <v>56037.463415792474</v>
      </c>
      <c r="F151" s="741">
        <v>808</v>
      </c>
      <c r="G151" s="741">
        <v>1701.6</v>
      </c>
      <c r="H151" s="1235">
        <f t="shared" si="6"/>
        <v>0.81807692307692303</v>
      </c>
      <c r="J151" s="552"/>
      <c r="K151" s="550"/>
      <c r="L151" s="662"/>
      <c r="M151" s="922"/>
      <c r="N151" s="922"/>
      <c r="O151" s="1310"/>
    </row>
    <row r="152" spans="2:15" ht="13" x14ac:dyDescent="0.3">
      <c r="B152" s="579">
        <f t="shared" si="7"/>
        <v>87</v>
      </c>
      <c r="C152" s="1079" t="s">
        <v>521</v>
      </c>
      <c r="D152" t="s">
        <v>1272</v>
      </c>
      <c r="E152" s="537">
        <v>74788.59270061311</v>
      </c>
      <c r="F152" s="741">
        <v>1231</v>
      </c>
      <c r="G152" s="741">
        <v>2080</v>
      </c>
      <c r="H152" s="1235">
        <f t="shared" si="6"/>
        <v>1</v>
      </c>
      <c r="J152" s="552"/>
      <c r="K152" s="550"/>
      <c r="L152" s="662"/>
      <c r="M152" s="922"/>
      <c r="N152" s="922"/>
      <c r="O152" s="1310"/>
    </row>
    <row r="153" spans="2:15" ht="13" x14ac:dyDescent="0.3">
      <c r="B153" s="579">
        <f t="shared" si="7"/>
        <v>88</v>
      </c>
      <c r="C153" s="1079" t="s">
        <v>521</v>
      </c>
      <c r="D153" t="s">
        <v>1272</v>
      </c>
      <c r="E153" s="537">
        <v>77051.467227030094</v>
      </c>
      <c r="F153" s="741">
        <v>1239</v>
      </c>
      <c r="G153" s="741">
        <v>2080</v>
      </c>
      <c r="H153" s="1235">
        <f t="shared" si="6"/>
        <v>1</v>
      </c>
      <c r="J153" s="552"/>
      <c r="K153" s="550"/>
      <c r="L153" s="662"/>
      <c r="M153" s="922"/>
      <c r="N153" s="922"/>
      <c r="O153" s="1310"/>
    </row>
    <row r="154" spans="2:15" ht="13" x14ac:dyDescent="0.3">
      <c r="B154" s="579">
        <f t="shared" si="7"/>
        <v>89</v>
      </c>
      <c r="C154" s="1079" t="s">
        <v>521</v>
      </c>
      <c r="D154" t="s">
        <v>1272</v>
      </c>
      <c r="E154" s="537">
        <v>84171.737233185442</v>
      </c>
      <c r="F154" s="741">
        <v>1605</v>
      </c>
      <c r="G154" s="741">
        <v>2085</v>
      </c>
      <c r="H154" s="1235">
        <f t="shared" si="6"/>
        <v>1.0024038461538463</v>
      </c>
      <c r="J154" s="552"/>
      <c r="K154" s="550"/>
      <c r="L154" s="662"/>
      <c r="M154" s="922"/>
      <c r="N154" s="922"/>
      <c r="O154" s="1310"/>
    </row>
    <row r="155" spans="2:15" ht="13" x14ac:dyDescent="0.3">
      <c r="B155" s="579">
        <f t="shared" si="7"/>
        <v>90</v>
      </c>
      <c r="C155" s="1079" t="s">
        <v>521</v>
      </c>
      <c r="D155" t="s">
        <v>1272</v>
      </c>
      <c r="E155" s="537">
        <v>48854.565628957716</v>
      </c>
      <c r="F155" s="741">
        <v>475</v>
      </c>
      <c r="G155" s="741">
        <v>1520</v>
      </c>
      <c r="H155" s="1235">
        <f t="shared" si="6"/>
        <v>0.73076923076923073</v>
      </c>
      <c r="J155" s="552"/>
      <c r="K155" s="550"/>
      <c r="L155" s="662"/>
      <c r="M155" s="922"/>
      <c r="N155" s="922"/>
      <c r="O155" s="1310"/>
    </row>
    <row r="156" spans="2:15" ht="13" x14ac:dyDescent="0.3">
      <c r="B156" s="579">
        <f t="shared" si="7"/>
        <v>91</v>
      </c>
      <c r="C156" s="1079" t="s">
        <v>521</v>
      </c>
      <c r="D156" t="s">
        <v>1272</v>
      </c>
      <c r="E156" s="537">
        <v>44366.73101682862</v>
      </c>
      <c r="F156" s="741">
        <v>1223</v>
      </c>
      <c r="G156" s="741">
        <v>1202</v>
      </c>
      <c r="H156" s="1235">
        <f t="shared" si="6"/>
        <v>0.57788461538461533</v>
      </c>
      <c r="J156" s="552"/>
      <c r="K156" s="550"/>
      <c r="L156" s="662"/>
      <c r="M156" s="922"/>
      <c r="N156" s="922"/>
      <c r="O156" s="1310"/>
    </row>
    <row r="157" spans="2:15" ht="13" x14ac:dyDescent="0.3">
      <c r="B157" s="579">
        <f t="shared" si="7"/>
        <v>92</v>
      </c>
      <c r="C157" s="1079" t="s">
        <v>521</v>
      </c>
      <c r="D157" t="s">
        <v>1272</v>
      </c>
      <c r="E157" s="537">
        <v>77575.523944217144</v>
      </c>
      <c r="F157" s="741">
        <v>1283</v>
      </c>
      <c r="G157" s="741">
        <v>2080</v>
      </c>
      <c r="H157" s="1235">
        <f t="shared" si="6"/>
        <v>1</v>
      </c>
      <c r="J157" s="552"/>
      <c r="K157" s="550"/>
      <c r="L157" s="662"/>
      <c r="M157" s="922"/>
      <c r="N157" s="922"/>
      <c r="O157" s="1310"/>
    </row>
    <row r="158" spans="2:15" ht="13" x14ac:dyDescent="0.3">
      <c r="B158" s="579">
        <f t="shared" si="7"/>
        <v>93</v>
      </c>
      <c r="C158" s="1079" t="s">
        <v>521</v>
      </c>
      <c r="D158" t="s">
        <v>1272</v>
      </c>
      <c r="E158" s="537">
        <v>6020.9410977135312</v>
      </c>
      <c r="F158" s="741">
        <v>0</v>
      </c>
      <c r="G158" s="741">
        <v>192</v>
      </c>
      <c r="H158" s="1235">
        <f t="shared" si="6"/>
        <v>9.2307692307692313E-2</v>
      </c>
      <c r="J158" s="552"/>
      <c r="K158" s="550"/>
      <c r="L158" s="662"/>
      <c r="M158" s="922"/>
      <c r="N158" s="922"/>
      <c r="O158" s="1310"/>
    </row>
    <row r="159" spans="2:15" ht="13" x14ac:dyDescent="0.3">
      <c r="B159" s="579">
        <f t="shared" si="7"/>
        <v>94</v>
      </c>
      <c r="C159" s="1079" t="s">
        <v>521</v>
      </c>
      <c r="D159" t="s">
        <v>1272</v>
      </c>
      <c r="E159" s="537">
        <v>73523.755366511017</v>
      </c>
      <c r="F159" s="741">
        <v>1144</v>
      </c>
      <c r="G159" s="741">
        <v>2098</v>
      </c>
      <c r="H159" s="1235">
        <f t="shared" si="6"/>
        <v>1.0086538461538461</v>
      </c>
      <c r="J159" s="552"/>
      <c r="K159" s="550"/>
      <c r="L159" s="662"/>
      <c r="M159" s="922"/>
      <c r="N159" s="922"/>
      <c r="O159" s="1310"/>
    </row>
    <row r="160" spans="2:15" ht="13" x14ac:dyDescent="0.3">
      <c r="B160" s="579">
        <f t="shared" si="7"/>
        <v>95</v>
      </c>
      <c r="C160" s="1079" t="s">
        <v>521</v>
      </c>
      <c r="D160" t="s">
        <v>1272</v>
      </c>
      <c r="E160" s="537">
        <v>69728.88360672837</v>
      </c>
      <c r="F160" s="741">
        <v>1096</v>
      </c>
      <c r="G160" s="741">
        <v>2080</v>
      </c>
      <c r="H160" s="1235">
        <f t="shared" si="6"/>
        <v>1</v>
      </c>
      <c r="J160" s="552"/>
      <c r="K160" s="550"/>
      <c r="L160" s="662"/>
      <c r="M160" s="922"/>
      <c r="N160" s="922"/>
      <c r="O160" s="1310"/>
    </row>
    <row r="161" spans="2:15" ht="13" x14ac:dyDescent="0.3">
      <c r="B161" s="579">
        <f t="shared" si="7"/>
        <v>96</v>
      </c>
      <c r="C161" s="1079" t="s">
        <v>521</v>
      </c>
      <c r="D161" t="s">
        <v>1272</v>
      </c>
      <c r="E161" s="537">
        <v>45469.347708873967</v>
      </c>
      <c r="F161" s="741">
        <v>939</v>
      </c>
      <c r="G161" s="741">
        <v>1320</v>
      </c>
      <c r="H161" s="1235">
        <f t="shared" si="6"/>
        <v>0.63461538461538458</v>
      </c>
      <c r="J161" s="552"/>
      <c r="K161" s="550"/>
      <c r="L161" s="662"/>
      <c r="M161" s="922"/>
      <c r="N161" s="922"/>
      <c r="O161" s="1310"/>
    </row>
    <row r="162" spans="2:15" ht="13" x14ac:dyDescent="0.3">
      <c r="B162" s="579">
        <f t="shared" si="7"/>
        <v>97</v>
      </c>
      <c r="C162" s="1079" t="s">
        <v>521</v>
      </c>
      <c r="D162" t="s">
        <v>1272</v>
      </c>
      <c r="E162" s="537">
        <v>69080.780513033591</v>
      </c>
      <c r="F162" s="741">
        <v>1195</v>
      </c>
      <c r="G162" s="741">
        <v>2088</v>
      </c>
      <c r="H162" s="1235">
        <f t="shared" ref="H162:H193" si="8">+G162/2080</f>
        <v>1.0038461538461538</v>
      </c>
      <c r="J162" s="552"/>
      <c r="K162" s="550"/>
      <c r="L162" s="662"/>
      <c r="M162" s="922"/>
      <c r="N162" s="922"/>
      <c r="O162" s="1310"/>
    </row>
    <row r="163" spans="2:15" ht="13" x14ac:dyDescent="0.3">
      <c r="B163" s="579">
        <f t="shared" si="7"/>
        <v>98</v>
      </c>
      <c r="C163" s="1079" t="s">
        <v>521</v>
      </c>
      <c r="D163" t="s">
        <v>1272</v>
      </c>
      <c r="E163" s="537">
        <v>65976.09347841877</v>
      </c>
      <c r="F163" s="741">
        <v>1142</v>
      </c>
      <c r="G163" s="741">
        <v>1697.6</v>
      </c>
      <c r="H163" s="1235">
        <f t="shared" si="8"/>
        <v>0.81615384615384612</v>
      </c>
      <c r="J163" s="552"/>
      <c r="K163" s="550"/>
      <c r="L163" s="662"/>
      <c r="M163" s="922"/>
      <c r="N163" s="922"/>
      <c r="O163" s="1310"/>
    </row>
    <row r="164" spans="2:15" ht="13" x14ac:dyDescent="0.3">
      <c r="B164" s="579">
        <f t="shared" si="7"/>
        <v>99</v>
      </c>
      <c r="C164" s="1079" t="s">
        <v>521</v>
      </c>
      <c r="D164" t="s">
        <v>1272</v>
      </c>
      <c r="E164" s="537">
        <v>72250.573657609595</v>
      </c>
      <c r="F164" s="741">
        <v>1403</v>
      </c>
      <c r="G164" s="741">
        <v>2000</v>
      </c>
      <c r="H164" s="1235">
        <f t="shared" si="8"/>
        <v>0.96153846153846156</v>
      </c>
      <c r="J164" s="552"/>
      <c r="K164" s="550"/>
      <c r="L164" s="662"/>
      <c r="M164" s="922"/>
      <c r="N164" s="922"/>
      <c r="O164" s="1310"/>
    </row>
    <row r="165" spans="2:15" ht="13" x14ac:dyDescent="0.3">
      <c r="B165" s="579">
        <f t="shared" si="7"/>
        <v>100</v>
      </c>
      <c r="C165" s="1079" t="s">
        <v>521</v>
      </c>
      <c r="D165" t="s">
        <v>1272</v>
      </c>
      <c r="E165" s="537">
        <v>71569.35288956156</v>
      </c>
      <c r="F165" s="741">
        <v>1167</v>
      </c>
      <c r="G165" s="741">
        <v>2080</v>
      </c>
      <c r="H165" s="1235">
        <f t="shared" si="8"/>
        <v>1</v>
      </c>
      <c r="J165" s="552"/>
      <c r="K165" s="550"/>
      <c r="L165" s="662"/>
      <c r="M165" s="922"/>
      <c r="N165" s="922"/>
      <c r="O165" s="1310"/>
    </row>
    <row r="166" spans="2:15" ht="13" x14ac:dyDescent="0.3">
      <c r="B166" s="579">
        <f t="shared" si="7"/>
        <v>101</v>
      </c>
      <c r="C166" s="1079" t="s">
        <v>521</v>
      </c>
      <c r="D166" t="s">
        <v>1272</v>
      </c>
      <c r="E166" s="537">
        <v>82172.155213160804</v>
      </c>
      <c r="F166" s="741">
        <v>1109</v>
      </c>
      <c r="G166" s="741">
        <v>2021.75</v>
      </c>
      <c r="H166" s="1235">
        <f t="shared" si="8"/>
        <v>0.97199519230769227</v>
      </c>
      <c r="J166" s="552"/>
      <c r="K166" s="550"/>
      <c r="L166" s="662"/>
      <c r="M166" s="922"/>
      <c r="N166" s="922"/>
      <c r="O166" s="1310"/>
    </row>
    <row r="167" spans="2:15" ht="13" x14ac:dyDescent="0.3">
      <c r="B167" s="579">
        <f t="shared" si="7"/>
        <v>102</v>
      </c>
      <c r="C167" s="1079" t="s">
        <v>521</v>
      </c>
      <c r="D167" t="s">
        <v>1272</v>
      </c>
      <c r="E167" s="537">
        <v>64740.116688532748</v>
      </c>
      <c r="F167" s="741">
        <v>972</v>
      </c>
      <c r="G167" s="741">
        <v>2000.05</v>
      </c>
      <c r="H167" s="1235">
        <f t="shared" si="8"/>
        <v>0.96156249999999999</v>
      </c>
      <c r="J167" s="552"/>
      <c r="K167" s="550"/>
      <c r="L167" s="662"/>
      <c r="M167" s="922"/>
      <c r="N167" s="922"/>
      <c r="O167" s="1310"/>
    </row>
    <row r="168" spans="2:15" ht="13" x14ac:dyDescent="0.3">
      <c r="B168" s="579">
        <f t="shared" si="7"/>
        <v>103</v>
      </c>
      <c r="C168" s="1079" t="s">
        <v>521</v>
      </c>
      <c r="D168" t="s">
        <v>1272</v>
      </c>
      <c r="E168" s="537">
        <v>60662.695404108264</v>
      </c>
      <c r="F168" s="741">
        <v>660</v>
      </c>
      <c r="G168" s="741">
        <v>1756</v>
      </c>
      <c r="H168" s="1235">
        <f t="shared" si="8"/>
        <v>0.84423076923076923</v>
      </c>
      <c r="J168" s="552"/>
      <c r="K168" s="550"/>
      <c r="L168" s="662"/>
      <c r="M168" s="922"/>
      <c r="N168" s="922"/>
      <c r="O168" s="1310"/>
    </row>
    <row r="169" spans="2:15" ht="13" x14ac:dyDescent="0.3">
      <c r="B169" s="579">
        <f t="shared" si="7"/>
        <v>104</v>
      </c>
      <c r="C169" s="1079" t="s">
        <v>521</v>
      </c>
      <c r="D169" t="s">
        <v>1272</v>
      </c>
      <c r="E169" s="537">
        <v>23484.388448682072</v>
      </c>
      <c r="F169" s="741">
        <v>29</v>
      </c>
      <c r="G169" s="741">
        <v>480</v>
      </c>
      <c r="H169" s="1235">
        <f t="shared" si="8"/>
        <v>0.23076923076923078</v>
      </c>
      <c r="J169" s="552"/>
      <c r="K169" s="550"/>
      <c r="L169" s="662"/>
      <c r="M169" s="922"/>
      <c r="N169" s="922"/>
      <c r="O169" s="1310"/>
    </row>
    <row r="170" spans="2:15" ht="13" x14ac:dyDescent="0.3">
      <c r="B170" s="579">
        <f t="shared" si="7"/>
        <v>105</v>
      </c>
      <c r="C170" s="1079" t="s">
        <v>521</v>
      </c>
      <c r="D170" t="s">
        <v>1272</v>
      </c>
      <c r="E170" s="537">
        <v>81132.126328742015</v>
      </c>
      <c r="F170" s="741">
        <v>993</v>
      </c>
      <c r="G170" s="741">
        <v>1548.5</v>
      </c>
      <c r="H170" s="1235">
        <f t="shared" si="8"/>
        <v>0.74447115384615381</v>
      </c>
      <c r="J170" s="552"/>
      <c r="K170" s="550"/>
      <c r="L170" s="662"/>
      <c r="M170" s="922"/>
      <c r="N170" s="922"/>
      <c r="O170" s="1310"/>
    </row>
    <row r="171" spans="2:15" ht="13" x14ac:dyDescent="0.3">
      <c r="B171" s="579">
        <f t="shared" si="7"/>
        <v>106</v>
      </c>
      <c r="C171" s="1079" t="s">
        <v>521</v>
      </c>
      <c r="D171" t="s">
        <v>1272</v>
      </c>
      <c r="E171" s="537">
        <v>81287.801383381331</v>
      </c>
      <c r="F171" s="741">
        <v>1138</v>
      </c>
      <c r="G171" s="741">
        <v>2082.5</v>
      </c>
      <c r="H171" s="1235">
        <f t="shared" si="8"/>
        <v>1.0012019230769231</v>
      </c>
      <c r="J171" s="552"/>
      <c r="K171" s="550"/>
      <c r="L171" s="662"/>
      <c r="M171" s="922"/>
      <c r="N171" s="922"/>
      <c r="O171" s="1310"/>
    </row>
    <row r="172" spans="2:15" ht="13" x14ac:dyDescent="0.3">
      <c r="B172" s="579">
        <f t="shared" si="7"/>
        <v>107</v>
      </c>
      <c r="C172" s="1079" t="s">
        <v>521</v>
      </c>
      <c r="D172" t="s">
        <v>1272</v>
      </c>
      <c r="E172" s="537">
        <v>71889.117326482126</v>
      </c>
      <c r="F172" s="741">
        <v>1049</v>
      </c>
      <c r="G172" s="741">
        <v>2080</v>
      </c>
      <c r="H172" s="1235">
        <f t="shared" si="8"/>
        <v>1</v>
      </c>
      <c r="J172" s="552"/>
      <c r="K172" s="550"/>
      <c r="L172" s="662"/>
      <c r="M172" s="922"/>
      <c r="N172" s="922"/>
      <c r="O172" s="1310"/>
    </row>
    <row r="173" spans="2:15" ht="13" x14ac:dyDescent="0.3">
      <c r="B173" s="579">
        <f t="shared" si="7"/>
        <v>108</v>
      </c>
      <c r="C173" s="1079" t="s">
        <v>521</v>
      </c>
      <c r="D173" t="s">
        <v>1272</v>
      </c>
      <c r="E173" s="537">
        <v>59310.307090824303</v>
      </c>
      <c r="F173" s="741">
        <v>0</v>
      </c>
      <c r="G173" s="741">
        <v>1512</v>
      </c>
      <c r="H173" s="1235">
        <f t="shared" si="8"/>
        <v>0.72692307692307689</v>
      </c>
      <c r="J173" s="552"/>
      <c r="K173" s="550"/>
      <c r="L173" s="662"/>
      <c r="M173" s="922"/>
      <c r="N173" s="922"/>
      <c r="O173" s="1310"/>
    </row>
    <row r="174" spans="2:15" ht="13" x14ac:dyDescent="0.3">
      <c r="B174" s="579">
        <f t="shared" si="7"/>
        <v>109</v>
      </c>
      <c r="C174" s="1079" t="s">
        <v>521</v>
      </c>
      <c r="D174" t="s">
        <v>1272</v>
      </c>
      <c r="E174" s="537">
        <v>15629.933379345319</v>
      </c>
      <c r="F174" s="741">
        <v>0</v>
      </c>
      <c r="G174" s="741">
        <v>247.99999999999994</v>
      </c>
      <c r="H174" s="1235">
        <f t="shared" si="8"/>
        <v>0.11923076923076921</v>
      </c>
      <c r="J174" s="552"/>
      <c r="K174" s="550"/>
      <c r="L174" s="662"/>
      <c r="M174" s="922"/>
      <c r="N174" s="922"/>
      <c r="O174" s="1310"/>
    </row>
    <row r="175" spans="2:15" ht="13" x14ac:dyDescent="0.3">
      <c r="B175" s="579">
        <f t="shared" si="7"/>
        <v>110</v>
      </c>
      <c r="C175" s="1079" t="s">
        <v>521</v>
      </c>
      <c r="D175" t="s">
        <v>1272</v>
      </c>
      <c r="E175" s="537">
        <v>77561.083678845869</v>
      </c>
      <c r="F175" s="741">
        <v>1702</v>
      </c>
      <c r="G175" s="741">
        <v>2080</v>
      </c>
      <c r="H175" s="1235">
        <f t="shared" si="8"/>
        <v>1</v>
      </c>
      <c r="J175" s="552"/>
      <c r="K175" s="550"/>
      <c r="L175" s="662"/>
      <c r="M175" s="922"/>
      <c r="N175" s="922"/>
      <c r="O175" s="1310"/>
    </row>
    <row r="176" spans="2:15" ht="13" x14ac:dyDescent="0.3">
      <c r="B176" s="579">
        <f t="shared" si="7"/>
        <v>111</v>
      </c>
      <c r="C176" s="1079" t="s">
        <v>521</v>
      </c>
      <c r="D176" t="s">
        <v>1272</v>
      </c>
      <c r="E176" s="537">
        <v>68276.792506171594</v>
      </c>
      <c r="F176" s="741">
        <v>891</v>
      </c>
      <c r="G176" s="741">
        <v>2080</v>
      </c>
      <c r="H176" s="1235">
        <f t="shared" si="8"/>
        <v>1</v>
      </c>
      <c r="J176" s="552"/>
      <c r="K176" s="550"/>
      <c r="L176" s="662"/>
      <c r="M176" s="922"/>
      <c r="N176" s="922"/>
      <c r="O176" s="1310"/>
    </row>
    <row r="177" spans="2:15" ht="13" x14ac:dyDescent="0.3">
      <c r="B177" s="579">
        <f t="shared" si="7"/>
        <v>112</v>
      </c>
      <c r="C177" s="1079" t="s">
        <v>521</v>
      </c>
      <c r="D177" t="s">
        <v>1272</v>
      </c>
      <c r="E177" s="537">
        <v>30029.546155794371</v>
      </c>
      <c r="F177" s="741">
        <v>138</v>
      </c>
      <c r="G177" s="741">
        <v>765.7</v>
      </c>
      <c r="H177" s="1235">
        <f t="shared" si="8"/>
        <v>0.36812500000000004</v>
      </c>
      <c r="J177" s="552"/>
      <c r="K177" s="550"/>
      <c r="L177" s="662"/>
      <c r="M177" s="922"/>
      <c r="N177" s="922"/>
      <c r="O177" s="1310"/>
    </row>
    <row r="178" spans="2:15" ht="13" x14ac:dyDescent="0.3">
      <c r="B178" s="579">
        <f t="shared" si="7"/>
        <v>113</v>
      </c>
      <c r="C178" s="1079" t="s">
        <v>521</v>
      </c>
      <c r="D178" t="s">
        <v>1272</v>
      </c>
      <c r="E178" s="537">
        <v>77773.080765064777</v>
      </c>
      <c r="F178" s="741">
        <v>1195</v>
      </c>
      <c r="G178" s="741">
        <v>2106.5</v>
      </c>
      <c r="H178" s="1235">
        <f t="shared" si="8"/>
        <v>1.0127403846153846</v>
      </c>
      <c r="J178" s="552"/>
      <c r="K178" s="550"/>
      <c r="L178" s="662"/>
      <c r="M178" s="922"/>
      <c r="N178" s="922"/>
      <c r="O178" s="1310"/>
    </row>
    <row r="179" spans="2:15" ht="13" x14ac:dyDescent="0.3">
      <c r="B179" s="579">
        <f t="shared" si="7"/>
        <v>114</v>
      </c>
      <c r="C179" s="1079" t="s">
        <v>521</v>
      </c>
      <c r="D179" t="s">
        <v>1272</v>
      </c>
      <c r="E179" s="537">
        <v>86008.818799782777</v>
      </c>
      <c r="F179" s="741">
        <v>1657</v>
      </c>
      <c r="G179" s="741">
        <v>2080</v>
      </c>
      <c r="H179" s="1235">
        <f t="shared" si="8"/>
        <v>1</v>
      </c>
      <c r="J179" s="552"/>
      <c r="K179" s="550"/>
      <c r="L179" s="662"/>
      <c r="M179" s="922"/>
      <c r="N179" s="922"/>
      <c r="O179" s="1310"/>
    </row>
    <row r="180" spans="2:15" ht="13" x14ac:dyDescent="0.3">
      <c r="B180" s="579">
        <f t="shared" si="7"/>
        <v>115</v>
      </c>
      <c r="C180" s="1079" t="s">
        <v>521</v>
      </c>
      <c r="D180" t="s">
        <v>1272</v>
      </c>
      <c r="E180" s="537">
        <v>50592.733876077567</v>
      </c>
      <c r="F180" s="741">
        <v>348</v>
      </c>
      <c r="G180" s="741">
        <v>1612</v>
      </c>
      <c r="H180" s="1235">
        <f t="shared" si="8"/>
        <v>0.77500000000000002</v>
      </c>
      <c r="J180" s="552"/>
      <c r="K180" s="550"/>
      <c r="L180" s="662"/>
      <c r="M180" s="922"/>
      <c r="N180" s="922"/>
      <c r="O180" s="1310"/>
    </row>
    <row r="181" spans="2:15" ht="13" x14ac:dyDescent="0.3">
      <c r="B181" s="579">
        <f t="shared" si="7"/>
        <v>116</v>
      </c>
      <c r="C181" s="1079" t="s">
        <v>521</v>
      </c>
      <c r="D181" t="s">
        <v>1272</v>
      </c>
      <c r="E181" s="537">
        <v>66977.29853517843</v>
      </c>
      <c r="F181" s="741">
        <v>764</v>
      </c>
      <c r="G181" s="741">
        <v>2028</v>
      </c>
      <c r="H181" s="1235">
        <f t="shared" si="8"/>
        <v>0.97499999999999998</v>
      </c>
      <c r="J181" s="552"/>
      <c r="K181" s="550"/>
      <c r="L181" s="662"/>
      <c r="M181" s="922"/>
      <c r="N181" s="922"/>
      <c r="O181" s="1310"/>
    </row>
    <row r="182" spans="2:15" ht="13" x14ac:dyDescent="0.3">
      <c r="B182" s="579">
        <f t="shared" si="7"/>
        <v>117</v>
      </c>
      <c r="C182" s="1079" t="s">
        <v>521</v>
      </c>
      <c r="D182" t="s">
        <v>1272</v>
      </c>
      <c r="E182" s="537">
        <v>73009.392114659713</v>
      </c>
      <c r="F182" s="741">
        <v>824</v>
      </c>
      <c r="G182" s="741">
        <v>2136</v>
      </c>
      <c r="H182" s="1235">
        <f t="shared" si="8"/>
        <v>1.0269230769230768</v>
      </c>
      <c r="J182" s="552"/>
      <c r="K182" s="550"/>
      <c r="L182" s="662"/>
      <c r="M182" s="922"/>
      <c r="N182" s="922"/>
      <c r="O182" s="1310"/>
    </row>
    <row r="183" spans="2:15" ht="13" x14ac:dyDescent="0.3">
      <c r="B183" s="579">
        <f t="shared" si="7"/>
        <v>118</v>
      </c>
      <c r="C183" s="1079" t="s">
        <v>521</v>
      </c>
      <c r="D183" t="s">
        <v>1272</v>
      </c>
      <c r="E183" s="537">
        <v>19851.077775582824</v>
      </c>
      <c r="F183" s="741">
        <v>12</v>
      </c>
      <c r="G183" s="741">
        <v>449</v>
      </c>
      <c r="H183" s="1235">
        <f t="shared" si="8"/>
        <v>0.21586538461538463</v>
      </c>
      <c r="J183" s="552"/>
      <c r="K183" s="550"/>
      <c r="L183" s="662"/>
      <c r="M183" s="922"/>
      <c r="N183" s="922"/>
      <c r="O183" s="1310"/>
    </row>
    <row r="184" spans="2:15" ht="13" x14ac:dyDescent="0.3">
      <c r="B184" s="579">
        <f t="shared" si="7"/>
        <v>119</v>
      </c>
      <c r="C184" s="1079" t="s">
        <v>521</v>
      </c>
      <c r="D184" t="s">
        <v>1272</v>
      </c>
      <c r="E184" s="537">
        <v>54227.25373402796</v>
      </c>
      <c r="F184" s="741">
        <v>702</v>
      </c>
      <c r="G184" s="741">
        <v>1600</v>
      </c>
      <c r="H184" s="1235">
        <f t="shared" si="8"/>
        <v>0.76923076923076927</v>
      </c>
      <c r="J184" s="552"/>
      <c r="K184" s="550"/>
      <c r="L184" s="662"/>
      <c r="M184" s="922"/>
      <c r="N184" s="922"/>
      <c r="O184" s="1310"/>
    </row>
    <row r="185" spans="2:15" ht="13" x14ac:dyDescent="0.3">
      <c r="B185" s="579">
        <f t="shared" si="7"/>
        <v>120</v>
      </c>
      <c r="C185" s="1079" t="s">
        <v>521</v>
      </c>
      <c r="D185" t="s">
        <v>1272</v>
      </c>
      <c r="E185" s="537">
        <v>73038.9521873021</v>
      </c>
      <c r="F185" s="741">
        <v>1026</v>
      </c>
      <c r="G185" s="741">
        <v>2080</v>
      </c>
      <c r="H185" s="1235">
        <f t="shared" si="8"/>
        <v>1</v>
      </c>
      <c r="J185" s="552"/>
      <c r="K185" s="550"/>
      <c r="L185" s="662"/>
      <c r="M185" s="922"/>
      <c r="N185" s="922"/>
      <c r="O185" s="1310"/>
    </row>
    <row r="186" spans="2:15" ht="13" x14ac:dyDescent="0.3">
      <c r="B186" s="579">
        <f t="shared" si="7"/>
        <v>121</v>
      </c>
      <c r="C186" s="1079" t="s">
        <v>521</v>
      </c>
      <c r="D186" t="s">
        <v>1272</v>
      </c>
      <c r="E186" s="537">
        <v>64340.70594364743</v>
      </c>
      <c r="F186" s="741">
        <v>835</v>
      </c>
      <c r="G186" s="741">
        <v>1752</v>
      </c>
      <c r="H186" s="1235">
        <f t="shared" si="8"/>
        <v>0.84230769230769231</v>
      </c>
      <c r="J186" s="552"/>
      <c r="K186" s="550"/>
      <c r="L186" s="662"/>
      <c r="M186" s="922"/>
      <c r="N186" s="922"/>
      <c r="O186" s="1310"/>
    </row>
    <row r="187" spans="2:15" ht="13" x14ac:dyDescent="0.3">
      <c r="B187" s="579">
        <f t="shared" si="7"/>
        <v>122</v>
      </c>
      <c r="C187" s="1079" t="s">
        <v>521</v>
      </c>
      <c r="D187" t="s">
        <v>1272</v>
      </c>
      <c r="E187" s="537">
        <v>57228.240676076879</v>
      </c>
      <c r="F187" s="741">
        <v>698</v>
      </c>
      <c r="G187" s="741">
        <v>1774</v>
      </c>
      <c r="H187" s="1235">
        <f t="shared" si="8"/>
        <v>0.85288461538461535</v>
      </c>
      <c r="J187" s="552"/>
      <c r="K187" s="550"/>
      <c r="L187" s="662"/>
      <c r="M187" s="922"/>
      <c r="N187" s="922"/>
      <c r="O187" s="1310"/>
    </row>
    <row r="188" spans="2:15" ht="13" x14ac:dyDescent="0.3">
      <c r="B188" s="579">
        <f t="shared" si="7"/>
        <v>123</v>
      </c>
      <c r="C188" s="1079" t="s">
        <v>521</v>
      </c>
      <c r="D188" t="s">
        <v>1272</v>
      </c>
      <c r="E188" s="537">
        <v>33708.386136181885</v>
      </c>
      <c r="F188" s="741">
        <v>103</v>
      </c>
      <c r="G188" s="741">
        <v>1060</v>
      </c>
      <c r="H188" s="1235">
        <f t="shared" si="8"/>
        <v>0.50961538461538458</v>
      </c>
      <c r="J188" s="552"/>
      <c r="K188" s="550"/>
      <c r="L188" s="662"/>
      <c r="M188" s="922"/>
      <c r="N188" s="922"/>
      <c r="O188" s="1310"/>
    </row>
    <row r="189" spans="2:15" ht="13" x14ac:dyDescent="0.3">
      <c r="B189" s="579">
        <f t="shared" si="7"/>
        <v>124</v>
      </c>
      <c r="C189" s="1079" t="s">
        <v>521</v>
      </c>
      <c r="D189" t="s">
        <v>1272</v>
      </c>
      <c r="E189" s="537">
        <v>69813.806357680092</v>
      </c>
      <c r="F189" s="741">
        <v>874</v>
      </c>
      <c r="G189" s="741">
        <v>2080</v>
      </c>
      <c r="H189" s="1235">
        <f t="shared" si="8"/>
        <v>1</v>
      </c>
      <c r="J189" s="552"/>
      <c r="K189" s="550"/>
      <c r="L189" s="662"/>
      <c r="M189" s="922"/>
      <c r="N189" s="922"/>
      <c r="O189" s="1310"/>
    </row>
    <row r="190" spans="2:15" ht="13" x14ac:dyDescent="0.3">
      <c r="B190" s="579">
        <f t="shared" si="7"/>
        <v>125</v>
      </c>
      <c r="C190" s="1079" t="s">
        <v>521</v>
      </c>
      <c r="D190" t="s">
        <v>1272</v>
      </c>
      <c r="E190" s="537">
        <v>55663.915236153414</v>
      </c>
      <c r="F190" s="741">
        <v>617</v>
      </c>
      <c r="G190" s="741">
        <v>1671.2</v>
      </c>
      <c r="H190" s="1235">
        <f t="shared" si="8"/>
        <v>0.80346153846153845</v>
      </c>
      <c r="J190" s="552"/>
      <c r="K190" s="550"/>
      <c r="L190" s="662"/>
      <c r="M190" s="922"/>
      <c r="N190" s="922"/>
      <c r="O190" s="1310"/>
    </row>
    <row r="191" spans="2:15" ht="13" x14ac:dyDescent="0.3">
      <c r="B191" s="579">
        <f t="shared" si="7"/>
        <v>126</v>
      </c>
      <c r="C191" s="1079" t="s">
        <v>521</v>
      </c>
      <c r="D191" t="s">
        <v>1272</v>
      </c>
      <c r="E191" s="537">
        <v>74434.771222595431</v>
      </c>
      <c r="F191" s="741">
        <v>1007</v>
      </c>
      <c r="G191" s="741">
        <v>2084</v>
      </c>
      <c r="H191" s="1235">
        <f t="shared" si="8"/>
        <v>1.0019230769230769</v>
      </c>
      <c r="J191" s="552"/>
      <c r="K191" s="550"/>
      <c r="L191" s="662"/>
      <c r="M191" s="922"/>
      <c r="N191" s="922"/>
      <c r="O191" s="1310"/>
    </row>
    <row r="192" spans="2:15" ht="13" x14ac:dyDescent="0.3">
      <c r="B192" s="579">
        <f t="shared" si="7"/>
        <v>127</v>
      </c>
      <c r="C192" s="1079" t="s">
        <v>521</v>
      </c>
      <c r="D192" t="s">
        <v>1272</v>
      </c>
      <c r="E192" s="537">
        <v>70687.357469904964</v>
      </c>
      <c r="F192" s="741">
        <v>985</v>
      </c>
      <c r="G192" s="741">
        <v>2080</v>
      </c>
      <c r="H192" s="1235">
        <f t="shared" si="8"/>
        <v>1</v>
      </c>
      <c r="J192" s="552"/>
      <c r="K192" s="550"/>
      <c r="L192" s="662"/>
      <c r="M192" s="922"/>
      <c r="N192" s="922"/>
      <c r="O192" s="1310"/>
    </row>
    <row r="193" spans="2:15" ht="13" x14ac:dyDescent="0.3">
      <c r="B193" s="579">
        <f t="shared" si="7"/>
        <v>128</v>
      </c>
      <c r="C193" s="1079" t="s">
        <v>521</v>
      </c>
      <c r="D193" t="s">
        <v>1272</v>
      </c>
      <c r="E193" s="537">
        <v>70450.067434444078</v>
      </c>
      <c r="F193" s="741">
        <v>1027</v>
      </c>
      <c r="G193" s="741">
        <v>2089</v>
      </c>
      <c r="H193" s="1235">
        <f t="shared" si="8"/>
        <v>1.0043269230769232</v>
      </c>
      <c r="J193" s="552"/>
      <c r="K193" s="550"/>
      <c r="L193" s="662"/>
      <c r="M193" s="922"/>
      <c r="N193" s="922"/>
      <c r="O193" s="1310"/>
    </row>
    <row r="194" spans="2:15" ht="13" x14ac:dyDescent="0.3">
      <c r="B194" s="579">
        <f t="shared" si="7"/>
        <v>129</v>
      </c>
      <c r="C194" s="1079" t="s">
        <v>521</v>
      </c>
      <c r="D194" t="s">
        <v>1272</v>
      </c>
      <c r="E194" s="537">
        <v>73173.011813568985</v>
      </c>
      <c r="F194" s="741">
        <v>1208</v>
      </c>
      <c r="G194" s="741">
        <v>2080</v>
      </c>
      <c r="H194" s="1235">
        <f t="shared" ref="H194:H225" si="9">+G194/2080</f>
        <v>1</v>
      </c>
      <c r="J194" s="552"/>
      <c r="K194" s="550"/>
      <c r="L194" s="662"/>
      <c r="M194" s="922"/>
      <c r="N194" s="922"/>
      <c r="O194" s="1310"/>
    </row>
    <row r="195" spans="2:15" ht="13" x14ac:dyDescent="0.3">
      <c r="B195" s="579">
        <f t="shared" si="7"/>
        <v>130</v>
      </c>
      <c r="C195" s="1079" t="s">
        <v>521</v>
      </c>
      <c r="D195" t="s">
        <v>1272</v>
      </c>
      <c r="E195" s="537">
        <v>71214.082388375187</v>
      </c>
      <c r="F195" s="741">
        <v>885</v>
      </c>
      <c r="G195" s="741">
        <v>2080</v>
      </c>
      <c r="H195" s="1235">
        <f t="shared" si="9"/>
        <v>1</v>
      </c>
      <c r="J195" s="552"/>
      <c r="K195" s="550"/>
      <c r="L195" s="662"/>
      <c r="M195" s="922"/>
      <c r="N195" s="922"/>
      <c r="O195" s="1310"/>
    </row>
    <row r="196" spans="2:15" ht="13" x14ac:dyDescent="0.3">
      <c r="B196" s="579">
        <f t="shared" ref="B196:B259" si="10">+B195+1</f>
        <v>131</v>
      </c>
      <c r="C196" s="1079" t="s">
        <v>521</v>
      </c>
      <c r="D196" t="s">
        <v>1272</v>
      </c>
      <c r="E196" s="537">
        <v>34054.642713932386</v>
      </c>
      <c r="F196" s="741">
        <v>247</v>
      </c>
      <c r="G196" s="741">
        <v>800</v>
      </c>
      <c r="H196" s="1235">
        <f t="shared" si="9"/>
        <v>0.38461538461538464</v>
      </c>
      <c r="J196" s="552"/>
      <c r="K196" s="550"/>
      <c r="L196" s="662"/>
      <c r="M196" s="922"/>
      <c r="N196" s="922"/>
      <c r="O196" s="1310"/>
    </row>
    <row r="197" spans="2:15" ht="13" x14ac:dyDescent="0.3">
      <c r="B197" s="579">
        <f t="shared" si="10"/>
        <v>132</v>
      </c>
      <c r="C197" s="1079" t="s">
        <v>521</v>
      </c>
      <c r="D197" t="s">
        <v>1272</v>
      </c>
      <c r="E197" s="537">
        <v>82961.203291489946</v>
      </c>
      <c r="F197" s="741">
        <v>935</v>
      </c>
      <c r="G197" s="741">
        <v>2096</v>
      </c>
      <c r="H197" s="1235">
        <f t="shared" si="9"/>
        <v>1.0076923076923077</v>
      </c>
      <c r="J197" s="552"/>
      <c r="K197" s="550"/>
      <c r="L197" s="662"/>
      <c r="M197" s="922"/>
      <c r="N197" s="922"/>
      <c r="O197" s="1310"/>
    </row>
    <row r="198" spans="2:15" ht="13" x14ac:dyDescent="0.3">
      <c r="B198" s="579">
        <f t="shared" si="10"/>
        <v>133</v>
      </c>
      <c r="C198" s="1079" t="s">
        <v>521</v>
      </c>
      <c r="D198" t="s">
        <v>1272</v>
      </c>
      <c r="E198" s="537">
        <v>81449.802173646982</v>
      </c>
      <c r="F198" s="741">
        <v>1501</v>
      </c>
      <c r="G198" s="741">
        <v>2085</v>
      </c>
      <c r="H198" s="1235">
        <f t="shared" si="9"/>
        <v>1.0024038461538463</v>
      </c>
      <c r="J198" s="552"/>
      <c r="K198" s="550"/>
      <c r="L198" s="662"/>
      <c r="M198" s="922"/>
      <c r="N198" s="922"/>
      <c r="O198" s="1310"/>
    </row>
    <row r="199" spans="2:15" ht="13" x14ac:dyDescent="0.3">
      <c r="B199" s="579">
        <f t="shared" si="10"/>
        <v>134</v>
      </c>
      <c r="C199" s="1079" t="s">
        <v>521</v>
      </c>
      <c r="D199" t="s">
        <v>1272</v>
      </c>
      <c r="E199" s="537">
        <v>72404.349992234696</v>
      </c>
      <c r="F199" s="741">
        <v>1006</v>
      </c>
      <c r="G199" s="741">
        <v>2041.6000000000004</v>
      </c>
      <c r="H199" s="1235">
        <f t="shared" si="9"/>
        <v>0.98153846153846169</v>
      </c>
      <c r="J199" s="552"/>
      <c r="K199" s="550"/>
      <c r="L199" s="662"/>
      <c r="M199" s="922"/>
      <c r="N199" s="922"/>
      <c r="O199" s="1310"/>
    </row>
    <row r="200" spans="2:15" ht="13" x14ac:dyDescent="0.3">
      <c r="B200" s="579">
        <f t="shared" si="10"/>
        <v>135</v>
      </c>
      <c r="C200" s="1079" t="s">
        <v>521</v>
      </c>
      <c r="D200" t="s">
        <v>1272</v>
      </c>
      <c r="E200" s="537">
        <v>76896.18190965688</v>
      </c>
      <c r="F200" s="741">
        <v>1222</v>
      </c>
      <c r="G200" s="741">
        <v>2084</v>
      </c>
      <c r="H200" s="1235">
        <f t="shared" si="9"/>
        <v>1.0019230769230769</v>
      </c>
      <c r="J200" s="552"/>
      <c r="K200" s="550"/>
      <c r="L200" s="662"/>
      <c r="M200" s="922"/>
      <c r="N200" s="922"/>
      <c r="O200" s="1310"/>
    </row>
    <row r="201" spans="2:15" ht="13" x14ac:dyDescent="0.3">
      <c r="B201" s="579">
        <f t="shared" si="10"/>
        <v>136</v>
      </c>
      <c r="C201" s="1079" t="s">
        <v>521</v>
      </c>
      <c r="D201" t="s">
        <v>1272</v>
      </c>
      <c r="E201" s="537">
        <v>74947.955269385304</v>
      </c>
      <c r="F201" s="741">
        <v>1332</v>
      </c>
      <c r="G201" s="741">
        <v>2080</v>
      </c>
      <c r="H201" s="1235">
        <f t="shared" si="9"/>
        <v>1</v>
      </c>
      <c r="J201" s="552"/>
      <c r="K201" s="550"/>
      <c r="L201" s="662"/>
      <c r="M201" s="922"/>
      <c r="N201" s="922"/>
      <c r="O201" s="1310"/>
    </row>
    <row r="202" spans="2:15" ht="13" x14ac:dyDescent="0.3">
      <c r="B202" s="579">
        <f t="shared" si="10"/>
        <v>137</v>
      </c>
      <c r="C202" s="1079" t="s">
        <v>521</v>
      </c>
      <c r="D202" t="s">
        <v>1272</v>
      </c>
      <c r="E202" s="537">
        <v>58248.662778033104</v>
      </c>
      <c r="F202" s="741">
        <v>0</v>
      </c>
      <c r="G202" s="741">
        <v>1584</v>
      </c>
      <c r="H202" s="1235">
        <f t="shared" si="9"/>
        <v>0.7615384615384615</v>
      </c>
      <c r="J202" s="552"/>
      <c r="K202" s="550"/>
      <c r="L202" s="662"/>
      <c r="M202" s="922"/>
      <c r="N202" s="922"/>
      <c r="O202" s="1310"/>
    </row>
    <row r="203" spans="2:15" ht="13" x14ac:dyDescent="0.3">
      <c r="B203" s="579">
        <f t="shared" si="10"/>
        <v>138</v>
      </c>
      <c r="C203" s="1079" t="s">
        <v>521</v>
      </c>
      <c r="D203" t="s">
        <v>1272</v>
      </c>
      <c r="E203" s="537">
        <v>79893.361418414162</v>
      </c>
      <c r="F203" s="741">
        <v>1281</v>
      </c>
      <c r="G203" s="741">
        <v>2080</v>
      </c>
      <c r="H203" s="1235">
        <f t="shared" si="9"/>
        <v>1</v>
      </c>
      <c r="J203" s="552"/>
      <c r="K203" s="550"/>
      <c r="L203" s="662"/>
      <c r="M203" s="922"/>
      <c r="N203" s="922"/>
      <c r="O203" s="1310"/>
    </row>
    <row r="204" spans="2:15" ht="13" x14ac:dyDescent="0.3">
      <c r="B204" s="579">
        <f t="shared" si="10"/>
        <v>139</v>
      </c>
      <c r="C204" s="1079" t="s">
        <v>521</v>
      </c>
      <c r="D204" t="s">
        <v>1272</v>
      </c>
      <c r="E204" s="537">
        <v>68317.984737216902</v>
      </c>
      <c r="F204" s="741">
        <v>843</v>
      </c>
      <c r="G204" s="741">
        <v>1760</v>
      </c>
      <c r="H204" s="1235">
        <f t="shared" si="9"/>
        <v>0.84615384615384615</v>
      </c>
      <c r="J204" s="552"/>
      <c r="K204" s="550"/>
      <c r="L204" s="662"/>
      <c r="M204" s="922"/>
      <c r="N204" s="922"/>
      <c r="O204" s="1310"/>
    </row>
    <row r="205" spans="2:15" ht="13" x14ac:dyDescent="0.3">
      <c r="B205" s="579">
        <f t="shared" si="10"/>
        <v>140</v>
      </c>
      <c r="C205" s="1079" t="s">
        <v>521</v>
      </c>
      <c r="D205" t="s">
        <v>1272</v>
      </c>
      <c r="E205" s="537">
        <v>51357.168547064444</v>
      </c>
      <c r="F205" s="741">
        <v>0</v>
      </c>
      <c r="G205" s="741">
        <v>1584</v>
      </c>
      <c r="H205" s="1235">
        <f t="shared" si="9"/>
        <v>0.7615384615384615</v>
      </c>
      <c r="J205" s="552"/>
      <c r="K205" s="550"/>
      <c r="L205" s="662"/>
      <c r="M205" s="922"/>
      <c r="N205" s="922"/>
      <c r="O205" s="1310"/>
    </row>
    <row r="206" spans="2:15" ht="13" x14ac:dyDescent="0.3">
      <c r="B206" s="579">
        <f t="shared" si="10"/>
        <v>141</v>
      </c>
      <c r="C206" s="1079" t="s">
        <v>521</v>
      </c>
      <c r="D206" t="s">
        <v>1272</v>
      </c>
      <c r="E206" s="537">
        <v>87043.331402897078</v>
      </c>
      <c r="F206" s="741">
        <v>1429</v>
      </c>
      <c r="G206" s="741">
        <v>2081</v>
      </c>
      <c r="H206" s="1235">
        <f t="shared" si="9"/>
        <v>1.0004807692307693</v>
      </c>
      <c r="J206" s="552"/>
      <c r="K206" s="550"/>
      <c r="L206" s="662"/>
      <c r="M206" s="922"/>
      <c r="N206" s="922"/>
      <c r="O206" s="1310"/>
    </row>
    <row r="207" spans="2:15" ht="13" x14ac:dyDescent="0.3">
      <c r="B207" s="579">
        <f t="shared" si="10"/>
        <v>142</v>
      </c>
      <c r="C207" s="1079" t="s">
        <v>521</v>
      </c>
      <c r="D207" t="s">
        <v>1272</v>
      </c>
      <c r="E207" s="537">
        <v>67852.768353944091</v>
      </c>
      <c r="F207" s="741">
        <v>959</v>
      </c>
      <c r="G207" s="741">
        <v>2082.9999999999995</v>
      </c>
      <c r="H207" s="1235">
        <f t="shared" si="9"/>
        <v>1.0014423076923076</v>
      </c>
      <c r="J207" s="552"/>
      <c r="K207" s="550"/>
      <c r="L207" s="662"/>
      <c r="M207" s="922"/>
      <c r="N207" s="922"/>
      <c r="O207" s="1310"/>
    </row>
    <row r="208" spans="2:15" ht="13" x14ac:dyDescent="0.3">
      <c r="B208" s="579">
        <f t="shared" si="10"/>
        <v>143</v>
      </c>
      <c r="C208" s="1079" t="s">
        <v>521</v>
      </c>
      <c r="D208" t="s">
        <v>1272</v>
      </c>
      <c r="E208" s="537">
        <v>65781.774474858525</v>
      </c>
      <c r="F208" s="741">
        <v>938</v>
      </c>
      <c r="G208" s="741">
        <v>2046</v>
      </c>
      <c r="H208" s="1235">
        <f t="shared" si="9"/>
        <v>0.9836538461538461</v>
      </c>
      <c r="J208" s="552"/>
      <c r="K208" s="550"/>
      <c r="L208" s="662"/>
      <c r="M208" s="922"/>
      <c r="N208" s="922"/>
      <c r="O208" s="1310"/>
    </row>
    <row r="209" spans="2:15" ht="13" x14ac:dyDescent="0.3">
      <c r="B209" s="579">
        <f t="shared" si="10"/>
        <v>144</v>
      </c>
      <c r="C209" s="1079" t="s">
        <v>521</v>
      </c>
      <c r="D209" t="s">
        <v>1272</v>
      </c>
      <c r="E209" s="537">
        <v>27538.625362406696</v>
      </c>
      <c r="F209" s="741">
        <v>152</v>
      </c>
      <c r="G209" s="741">
        <v>640</v>
      </c>
      <c r="H209" s="1235">
        <f t="shared" si="9"/>
        <v>0.30769230769230771</v>
      </c>
      <c r="J209" s="552"/>
      <c r="K209" s="550"/>
      <c r="L209" s="662"/>
      <c r="M209" s="922"/>
      <c r="N209" s="922"/>
      <c r="O209" s="1310"/>
    </row>
    <row r="210" spans="2:15" ht="13" x14ac:dyDescent="0.3">
      <c r="B210" s="579">
        <f t="shared" si="10"/>
        <v>145</v>
      </c>
      <c r="C210" s="1079" t="s">
        <v>521</v>
      </c>
      <c r="D210" t="s">
        <v>1272</v>
      </c>
      <c r="E210" s="537">
        <v>82265.662177229402</v>
      </c>
      <c r="F210" s="741">
        <v>1350</v>
      </c>
      <c r="G210" s="741">
        <v>2080</v>
      </c>
      <c r="H210" s="1235">
        <f t="shared" si="9"/>
        <v>1</v>
      </c>
      <c r="J210" s="552"/>
      <c r="K210" s="550"/>
      <c r="L210" s="662"/>
      <c r="M210" s="922"/>
      <c r="N210" s="922"/>
      <c r="O210" s="1310"/>
    </row>
    <row r="211" spans="2:15" ht="13" x14ac:dyDescent="0.3">
      <c r="B211" s="579">
        <f t="shared" si="10"/>
        <v>146</v>
      </c>
      <c r="C211" s="1079" t="s">
        <v>521</v>
      </c>
      <c r="D211" t="s">
        <v>1272</v>
      </c>
      <c r="E211" s="537">
        <v>75016.429109055854</v>
      </c>
      <c r="F211" s="741">
        <v>1114</v>
      </c>
      <c r="G211" s="741">
        <v>2164</v>
      </c>
      <c r="H211" s="1235">
        <f t="shared" si="9"/>
        <v>1.0403846153846155</v>
      </c>
      <c r="J211" s="552"/>
      <c r="K211" s="550"/>
      <c r="L211" s="662"/>
      <c r="M211" s="922"/>
      <c r="N211" s="922"/>
      <c r="O211" s="1310"/>
    </row>
    <row r="212" spans="2:15" ht="13" x14ac:dyDescent="0.3">
      <c r="B212" s="579">
        <f t="shared" si="10"/>
        <v>147</v>
      </c>
      <c r="C212" s="1079" t="s">
        <v>521</v>
      </c>
      <c r="D212" t="s">
        <v>1272</v>
      </c>
      <c r="E212" s="537">
        <v>66894.544322348316</v>
      </c>
      <c r="F212" s="741">
        <v>1069</v>
      </c>
      <c r="G212" s="741">
        <v>2080</v>
      </c>
      <c r="H212" s="1235">
        <f t="shared" si="9"/>
        <v>1</v>
      </c>
      <c r="J212" s="552"/>
      <c r="K212" s="550"/>
      <c r="L212" s="662"/>
      <c r="M212" s="922"/>
      <c r="N212" s="922"/>
      <c r="O212" s="1310"/>
    </row>
    <row r="213" spans="2:15" ht="13" x14ac:dyDescent="0.3">
      <c r="B213" s="579">
        <f t="shared" si="10"/>
        <v>148</v>
      </c>
      <c r="C213" s="1079" t="s">
        <v>521</v>
      </c>
      <c r="D213" t="s">
        <v>1272</v>
      </c>
      <c r="E213" s="537">
        <v>68275.913099007128</v>
      </c>
      <c r="F213" s="741">
        <v>1067</v>
      </c>
      <c r="G213" s="741">
        <v>2012</v>
      </c>
      <c r="H213" s="1235">
        <f t="shared" si="9"/>
        <v>0.96730769230769231</v>
      </c>
      <c r="J213" s="552"/>
      <c r="K213" s="550"/>
      <c r="L213" s="662"/>
      <c r="M213" s="922"/>
      <c r="N213" s="922"/>
      <c r="O213" s="1310"/>
    </row>
    <row r="214" spans="2:15" ht="13" x14ac:dyDescent="0.3">
      <c r="B214" s="579">
        <f t="shared" si="10"/>
        <v>149</v>
      </c>
      <c r="C214" s="1079" t="s">
        <v>521</v>
      </c>
      <c r="D214" t="s">
        <v>1272</v>
      </c>
      <c r="E214" s="537">
        <v>72170.417693219992</v>
      </c>
      <c r="F214" s="741">
        <v>969</v>
      </c>
      <c r="G214" s="741">
        <v>2097</v>
      </c>
      <c r="H214" s="1235">
        <f t="shared" si="9"/>
        <v>1.008173076923077</v>
      </c>
      <c r="J214" s="552"/>
      <c r="K214" s="550"/>
      <c r="L214" s="662"/>
      <c r="M214" s="922"/>
      <c r="N214" s="922"/>
      <c r="O214" s="1310"/>
    </row>
    <row r="215" spans="2:15" ht="13" x14ac:dyDescent="0.3">
      <c r="B215" s="579">
        <f t="shared" si="10"/>
        <v>150</v>
      </c>
      <c r="C215" s="1079" t="s">
        <v>521</v>
      </c>
      <c r="D215" t="s">
        <v>1272</v>
      </c>
      <c r="E215" s="537">
        <v>72666.073556299641</v>
      </c>
      <c r="F215" s="741">
        <v>1007</v>
      </c>
      <c r="G215" s="741">
        <v>2081.5</v>
      </c>
      <c r="H215" s="1235">
        <f t="shared" si="9"/>
        <v>1.0007211538461538</v>
      </c>
      <c r="J215" s="552"/>
      <c r="K215" s="550"/>
      <c r="L215" s="662"/>
      <c r="M215" s="922"/>
      <c r="N215" s="922"/>
      <c r="O215" s="1310"/>
    </row>
    <row r="216" spans="2:15" ht="13" x14ac:dyDescent="0.3">
      <c r="B216" s="579">
        <f t="shared" si="10"/>
        <v>151</v>
      </c>
      <c r="C216" s="1079" t="s">
        <v>521</v>
      </c>
      <c r="D216" t="s">
        <v>1272</v>
      </c>
      <c r="E216" s="537">
        <v>23234.476921758222</v>
      </c>
      <c r="F216" s="741">
        <v>64</v>
      </c>
      <c r="G216" s="741">
        <v>480</v>
      </c>
      <c r="H216" s="1235">
        <f t="shared" si="9"/>
        <v>0.23076923076923078</v>
      </c>
      <c r="J216" s="552"/>
      <c r="K216" s="550"/>
      <c r="L216" s="662"/>
      <c r="M216" s="922"/>
      <c r="N216" s="922"/>
      <c r="O216" s="1310"/>
    </row>
    <row r="217" spans="2:15" ht="13" x14ac:dyDescent="0.3">
      <c r="B217" s="579">
        <f t="shared" si="10"/>
        <v>152</v>
      </c>
      <c r="C217" s="1079" t="s">
        <v>521</v>
      </c>
      <c r="D217" t="s">
        <v>1272</v>
      </c>
      <c r="E217" s="537">
        <v>82733.476808942694</v>
      </c>
      <c r="F217" s="741">
        <v>1603</v>
      </c>
      <c r="G217" s="741">
        <v>2022</v>
      </c>
      <c r="H217" s="1235">
        <f t="shared" si="9"/>
        <v>0.9721153846153846</v>
      </c>
      <c r="J217" s="552"/>
      <c r="K217" s="550"/>
      <c r="L217" s="662"/>
      <c r="M217" s="922"/>
      <c r="N217" s="922"/>
      <c r="O217" s="1310"/>
    </row>
    <row r="218" spans="2:15" ht="13" x14ac:dyDescent="0.3">
      <c r="B218" s="579">
        <f t="shared" si="10"/>
        <v>153</v>
      </c>
      <c r="C218" s="1079" t="s">
        <v>521</v>
      </c>
      <c r="D218" t="s">
        <v>1272</v>
      </c>
      <c r="E218" s="537">
        <v>14606.113567889965</v>
      </c>
      <c r="F218" s="741">
        <v>18</v>
      </c>
      <c r="G218" s="741">
        <v>452.50000000000006</v>
      </c>
      <c r="H218" s="1235">
        <f t="shared" si="9"/>
        <v>0.21754807692307696</v>
      </c>
      <c r="J218" s="552"/>
      <c r="K218" s="550"/>
      <c r="L218" s="662"/>
      <c r="M218" s="922"/>
      <c r="N218" s="922"/>
      <c r="O218" s="1310"/>
    </row>
    <row r="219" spans="2:15" ht="13" x14ac:dyDescent="0.3">
      <c r="B219" s="579">
        <f t="shared" si="10"/>
        <v>154</v>
      </c>
      <c r="C219" s="1079" t="s">
        <v>521</v>
      </c>
      <c r="D219" t="s">
        <v>1272</v>
      </c>
      <c r="E219" s="537">
        <v>71879.993477150681</v>
      </c>
      <c r="F219" s="741">
        <v>1001</v>
      </c>
      <c r="G219" s="741">
        <v>2044</v>
      </c>
      <c r="H219" s="1235">
        <f t="shared" si="9"/>
        <v>0.98269230769230764</v>
      </c>
      <c r="J219" s="552"/>
      <c r="K219" s="550"/>
      <c r="L219" s="662"/>
      <c r="M219" s="922"/>
      <c r="N219" s="922"/>
      <c r="O219" s="1310"/>
    </row>
    <row r="220" spans="2:15" ht="13" x14ac:dyDescent="0.3">
      <c r="B220" s="579">
        <f t="shared" si="10"/>
        <v>155</v>
      </c>
      <c r="C220" s="1079" t="s">
        <v>521</v>
      </c>
      <c r="D220" t="s">
        <v>1272</v>
      </c>
      <c r="E220" s="537">
        <v>26058.21335384839</v>
      </c>
      <c r="F220" s="741">
        <v>78</v>
      </c>
      <c r="G220" s="741">
        <v>748.00000000000011</v>
      </c>
      <c r="H220" s="1235">
        <f t="shared" si="9"/>
        <v>0.35961538461538467</v>
      </c>
      <c r="J220" s="552"/>
      <c r="K220" s="550"/>
      <c r="L220" s="662"/>
      <c r="M220" s="922"/>
      <c r="N220" s="922"/>
      <c r="O220" s="1310"/>
    </row>
    <row r="221" spans="2:15" ht="13" x14ac:dyDescent="0.3">
      <c r="B221" s="579">
        <f t="shared" si="10"/>
        <v>156</v>
      </c>
      <c r="C221" s="1079" t="s">
        <v>521</v>
      </c>
      <c r="D221" t="s">
        <v>1272</v>
      </c>
      <c r="E221" s="537">
        <v>38627.490016382231</v>
      </c>
      <c r="F221" s="741">
        <v>346</v>
      </c>
      <c r="G221" s="741">
        <v>1160</v>
      </c>
      <c r="H221" s="1235">
        <f t="shared" si="9"/>
        <v>0.55769230769230771</v>
      </c>
      <c r="J221" s="552"/>
      <c r="K221" s="550"/>
      <c r="L221" s="662"/>
      <c r="M221" s="922"/>
      <c r="N221" s="922"/>
      <c r="O221" s="1310"/>
    </row>
    <row r="222" spans="2:15" ht="13" x14ac:dyDescent="0.3">
      <c r="B222" s="579">
        <f t="shared" si="10"/>
        <v>157</v>
      </c>
      <c r="C222" s="1079" t="s">
        <v>521</v>
      </c>
      <c r="D222" t="s">
        <v>1272</v>
      </c>
      <c r="E222" s="537">
        <v>68777.075250128022</v>
      </c>
      <c r="F222" s="741">
        <v>887</v>
      </c>
      <c r="G222" s="741">
        <v>2080</v>
      </c>
      <c r="H222" s="1235">
        <f t="shared" si="9"/>
        <v>1</v>
      </c>
      <c r="J222" s="552"/>
      <c r="K222" s="550"/>
      <c r="L222" s="662"/>
      <c r="M222" s="922"/>
      <c r="N222" s="922"/>
      <c r="O222" s="1310"/>
    </row>
    <row r="223" spans="2:15" ht="13" x14ac:dyDescent="0.3">
      <c r="B223" s="579">
        <f t="shared" si="10"/>
        <v>158</v>
      </c>
      <c r="C223" s="1079" t="s">
        <v>521</v>
      </c>
      <c r="D223" t="s">
        <v>1272</v>
      </c>
      <c r="E223" s="537">
        <v>72516.714244023402</v>
      </c>
      <c r="F223" s="741">
        <v>1199</v>
      </c>
      <c r="G223" s="741">
        <v>2080</v>
      </c>
      <c r="H223" s="1235">
        <f t="shared" si="9"/>
        <v>1</v>
      </c>
      <c r="J223" s="552"/>
      <c r="K223" s="550"/>
      <c r="L223" s="662"/>
      <c r="M223" s="922"/>
      <c r="N223" s="922"/>
      <c r="O223" s="1310"/>
    </row>
    <row r="224" spans="2:15" ht="13" x14ac:dyDescent="0.3">
      <c r="B224" s="579">
        <f t="shared" si="10"/>
        <v>159</v>
      </c>
      <c r="C224" s="1079" t="s">
        <v>521</v>
      </c>
      <c r="D224" t="s">
        <v>1272</v>
      </c>
      <c r="E224" s="537">
        <v>22868.693507650987</v>
      </c>
      <c r="F224" s="741">
        <v>167</v>
      </c>
      <c r="G224" s="741">
        <v>640</v>
      </c>
      <c r="H224" s="1235">
        <f t="shared" si="9"/>
        <v>0.30769230769230771</v>
      </c>
      <c r="J224" s="552"/>
      <c r="K224" s="550"/>
      <c r="L224" s="662"/>
      <c r="M224" s="922"/>
      <c r="N224" s="922"/>
      <c r="O224" s="1310"/>
    </row>
    <row r="225" spans="2:15" ht="13" x14ac:dyDescent="0.3">
      <c r="B225" s="579">
        <f t="shared" si="10"/>
        <v>160</v>
      </c>
      <c r="C225" s="1079" t="s">
        <v>521</v>
      </c>
      <c r="D225" t="s">
        <v>1272</v>
      </c>
      <c r="E225" s="537">
        <v>48959.165115214593</v>
      </c>
      <c r="F225" s="741">
        <v>692</v>
      </c>
      <c r="G225" s="741">
        <v>1504</v>
      </c>
      <c r="H225" s="1235">
        <f t="shared" si="9"/>
        <v>0.72307692307692306</v>
      </c>
      <c r="J225" s="552"/>
      <c r="K225" s="550"/>
      <c r="L225" s="662"/>
      <c r="M225" s="922"/>
      <c r="N225" s="922"/>
      <c r="O225" s="1310"/>
    </row>
    <row r="226" spans="2:15" ht="13" x14ac:dyDescent="0.3">
      <c r="B226" s="579">
        <f t="shared" si="10"/>
        <v>161</v>
      </c>
      <c r="C226" s="1079" t="s">
        <v>521</v>
      </c>
      <c r="D226" t="s">
        <v>1272</v>
      </c>
      <c r="E226" s="537">
        <v>21797.675513947503</v>
      </c>
      <c r="F226" s="741">
        <v>56</v>
      </c>
      <c r="G226" s="741">
        <v>480</v>
      </c>
      <c r="H226" s="1235">
        <f t="shared" ref="H226:H255" si="11">+G226/2080</f>
        <v>0.23076923076923078</v>
      </c>
      <c r="J226" s="552"/>
      <c r="K226" s="550"/>
      <c r="L226" s="662"/>
      <c r="M226" s="922"/>
      <c r="N226" s="922"/>
      <c r="O226" s="1310"/>
    </row>
    <row r="227" spans="2:15" ht="13" x14ac:dyDescent="0.3">
      <c r="B227" s="579">
        <f t="shared" si="10"/>
        <v>162</v>
      </c>
      <c r="C227" s="1079" t="s">
        <v>521</v>
      </c>
      <c r="D227" t="s">
        <v>1272</v>
      </c>
      <c r="E227" s="537">
        <v>59719.940943996698</v>
      </c>
      <c r="F227" s="741">
        <v>599</v>
      </c>
      <c r="G227" s="741">
        <v>1665.9999999999995</v>
      </c>
      <c r="H227" s="1235">
        <f t="shared" si="11"/>
        <v>0.80096153846153828</v>
      </c>
      <c r="J227" s="552"/>
      <c r="K227" s="550"/>
      <c r="L227" s="662"/>
      <c r="M227" s="922"/>
      <c r="N227" s="922"/>
      <c r="O227" s="1310"/>
    </row>
    <row r="228" spans="2:15" ht="13" x14ac:dyDescent="0.3">
      <c r="B228" s="579">
        <f t="shared" si="10"/>
        <v>163</v>
      </c>
      <c r="C228" s="1079" t="s">
        <v>521</v>
      </c>
      <c r="D228" t="s">
        <v>1272</v>
      </c>
      <c r="E228" s="537">
        <v>71053.04095137991</v>
      </c>
      <c r="F228" s="741">
        <v>1338</v>
      </c>
      <c r="G228" s="741">
        <v>1984</v>
      </c>
      <c r="H228" s="1235">
        <f t="shared" si="11"/>
        <v>0.9538461538461539</v>
      </c>
      <c r="J228" s="552"/>
      <c r="K228" s="550"/>
      <c r="L228" s="662"/>
      <c r="M228" s="922"/>
      <c r="N228" s="922"/>
      <c r="O228" s="1310"/>
    </row>
    <row r="229" spans="2:15" ht="13" x14ac:dyDescent="0.3">
      <c r="B229" s="579">
        <f t="shared" si="10"/>
        <v>164</v>
      </c>
      <c r="C229" s="1079" t="s">
        <v>521</v>
      </c>
      <c r="D229" t="s">
        <v>1272</v>
      </c>
      <c r="E229" s="537">
        <v>70462.069343586554</v>
      </c>
      <c r="F229" s="741">
        <v>1192</v>
      </c>
      <c r="G229" s="741">
        <v>2080</v>
      </c>
      <c r="H229" s="1235">
        <f t="shared" si="11"/>
        <v>1</v>
      </c>
      <c r="J229" s="552"/>
      <c r="K229" s="550"/>
      <c r="L229" s="662"/>
      <c r="M229" s="922"/>
      <c r="N229" s="922"/>
      <c r="O229" s="1310"/>
    </row>
    <row r="230" spans="2:15" ht="13" x14ac:dyDescent="0.3">
      <c r="B230" s="579">
        <f t="shared" si="10"/>
        <v>165</v>
      </c>
      <c r="C230" s="1079" t="s">
        <v>521</v>
      </c>
      <c r="D230" t="s">
        <v>1272</v>
      </c>
      <c r="E230" s="537">
        <v>67464.150333350088</v>
      </c>
      <c r="F230" s="741">
        <v>0</v>
      </c>
      <c r="G230" s="741">
        <v>2080</v>
      </c>
      <c r="H230" s="1235">
        <f t="shared" si="11"/>
        <v>1</v>
      </c>
      <c r="J230" s="552"/>
      <c r="K230" s="550"/>
      <c r="L230" s="662"/>
      <c r="M230" s="922"/>
      <c r="N230" s="922"/>
      <c r="O230" s="1310"/>
    </row>
    <row r="231" spans="2:15" ht="13" x14ac:dyDescent="0.3">
      <c r="B231" s="579">
        <f t="shared" si="10"/>
        <v>166</v>
      </c>
      <c r="C231" s="1079" t="s">
        <v>521</v>
      </c>
      <c r="D231" t="s">
        <v>1272</v>
      </c>
      <c r="E231" s="537">
        <v>55575.804634230539</v>
      </c>
      <c r="F231" s="741">
        <v>489</v>
      </c>
      <c r="G231" s="741">
        <v>1755.9999999999998</v>
      </c>
      <c r="H231" s="1235">
        <f t="shared" si="11"/>
        <v>0.84423076923076912</v>
      </c>
      <c r="J231" s="552"/>
      <c r="K231" s="550"/>
      <c r="L231" s="662"/>
      <c r="M231" s="922"/>
      <c r="N231" s="922"/>
      <c r="O231" s="1310"/>
    </row>
    <row r="232" spans="2:15" ht="13" x14ac:dyDescent="0.3">
      <c r="B232" s="579">
        <f t="shared" si="10"/>
        <v>167</v>
      </c>
      <c r="C232" s="1079" t="s">
        <v>521</v>
      </c>
      <c r="D232" t="s">
        <v>1272</v>
      </c>
      <c r="E232" s="537">
        <v>55447.720979376776</v>
      </c>
      <c r="F232" s="741">
        <v>615</v>
      </c>
      <c r="G232" s="741">
        <v>1650</v>
      </c>
      <c r="H232" s="1235">
        <f t="shared" si="11"/>
        <v>0.79326923076923073</v>
      </c>
      <c r="J232" s="552"/>
      <c r="K232" s="550"/>
      <c r="L232" s="662"/>
      <c r="M232" s="922"/>
      <c r="N232" s="922"/>
      <c r="O232" s="1310"/>
    </row>
    <row r="233" spans="2:15" ht="13" x14ac:dyDescent="0.3">
      <c r="B233" s="579">
        <f t="shared" si="10"/>
        <v>168</v>
      </c>
      <c r="C233" s="1079" t="s">
        <v>521</v>
      </c>
      <c r="D233" t="s">
        <v>1272</v>
      </c>
      <c r="E233" s="537">
        <v>74755.664898261326</v>
      </c>
      <c r="F233" s="741">
        <v>722</v>
      </c>
      <c r="G233" s="741">
        <v>1804.5</v>
      </c>
      <c r="H233" s="1235">
        <f t="shared" si="11"/>
        <v>0.86754807692307689</v>
      </c>
      <c r="J233" s="552"/>
      <c r="K233" s="550"/>
      <c r="L233" s="662"/>
      <c r="M233" s="922"/>
      <c r="N233" s="922"/>
      <c r="O233" s="1310"/>
    </row>
    <row r="234" spans="2:15" ht="13" x14ac:dyDescent="0.3">
      <c r="B234" s="579">
        <f t="shared" si="10"/>
        <v>169</v>
      </c>
      <c r="C234" s="1079" t="s">
        <v>521</v>
      </c>
      <c r="D234" t="s">
        <v>1272</v>
      </c>
      <c r="E234" s="537">
        <v>52464.39213346006</v>
      </c>
      <c r="F234" s="741">
        <v>730</v>
      </c>
      <c r="G234" s="741">
        <v>1520</v>
      </c>
      <c r="H234" s="1235">
        <f t="shared" si="11"/>
        <v>0.73076923076923073</v>
      </c>
      <c r="J234" s="552"/>
      <c r="K234" s="550"/>
      <c r="L234" s="662"/>
      <c r="M234" s="922"/>
      <c r="N234" s="922"/>
      <c r="O234" s="1310"/>
    </row>
    <row r="235" spans="2:15" ht="13" x14ac:dyDescent="0.3">
      <c r="B235" s="579">
        <f t="shared" si="10"/>
        <v>170</v>
      </c>
      <c r="C235" s="1079" t="s">
        <v>521</v>
      </c>
      <c r="D235" t="s">
        <v>1272</v>
      </c>
      <c r="E235" s="537">
        <v>76877.554466991074</v>
      </c>
      <c r="F235" s="741">
        <v>1363</v>
      </c>
      <c r="G235" s="741">
        <v>2080</v>
      </c>
      <c r="H235" s="1235">
        <f t="shared" si="11"/>
        <v>1</v>
      </c>
      <c r="J235" s="552"/>
      <c r="K235" s="550"/>
      <c r="L235" s="662"/>
      <c r="M235" s="922"/>
      <c r="N235" s="922"/>
      <c r="O235" s="1310"/>
    </row>
    <row r="236" spans="2:15" ht="13" x14ac:dyDescent="0.3">
      <c r="B236" s="579">
        <f t="shared" si="10"/>
        <v>171</v>
      </c>
      <c r="C236" s="1079" t="s">
        <v>521</v>
      </c>
      <c r="D236" t="s">
        <v>1272</v>
      </c>
      <c r="E236" s="537">
        <v>50974.546484410072</v>
      </c>
      <c r="F236" s="741">
        <v>555</v>
      </c>
      <c r="G236" s="741">
        <v>1518.4</v>
      </c>
      <c r="H236" s="1235">
        <f t="shared" si="11"/>
        <v>0.73000000000000009</v>
      </c>
      <c r="J236" s="552"/>
      <c r="K236" s="550"/>
      <c r="L236" s="662"/>
      <c r="M236" s="922"/>
      <c r="N236" s="922"/>
      <c r="O236" s="1310"/>
    </row>
    <row r="237" spans="2:15" ht="13" x14ac:dyDescent="0.3">
      <c r="B237" s="579">
        <f t="shared" si="10"/>
        <v>172</v>
      </c>
      <c r="C237" s="1079" t="s">
        <v>521</v>
      </c>
      <c r="D237" t="s">
        <v>1272</v>
      </c>
      <c r="E237" s="537">
        <v>78205.789063041535</v>
      </c>
      <c r="F237" s="741">
        <v>1002</v>
      </c>
      <c r="G237" s="741">
        <v>2275</v>
      </c>
      <c r="H237" s="1235">
        <f t="shared" si="11"/>
        <v>1.09375</v>
      </c>
      <c r="J237" s="552"/>
      <c r="K237" s="550"/>
      <c r="L237" s="662"/>
      <c r="M237" s="922"/>
      <c r="N237" s="922"/>
      <c r="O237" s="1310"/>
    </row>
    <row r="238" spans="2:15" ht="13" x14ac:dyDescent="0.3">
      <c r="B238" s="579">
        <f t="shared" si="10"/>
        <v>173</v>
      </c>
      <c r="C238" s="1079" t="s">
        <v>521</v>
      </c>
      <c r="D238" t="s">
        <v>1272</v>
      </c>
      <c r="E238" s="537">
        <v>37971.292379468927</v>
      </c>
      <c r="F238" s="741">
        <v>407</v>
      </c>
      <c r="G238" s="741">
        <v>1107.72</v>
      </c>
      <c r="H238" s="1235">
        <f t="shared" si="11"/>
        <v>0.53255769230769234</v>
      </c>
      <c r="J238" s="552"/>
      <c r="K238" s="550"/>
      <c r="L238" s="662"/>
      <c r="M238" s="922"/>
      <c r="N238" s="922"/>
      <c r="O238" s="1310"/>
    </row>
    <row r="239" spans="2:15" ht="13" x14ac:dyDescent="0.3">
      <c r="B239" s="579">
        <f t="shared" si="10"/>
        <v>174</v>
      </c>
      <c r="C239" s="1079" t="s">
        <v>521</v>
      </c>
      <c r="D239" t="s">
        <v>1272</v>
      </c>
      <c r="E239" s="537">
        <v>77434.419067371186</v>
      </c>
      <c r="F239" s="741">
        <v>818</v>
      </c>
      <c r="G239" s="741">
        <v>2080</v>
      </c>
      <c r="H239" s="1235">
        <f t="shared" si="11"/>
        <v>1</v>
      </c>
      <c r="J239" s="552"/>
      <c r="K239" s="550"/>
      <c r="L239" s="662"/>
      <c r="M239" s="922"/>
      <c r="N239" s="922"/>
      <c r="O239" s="1310"/>
    </row>
    <row r="240" spans="2:15" ht="13" x14ac:dyDescent="0.3">
      <c r="B240" s="579">
        <f t="shared" si="10"/>
        <v>175</v>
      </c>
      <c r="C240" s="1079" t="s">
        <v>521</v>
      </c>
      <c r="D240" t="s">
        <v>1272</v>
      </c>
      <c r="E240" s="537">
        <v>70970.216785707104</v>
      </c>
      <c r="F240" s="741">
        <v>1211</v>
      </c>
      <c r="G240" s="741">
        <v>2080</v>
      </c>
      <c r="H240" s="1235">
        <f t="shared" si="11"/>
        <v>1</v>
      </c>
      <c r="J240" s="552"/>
      <c r="K240" s="550"/>
      <c r="L240" s="662"/>
      <c r="M240" s="922"/>
      <c r="N240" s="922"/>
      <c r="O240" s="1310"/>
    </row>
    <row r="241" spans="2:15" ht="13" x14ac:dyDescent="0.3">
      <c r="B241" s="579">
        <f t="shared" si="10"/>
        <v>176</v>
      </c>
      <c r="C241" s="1079" t="s">
        <v>521</v>
      </c>
      <c r="D241" t="s">
        <v>1272</v>
      </c>
      <c r="E241" s="537">
        <v>74048.851383074303</v>
      </c>
      <c r="F241" s="741">
        <v>999</v>
      </c>
      <c r="G241" s="741">
        <v>2080</v>
      </c>
      <c r="H241" s="1235">
        <f t="shared" si="11"/>
        <v>1</v>
      </c>
      <c r="J241" s="552"/>
      <c r="K241" s="550"/>
      <c r="L241" s="662"/>
      <c r="M241" s="922"/>
      <c r="N241" s="922"/>
      <c r="O241" s="1310"/>
    </row>
    <row r="242" spans="2:15" ht="13" x14ac:dyDescent="0.3">
      <c r="B242" s="579">
        <f t="shared" si="10"/>
        <v>177</v>
      </c>
      <c r="C242" s="1079" t="s">
        <v>521</v>
      </c>
      <c r="D242" t="s">
        <v>1272</v>
      </c>
      <c r="E242" s="537">
        <v>82111.755930182349</v>
      </c>
      <c r="F242" s="741">
        <v>1327</v>
      </c>
      <c r="G242" s="741">
        <v>2112</v>
      </c>
      <c r="H242" s="1235">
        <f t="shared" si="11"/>
        <v>1.0153846153846153</v>
      </c>
      <c r="J242" s="552"/>
      <c r="K242" s="550"/>
      <c r="L242" s="662"/>
      <c r="M242" s="922"/>
      <c r="N242" s="922"/>
      <c r="O242" s="1310"/>
    </row>
    <row r="243" spans="2:15" ht="13" x14ac:dyDescent="0.3">
      <c r="B243" s="579">
        <f t="shared" si="10"/>
        <v>178</v>
      </c>
      <c r="C243" s="1079" t="s">
        <v>521</v>
      </c>
      <c r="D243" t="s">
        <v>1272</v>
      </c>
      <c r="E243" s="537">
        <v>10867.673765582515</v>
      </c>
      <c r="F243" s="741">
        <v>13</v>
      </c>
      <c r="G243" s="741">
        <v>348</v>
      </c>
      <c r="H243" s="1235">
        <f t="shared" si="11"/>
        <v>0.1673076923076923</v>
      </c>
      <c r="J243" s="552"/>
      <c r="K243" s="550"/>
      <c r="L243" s="662"/>
      <c r="M243" s="922"/>
      <c r="N243" s="922"/>
      <c r="O243" s="1310"/>
    </row>
    <row r="244" spans="2:15" ht="13" x14ac:dyDescent="0.3">
      <c r="B244" s="579">
        <f t="shared" si="10"/>
        <v>179</v>
      </c>
      <c r="C244" s="1079" t="s">
        <v>521</v>
      </c>
      <c r="D244" t="s">
        <v>1272</v>
      </c>
      <c r="E244" s="537">
        <v>21547.993832077998</v>
      </c>
      <c r="F244" s="741">
        <v>1</v>
      </c>
      <c r="G244" s="741">
        <v>480</v>
      </c>
      <c r="H244" s="1235">
        <f t="shared" si="11"/>
        <v>0.23076923076923078</v>
      </c>
      <c r="J244" s="552"/>
      <c r="K244" s="550"/>
      <c r="L244" s="662"/>
      <c r="M244" s="922"/>
      <c r="N244" s="922"/>
      <c r="O244" s="1310"/>
    </row>
    <row r="245" spans="2:15" ht="13" x14ac:dyDescent="0.3">
      <c r="B245" s="579">
        <f t="shared" si="10"/>
        <v>180</v>
      </c>
      <c r="C245" s="1079" t="s">
        <v>521</v>
      </c>
      <c r="D245" t="s">
        <v>1272</v>
      </c>
      <c r="E245" s="537">
        <v>74302.89012771321</v>
      </c>
      <c r="F245" s="741">
        <v>1172</v>
      </c>
      <c r="G245" s="741">
        <v>2080</v>
      </c>
      <c r="H245" s="1235">
        <f t="shared" si="11"/>
        <v>1</v>
      </c>
      <c r="J245" s="552"/>
      <c r="K245" s="550"/>
      <c r="L245" s="662"/>
      <c r="M245" s="922"/>
      <c r="N245" s="922"/>
      <c r="O245" s="1310"/>
    </row>
    <row r="246" spans="2:15" ht="13" x14ac:dyDescent="0.3">
      <c r="B246" s="579">
        <f t="shared" si="10"/>
        <v>181</v>
      </c>
      <c r="C246" s="1079" t="s">
        <v>521</v>
      </c>
      <c r="D246" t="s">
        <v>1272</v>
      </c>
      <c r="E246" s="537">
        <v>76905.905354782357</v>
      </c>
      <c r="F246" s="741">
        <v>1292</v>
      </c>
      <c r="G246" s="741">
        <v>2101</v>
      </c>
      <c r="H246" s="1235">
        <f t="shared" si="11"/>
        <v>1.0100961538461539</v>
      </c>
      <c r="J246" s="552"/>
      <c r="K246" s="550"/>
      <c r="L246" s="662"/>
      <c r="M246" s="922"/>
      <c r="N246" s="922"/>
      <c r="O246" s="1310"/>
    </row>
    <row r="247" spans="2:15" ht="13" x14ac:dyDescent="0.3">
      <c r="B247" s="579">
        <f t="shared" si="10"/>
        <v>182</v>
      </c>
      <c r="C247" s="1079" t="s">
        <v>521</v>
      </c>
      <c r="D247" t="s">
        <v>1272</v>
      </c>
      <c r="E247" s="537">
        <v>39225.057177909162</v>
      </c>
      <c r="F247" s="741">
        <v>313</v>
      </c>
      <c r="G247" s="741">
        <v>1165.9999999999998</v>
      </c>
      <c r="H247" s="1235">
        <f t="shared" si="11"/>
        <v>0.56057692307692297</v>
      </c>
      <c r="J247" s="552"/>
      <c r="K247" s="550"/>
      <c r="L247" s="662"/>
      <c r="M247" s="922"/>
      <c r="N247" s="922"/>
      <c r="O247" s="1310"/>
    </row>
    <row r="248" spans="2:15" ht="13" x14ac:dyDescent="0.3">
      <c r="B248" s="579">
        <f t="shared" si="10"/>
        <v>183</v>
      </c>
      <c r="C248" s="1079" t="s">
        <v>521</v>
      </c>
      <c r="D248" t="s">
        <v>1272</v>
      </c>
      <c r="E248" s="537">
        <v>27607.109195340519</v>
      </c>
      <c r="F248" s="741">
        <v>194</v>
      </c>
      <c r="G248" s="741">
        <v>648</v>
      </c>
      <c r="H248" s="1235">
        <f t="shared" si="11"/>
        <v>0.31153846153846154</v>
      </c>
      <c r="J248" s="552"/>
      <c r="K248" s="550"/>
      <c r="L248" s="662"/>
      <c r="M248" s="922"/>
      <c r="N248" s="922"/>
      <c r="O248" s="1310"/>
    </row>
    <row r="249" spans="2:15" ht="13" x14ac:dyDescent="0.3">
      <c r="B249" s="579">
        <f t="shared" si="10"/>
        <v>184</v>
      </c>
      <c r="C249" s="1079" t="s">
        <v>521</v>
      </c>
      <c r="D249" t="s">
        <v>1272</v>
      </c>
      <c r="E249" s="537">
        <v>60280.143294296489</v>
      </c>
      <c r="F249" s="741">
        <v>735</v>
      </c>
      <c r="G249" s="741">
        <v>1806.8</v>
      </c>
      <c r="H249" s="1235">
        <f t="shared" si="11"/>
        <v>0.86865384615384611</v>
      </c>
      <c r="J249" s="552"/>
      <c r="K249" s="550"/>
      <c r="L249" s="662"/>
      <c r="M249" s="922"/>
      <c r="N249" s="922"/>
      <c r="O249" s="1310"/>
    </row>
    <row r="250" spans="2:15" ht="13" x14ac:dyDescent="0.3">
      <c r="B250" s="579">
        <f t="shared" si="10"/>
        <v>185</v>
      </c>
      <c r="C250" s="1079" t="s">
        <v>521</v>
      </c>
      <c r="D250" t="s">
        <v>1272</v>
      </c>
      <c r="E250" s="537">
        <v>67794.837406983992</v>
      </c>
      <c r="F250" s="741">
        <v>677</v>
      </c>
      <c r="G250" s="741">
        <v>2080</v>
      </c>
      <c r="H250" s="1235">
        <f t="shared" si="11"/>
        <v>1</v>
      </c>
      <c r="J250" s="552"/>
      <c r="K250" s="550"/>
      <c r="L250" s="662"/>
      <c r="M250" s="922"/>
      <c r="N250" s="922"/>
      <c r="O250" s="1310"/>
    </row>
    <row r="251" spans="2:15" ht="13" x14ac:dyDescent="0.3">
      <c r="B251" s="579">
        <f t="shared" si="10"/>
        <v>186</v>
      </c>
      <c r="C251" s="1079" t="s">
        <v>521</v>
      </c>
      <c r="D251" t="s">
        <v>1273</v>
      </c>
      <c r="E251" s="537">
        <v>101241.14022162462</v>
      </c>
      <c r="F251" s="741">
        <v>193</v>
      </c>
      <c r="G251" s="741">
        <v>2380.0000000000009</v>
      </c>
      <c r="H251" s="1235">
        <f t="shared" si="11"/>
        <v>1.1442307692307696</v>
      </c>
      <c r="J251" s="552"/>
      <c r="K251" s="550"/>
      <c r="L251" s="662"/>
      <c r="M251" s="922"/>
      <c r="N251" s="922"/>
      <c r="O251" s="1310"/>
    </row>
    <row r="252" spans="2:15" ht="13" x14ac:dyDescent="0.3">
      <c r="B252" s="579">
        <f t="shared" si="10"/>
        <v>187</v>
      </c>
      <c r="C252" s="1079" t="s">
        <v>521</v>
      </c>
      <c r="D252" t="s">
        <v>1274</v>
      </c>
      <c r="E252" s="537">
        <v>65249.753126874944</v>
      </c>
      <c r="F252" s="741">
        <v>17</v>
      </c>
      <c r="G252" s="741">
        <v>2118</v>
      </c>
      <c r="H252" s="1235">
        <f t="shared" si="11"/>
        <v>1.0182692307692307</v>
      </c>
      <c r="J252" s="552"/>
      <c r="K252" s="550"/>
      <c r="L252" s="662"/>
      <c r="M252" s="922"/>
      <c r="N252" s="922"/>
      <c r="O252" s="1310"/>
    </row>
    <row r="253" spans="2:15" ht="13" x14ac:dyDescent="0.3">
      <c r="B253" s="579">
        <f t="shared" si="10"/>
        <v>188</v>
      </c>
      <c r="C253" s="1079" t="s">
        <v>521</v>
      </c>
      <c r="D253" t="s">
        <v>1275</v>
      </c>
      <c r="E253" s="537">
        <v>88009.719930553998</v>
      </c>
      <c r="F253" s="741">
        <v>874</v>
      </c>
      <c r="G253" s="741">
        <v>1669</v>
      </c>
      <c r="H253" s="1235">
        <f t="shared" si="11"/>
        <v>0.80240384615384619</v>
      </c>
      <c r="J253" s="552"/>
      <c r="K253" s="550"/>
      <c r="L253" s="662"/>
      <c r="M253" s="922"/>
      <c r="N253" s="922"/>
      <c r="O253" s="1310"/>
    </row>
    <row r="254" spans="2:15" ht="13" x14ac:dyDescent="0.3">
      <c r="B254" s="579">
        <f t="shared" si="10"/>
        <v>189</v>
      </c>
      <c r="C254" s="1079" t="s">
        <v>521</v>
      </c>
      <c r="D254" t="s">
        <v>1276</v>
      </c>
      <c r="E254" s="537">
        <v>6111.2901906005482</v>
      </c>
      <c r="F254" s="741">
        <v>3</v>
      </c>
      <c r="G254" s="741">
        <v>200</v>
      </c>
      <c r="H254" s="1235">
        <f t="shared" si="11"/>
        <v>9.6153846153846159E-2</v>
      </c>
      <c r="J254" s="552"/>
      <c r="K254" s="550"/>
      <c r="L254" s="662"/>
      <c r="M254" s="922"/>
      <c r="N254" s="922"/>
      <c r="O254" s="1310"/>
    </row>
    <row r="255" spans="2:15" ht="13" x14ac:dyDescent="0.3">
      <c r="B255" s="579">
        <f t="shared" si="10"/>
        <v>190</v>
      </c>
      <c r="C255" s="1079" t="s">
        <v>521</v>
      </c>
      <c r="D255" t="s">
        <v>1276</v>
      </c>
      <c r="E255" s="537">
        <v>46430.649665545425</v>
      </c>
      <c r="F255" s="741">
        <v>3</v>
      </c>
      <c r="G255" s="741">
        <v>1743.78</v>
      </c>
      <c r="H255" s="1235">
        <f t="shared" si="11"/>
        <v>0.83835576923076927</v>
      </c>
      <c r="J255" s="552"/>
      <c r="K255" s="550"/>
      <c r="L255" s="662"/>
      <c r="M255" s="922"/>
      <c r="N255" s="922"/>
      <c r="O255" s="1310"/>
    </row>
    <row r="256" spans="2:15" ht="13" x14ac:dyDescent="0.3">
      <c r="B256" s="579">
        <f t="shared" si="10"/>
        <v>191</v>
      </c>
      <c r="C256" s="1079" t="s">
        <v>521</v>
      </c>
      <c r="D256" t="s">
        <v>1262</v>
      </c>
      <c r="E256" s="537">
        <v>15143.68117696765</v>
      </c>
      <c r="F256" s="741">
        <v>30</v>
      </c>
      <c r="G256" s="537">
        <v>280</v>
      </c>
      <c r="H256" s="1235">
        <f t="shared" ref="H256:H307" si="12">+G256/2080</f>
        <v>0.13461538461538461</v>
      </c>
      <c r="J256" s="1267"/>
      <c r="K256" s="550"/>
      <c r="L256" s="662"/>
      <c r="M256" s="922"/>
      <c r="N256" s="662"/>
      <c r="O256" s="1310"/>
    </row>
    <row r="257" spans="2:15" ht="13" x14ac:dyDescent="0.3">
      <c r="B257" s="579">
        <f t="shared" si="10"/>
        <v>192</v>
      </c>
      <c r="C257" s="1079" t="s">
        <v>521</v>
      </c>
      <c r="D257" t="s">
        <v>1262</v>
      </c>
      <c r="E257" s="537">
        <v>49589.200388984638</v>
      </c>
      <c r="F257" s="741">
        <v>816</v>
      </c>
      <c r="G257" s="537">
        <v>1672</v>
      </c>
      <c r="H257" s="1235">
        <f t="shared" si="12"/>
        <v>0.80384615384615388</v>
      </c>
      <c r="J257" s="1267"/>
      <c r="K257" s="550"/>
      <c r="L257" s="662"/>
      <c r="M257" s="922"/>
      <c r="N257" s="662"/>
      <c r="O257" s="1310"/>
    </row>
    <row r="258" spans="2:15" ht="13" x14ac:dyDescent="0.3">
      <c r="B258" s="579">
        <f t="shared" si="10"/>
        <v>193</v>
      </c>
      <c r="C258" s="1079" t="s">
        <v>521</v>
      </c>
      <c r="D258" t="s">
        <v>1262</v>
      </c>
      <c r="E258" s="537">
        <v>64336.039089717757</v>
      </c>
      <c r="F258" s="741">
        <v>1004</v>
      </c>
      <c r="G258" s="537">
        <v>2080</v>
      </c>
      <c r="H258" s="1235">
        <f t="shared" si="12"/>
        <v>1</v>
      </c>
      <c r="J258" s="1267"/>
      <c r="K258" s="550"/>
      <c r="L258" s="662"/>
      <c r="M258" s="922"/>
      <c r="N258" s="662"/>
      <c r="O258" s="1310"/>
    </row>
    <row r="259" spans="2:15" ht="13" x14ac:dyDescent="0.3">
      <c r="B259" s="579">
        <f t="shared" si="10"/>
        <v>194</v>
      </c>
      <c r="C259" s="1079" t="s">
        <v>521</v>
      </c>
      <c r="D259" t="s">
        <v>1262</v>
      </c>
      <c r="E259" s="537">
        <v>54794.151570693655</v>
      </c>
      <c r="F259" s="741">
        <v>0</v>
      </c>
      <c r="G259" s="537">
        <v>1608.0000000000002</v>
      </c>
      <c r="H259" s="1235">
        <f t="shared" si="12"/>
        <v>0.77307692307692322</v>
      </c>
      <c r="J259" s="1267"/>
      <c r="K259" s="550"/>
      <c r="L259" s="662"/>
      <c r="M259" s="922"/>
      <c r="N259" s="662"/>
      <c r="O259" s="1310"/>
    </row>
    <row r="260" spans="2:15" ht="13" x14ac:dyDescent="0.3">
      <c r="B260" s="579">
        <f t="shared" ref="B260:B308" si="13">+B259+1</f>
        <v>195</v>
      </c>
      <c r="C260" s="1079" t="s">
        <v>521</v>
      </c>
      <c r="D260" t="s">
        <v>1262</v>
      </c>
      <c r="E260" s="537">
        <v>53240.818720326199</v>
      </c>
      <c r="F260" s="741">
        <v>0</v>
      </c>
      <c r="G260" s="537">
        <v>1760</v>
      </c>
      <c r="H260" s="1235">
        <f t="shared" si="12"/>
        <v>0.84615384615384615</v>
      </c>
      <c r="J260" s="1267"/>
      <c r="K260" s="550"/>
      <c r="L260" s="662"/>
      <c r="M260" s="922"/>
      <c r="N260" s="662"/>
      <c r="O260" s="1310"/>
    </row>
    <row r="261" spans="2:15" ht="13" x14ac:dyDescent="0.3">
      <c r="B261" s="579">
        <f t="shared" si="13"/>
        <v>196</v>
      </c>
      <c r="C261" s="1079" t="s">
        <v>521</v>
      </c>
      <c r="D261" t="s">
        <v>1262</v>
      </c>
      <c r="E261" s="537">
        <v>64616.060318761818</v>
      </c>
      <c r="F261" s="741">
        <v>961</v>
      </c>
      <c r="G261" s="537">
        <v>2080</v>
      </c>
      <c r="H261" s="1235">
        <f t="shared" si="12"/>
        <v>1</v>
      </c>
      <c r="J261" s="1267"/>
      <c r="K261" s="550"/>
      <c r="L261" s="662"/>
      <c r="M261" s="922"/>
      <c r="N261" s="662"/>
      <c r="O261" s="1310"/>
    </row>
    <row r="262" spans="2:15" ht="13" x14ac:dyDescent="0.3">
      <c r="B262" s="579">
        <f t="shared" si="13"/>
        <v>197</v>
      </c>
      <c r="C262" s="1079" t="s">
        <v>521</v>
      </c>
      <c r="D262" t="s">
        <v>1262</v>
      </c>
      <c r="E262" s="537">
        <v>34335.553343404121</v>
      </c>
      <c r="F262" s="741">
        <v>0</v>
      </c>
      <c r="G262" s="537">
        <v>1120.0000000000002</v>
      </c>
      <c r="H262" s="1235">
        <f t="shared" si="12"/>
        <v>0.53846153846153855</v>
      </c>
      <c r="J262" s="1267"/>
      <c r="K262" s="550"/>
      <c r="L262" s="662"/>
      <c r="M262" s="922"/>
      <c r="N262" s="662"/>
      <c r="O262" s="1310"/>
    </row>
    <row r="263" spans="2:15" ht="13" x14ac:dyDescent="0.3">
      <c r="B263" s="579">
        <f t="shared" si="13"/>
        <v>198</v>
      </c>
      <c r="C263" s="1079" t="s">
        <v>521</v>
      </c>
      <c r="D263" t="s">
        <v>1262</v>
      </c>
      <c r="E263" s="537">
        <v>60196.879425041538</v>
      </c>
      <c r="F263" s="741">
        <v>288</v>
      </c>
      <c r="G263" s="537">
        <v>1840</v>
      </c>
      <c r="H263" s="1235">
        <f t="shared" si="12"/>
        <v>0.88461538461538458</v>
      </c>
      <c r="J263" s="1267"/>
      <c r="K263" s="550"/>
      <c r="L263" s="662"/>
      <c r="M263" s="922"/>
      <c r="N263" s="662"/>
      <c r="O263" s="1310"/>
    </row>
    <row r="264" spans="2:15" ht="13" x14ac:dyDescent="0.3">
      <c r="B264" s="579">
        <f t="shared" si="13"/>
        <v>199</v>
      </c>
      <c r="C264" s="1079" t="s">
        <v>521</v>
      </c>
      <c r="D264" t="s">
        <v>1262</v>
      </c>
      <c r="E264" s="537">
        <v>24319.115733247902</v>
      </c>
      <c r="F264" s="741">
        <v>733</v>
      </c>
      <c r="G264" s="537">
        <v>720</v>
      </c>
      <c r="H264" s="1235">
        <f t="shared" si="12"/>
        <v>0.34615384615384615</v>
      </c>
      <c r="J264" s="1267"/>
      <c r="K264" s="550"/>
      <c r="L264" s="662"/>
      <c r="M264" s="922"/>
      <c r="N264" s="662"/>
      <c r="O264" s="1310"/>
    </row>
    <row r="265" spans="2:15" ht="13" x14ac:dyDescent="0.3">
      <c r="B265" s="579">
        <f t="shared" si="13"/>
        <v>200</v>
      </c>
      <c r="C265" s="1079" t="s">
        <v>521</v>
      </c>
      <c r="D265" t="s">
        <v>1262</v>
      </c>
      <c r="E265" s="537">
        <v>66314.725196322717</v>
      </c>
      <c r="F265" s="741">
        <v>1093</v>
      </c>
      <c r="G265" s="537">
        <v>2084</v>
      </c>
      <c r="H265" s="1235">
        <f t="shared" si="12"/>
        <v>1.0019230769230769</v>
      </c>
      <c r="J265" s="1267"/>
      <c r="K265" s="550"/>
      <c r="L265" s="662"/>
      <c r="M265" s="922"/>
      <c r="N265" s="662"/>
      <c r="O265" s="1310"/>
    </row>
    <row r="266" spans="2:15" ht="13" x14ac:dyDescent="0.3">
      <c r="B266" s="579">
        <f t="shared" si="13"/>
        <v>201</v>
      </c>
      <c r="C266" s="1079" t="s">
        <v>521</v>
      </c>
      <c r="D266" t="s">
        <v>1262</v>
      </c>
      <c r="E266" s="537">
        <v>24214.766078571847</v>
      </c>
      <c r="F266" s="741">
        <v>238</v>
      </c>
      <c r="G266" s="537">
        <v>800</v>
      </c>
      <c r="H266" s="1235">
        <f t="shared" si="12"/>
        <v>0.38461538461538464</v>
      </c>
      <c r="J266" s="1267"/>
      <c r="K266" s="550"/>
      <c r="L266" s="662"/>
      <c r="M266" s="922"/>
      <c r="N266" s="662"/>
      <c r="O266" s="1310"/>
    </row>
    <row r="267" spans="2:15" ht="13" x14ac:dyDescent="0.3">
      <c r="B267" s="579">
        <f t="shared" si="13"/>
        <v>202</v>
      </c>
      <c r="C267" s="1079" t="s">
        <v>521</v>
      </c>
      <c r="D267" t="s">
        <v>1262</v>
      </c>
      <c r="E267" s="537">
        <v>61773.08685494864</v>
      </c>
      <c r="F267" s="741">
        <v>713</v>
      </c>
      <c r="G267" s="537">
        <v>1840</v>
      </c>
      <c r="H267" s="1235">
        <f t="shared" si="12"/>
        <v>0.88461538461538458</v>
      </c>
      <c r="J267" s="1267"/>
      <c r="K267" s="550"/>
      <c r="L267" s="662"/>
      <c r="M267" s="922"/>
      <c r="N267" s="662"/>
      <c r="O267" s="1310"/>
    </row>
    <row r="268" spans="2:15" ht="13" x14ac:dyDescent="0.3">
      <c r="B268" s="579">
        <f t="shared" si="13"/>
        <v>203</v>
      </c>
      <c r="C268" s="1079" t="s">
        <v>521</v>
      </c>
      <c r="D268" t="s">
        <v>1262</v>
      </c>
      <c r="E268" s="537">
        <v>64003.573215228396</v>
      </c>
      <c r="F268" s="741">
        <v>1397</v>
      </c>
      <c r="G268" s="537">
        <v>2089</v>
      </c>
      <c r="H268" s="1235">
        <f t="shared" si="12"/>
        <v>1.0043269230769232</v>
      </c>
      <c r="J268" s="1267"/>
      <c r="K268" s="550"/>
      <c r="L268" s="662"/>
      <c r="M268" s="922"/>
      <c r="N268" s="662"/>
      <c r="O268" s="1310"/>
    </row>
    <row r="269" spans="2:15" ht="13" x14ac:dyDescent="0.3">
      <c r="B269" s="579">
        <f t="shared" si="13"/>
        <v>204</v>
      </c>
      <c r="C269" s="1079" t="s">
        <v>521</v>
      </c>
      <c r="D269" t="s">
        <v>1262</v>
      </c>
      <c r="E269" s="537">
        <v>48164.680701686935</v>
      </c>
      <c r="F269" s="741">
        <v>0</v>
      </c>
      <c r="G269" s="537">
        <v>1482.5</v>
      </c>
      <c r="H269" s="1235">
        <f t="shared" si="12"/>
        <v>0.71274038461538458</v>
      </c>
      <c r="J269" s="1267"/>
      <c r="K269" s="550"/>
      <c r="L269" s="662"/>
      <c r="M269" s="922"/>
      <c r="N269" s="662"/>
      <c r="O269" s="1310"/>
    </row>
    <row r="270" spans="2:15" ht="13" x14ac:dyDescent="0.3">
      <c r="B270" s="579">
        <f t="shared" si="13"/>
        <v>205</v>
      </c>
      <c r="C270" s="1079" t="s">
        <v>521</v>
      </c>
      <c r="D270" t="s">
        <v>1262</v>
      </c>
      <c r="E270" s="537">
        <v>72056.544458683129</v>
      </c>
      <c r="F270" s="741">
        <v>1992</v>
      </c>
      <c r="G270" s="537">
        <v>2100</v>
      </c>
      <c r="H270" s="1235">
        <f t="shared" si="12"/>
        <v>1.0096153846153846</v>
      </c>
      <c r="J270" s="1267"/>
      <c r="K270" s="550"/>
      <c r="L270" s="662"/>
      <c r="M270" s="922"/>
      <c r="N270" s="662"/>
      <c r="O270" s="1310"/>
    </row>
    <row r="271" spans="2:15" ht="13" x14ac:dyDescent="0.3">
      <c r="B271" s="579">
        <f t="shared" si="13"/>
        <v>206</v>
      </c>
      <c r="C271" s="1079" t="s">
        <v>521</v>
      </c>
      <c r="D271" t="s">
        <v>1262</v>
      </c>
      <c r="E271" s="537">
        <v>64324.007200785563</v>
      </c>
      <c r="F271" s="741">
        <v>936</v>
      </c>
      <c r="G271" s="537">
        <v>2083</v>
      </c>
      <c r="H271" s="1235">
        <f t="shared" si="12"/>
        <v>1.0014423076923078</v>
      </c>
      <c r="J271" s="1267"/>
      <c r="K271" s="550"/>
      <c r="L271" s="662"/>
      <c r="M271" s="922"/>
      <c r="N271" s="662"/>
      <c r="O271" s="1310"/>
    </row>
    <row r="272" spans="2:15" ht="13" x14ac:dyDescent="0.3">
      <c r="B272" s="579">
        <f t="shared" si="13"/>
        <v>207</v>
      </c>
      <c r="C272" s="1079" t="s">
        <v>521</v>
      </c>
      <c r="D272" t="s">
        <v>1262</v>
      </c>
      <c r="E272" s="537">
        <v>84841.865479045126</v>
      </c>
      <c r="F272" s="741">
        <v>1378</v>
      </c>
      <c r="G272" s="537">
        <v>1824</v>
      </c>
      <c r="H272" s="1235">
        <f t="shared" si="12"/>
        <v>0.87692307692307692</v>
      </c>
      <c r="J272" s="1267"/>
      <c r="K272" s="550"/>
      <c r="L272" s="662"/>
      <c r="M272" s="922"/>
      <c r="N272" s="662"/>
      <c r="O272" s="1310"/>
    </row>
    <row r="273" spans="2:15" ht="13" x14ac:dyDescent="0.3">
      <c r="B273" s="579">
        <f t="shared" si="13"/>
        <v>208</v>
      </c>
      <c r="C273" s="1079" t="s">
        <v>521</v>
      </c>
      <c r="D273" t="s">
        <v>1262</v>
      </c>
      <c r="E273" s="537">
        <v>30268.215261581412</v>
      </c>
      <c r="F273" s="741">
        <v>255</v>
      </c>
      <c r="G273" s="537">
        <v>1000</v>
      </c>
      <c r="H273" s="1235">
        <f t="shared" si="12"/>
        <v>0.48076923076923078</v>
      </c>
      <c r="J273" s="1267"/>
      <c r="K273" s="550"/>
      <c r="L273" s="662"/>
      <c r="M273" s="922"/>
      <c r="N273" s="662"/>
      <c r="O273" s="1310"/>
    </row>
    <row r="274" spans="2:15" ht="13" x14ac:dyDescent="0.3">
      <c r="B274" s="579">
        <f t="shared" si="13"/>
        <v>209</v>
      </c>
      <c r="C274" s="1079" t="s">
        <v>521</v>
      </c>
      <c r="D274" t="s">
        <v>1262</v>
      </c>
      <c r="E274" s="537">
        <v>64385.106012190408</v>
      </c>
      <c r="F274" s="741">
        <v>1253</v>
      </c>
      <c r="G274" s="537">
        <v>2084</v>
      </c>
      <c r="H274" s="1235">
        <f t="shared" si="12"/>
        <v>1.0019230769230769</v>
      </c>
      <c r="J274" s="1267"/>
      <c r="K274" s="550"/>
      <c r="L274" s="662"/>
      <c r="M274" s="922"/>
      <c r="N274" s="662"/>
      <c r="O274" s="1310"/>
    </row>
    <row r="275" spans="2:15" ht="13" x14ac:dyDescent="0.3">
      <c r="B275" s="579">
        <f t="shared" si="13"/>
        <v>210</v>
      </c>
      <c r="C275" s="1079" t="s">
        <v>521</v>
      </c>
      <c r="D275" t="s">
        <v>1262</v>
      </c>
      <c r="E275" s="537">
        <v>12401.679644857897</v>
      </c>
      <c r="F275" s="741">
        <v>71</v>
      </c>
      <c r="G275" s="537">
        <v>387.44</v>
      </c>
      <c r="H275" s="1235">
        <f t="shared" si="12"/>
        <v>0.18626923076923077</v>
      </c>
      <c r="J275" s="1267"/>
      <c r="K275" s="550"/>
      <c r="L275" s="662"/>
      <c r="M275" s="922"/>
      <c r="N275" s="662"/>
      <c r="O275" s="1310"/>
    </row>
    <row r="276" spans="2:15" ht="13" x14ac:dyDescent="0.3">
      <c r="B276" s="579">
        <f t="shared" si="13"/>
        <v>211</v>
      </c>
      <c r="C276" s="1079" t="s">
        <v>521</v>
      </c>
      <c r="D276" t="s">
        <v>1262</v>
      </c>
      <c r="E276" s="537">
        <v>24007.066095542999</v>
      </c>
      <c r="F276" s="741">
        <v>0</v>
      </c>
      <c r="G276" s="537">
        <v>783.6</v>
      </c>
      <c r="H276" s="1235">
        <f t="shared" si="12"/>
        <v>0.37673076923076926</v>
      </c>
      <c r="J276" s="1267"/>
      <c r="K276" s="550"/>
      <c r="L276" s="662"/>
      <c r="M276" s="922"/>
      <c r="N276" s="662"/>
      <c r="O276" s="1310"/>
    </row>
    <row r="277" spans="2:15" ht="13" x14ac:dyDescent="0.3">
      <c r="B277" s="579">
        <f t="shared" si="13"/>
        <v>212</v>
      </c>
      <c r="C277" s="1079" t="s">
        <v>521</v>
      </c>
      <c r="D277" t="s">
        <v>1262</v>
      </c>
      <c r="E277" s="537">
        <v>40904.684889011718</v>
      </c>
      <c r="F277" s="741">
        <v>755</v>
      </c>
      <c r="G277" s="537">
        <v>1252.5</v>
      </c>
      <c r="H277" s="1235">
        <f t="shared" si="12"/>
        <v>0.60216346153846156</v>
      </c>
      <c r="J277" s="1267"/>
      <c r="K277" s="550"/>
      <c r="L277" s="662"/>
      <c r="M277" s="922"/>
      <c r="N277" s="662"/>
      <c r="O277" s="1310"/>
    </row>
    <row r="278" spans="2:15" ht="13" x14ac:dyDescent="0.3">
      <c r="B278" s="579">
        <f t="shared" si="13"/>
        <v>213</v>
      </c>
      <c r="C278" s="1079" t="s">
        <v>521</v>
      </c>
      <c r="D278" t="s">
        <v>1262</v>
      </c>
      <c r="E278" s="537">
        <v>28155.529488288932</v>
      </c>
      <c r="F278" s="741">
        <v>76</v>
      </c>
      <c r="G278" s="537">
        <v>899.18000000000006</v>
      </c>
      <c r="H278" s="1235">
        <f t="shared" si="12"/>
        <v>0.43229807692307698</v>
      </c>
      <c r="J278" s="1267"/>
      <c r="K278" s="550"/>
      <c r="L278" s="662"/>
      <c r="M278" s="922"/>
      <c r="N278" s="662"/>
      <c r="O278" s="1310"/>
    </row>
    <row r="279" spans="2:15" ht="13" x14ac:dyDescent="0.3">
      <c r="B279" s="579">
        <f t="shared" si="13"/>
        <v>214</v>
      </c>
      <c r="C279" s="1079" t="s">
        <v>521</v>
      </c>
      <c r="D279" t="s">
        <v>1262</v>
      </c>
      <c r="E279" s="537">
        <v>49662.570927639237</v>
      </c>
      <c r="F279" s="741">
        <v>0</v>
      </c>
      <c r="G279" s="537">
        <v>1672</v>
      </c>
      <c r="H279" s="1235">
        <f t="shared" si="12"/>
        <v>0.80384615384615388</v>
      </c>
      <c r="J279" s="1267"/>
      <c r="K279" s="550"/>
      <c r="L279" s="662"/>
      <c r="M279" s="922"/>
      <c r="N279" s="662"/>
      <c r="O279" s="1310"/>
    </row>
    <row r="280" spans="2:15" ht="13" x14ac:dyDescent="0.3">
      <c r="B280" s="579">
        <f t="shared" si="13"/>
        <v>215</v>
      </c>
      <c r="C280" s="1079" t="s">
        <v>521</v>
      </c>
      <c r="D280" t="s">
        <v>1262</v>
      </c>
      <c r="E280" s="537">
        <v>73038.112753190537</v>
      </c>
      <c r="F280" s="741">
        <v>1566</v>
      </c>
      <c r="G280" s="537">
        <v>2100</v>
      </c>
      <c r="H280" s="1235">
        <f t="shared" si="12"/>
        <v>1.0096153846153846</v>
      </c>
      <c r="J280" s="1267"/>
      <c r="K280" s="550"/>
      <c r="L280" s="662"/>
      <c r="M280" s="922"/>
      <c r="N280" s="662"/>
      <c r="O280" s="1310"/>
    </row>
    <row r="281" spans="2:15" ht="13" x14ac:dyDescent="0.3">
      <c r="B281" s="579">
        <f t="shared" si="13"/>
        <v>216</v>
      </c>
      <c r="C281" s="1079" t="s">
        <v>521</v>
      </c>
      <c r="D281" t="s">
        <v>1262</v>
      </c>
      <c r="E281" s="537">
        <v>61603.741016206979</v>
      </c>
      <c r="F281" s="741">
        <v>1054</v>
      </c>
      <c r="G281" s="537">
        <v>2080</v>
      </c>
      <c r="H281" s="1235">
        <f t="shared" si="12"/>
        <v>1</v>
      </c>
      <c r="J281" s="1267"/>
      <c r="K281" s="550"/>
      <c r="L281" s="662"/>
      <c r="M281" s="922"/>
      <c r="N281" s="662"/>
      <c r="O281" s="1310"/>
    </row>
    <row r="282" spans="2:15" ht="13" x14ac:dyDescent="0.3">
      <c r="B282" s="579">
        <f t="shared" si="13"/>
        <v>217</v>
      </c>
      <c r="C282" s="1079" t="s">
        <v>521</v>
      </c>
      <c r="D282" t="s">
        <v>1262</v>
      </c>
      <c r="E282" s="537">
        <v>43008.506637816776</v>
      </c>
      <c r="F282" s="741">
        <v>628</v>
      </c>
      <c r="G282" s="537">
        <v>1172</v>
      </c>
      <c r="H282" s="1235">
        <f t="shared" si="12"/>
        <v>0.56346153846153846</v>
      </c>
      <c r="J282" s="1267"/>
      <c r="K282" s="550"/>
      <c r="L282" s="662"/>
      <c r="M282" s="922"/>
      <c r="N282" s="662"/>
      <c r="O282" s="1310"/>
    </row>
    <row r="283" spans="2:15" ht="13" x14ac:dyDescent="0.3">
      <c r="B283" s="579">
        <f t="shared" si="13"/>
        <v>218</v>
      </c>
      <c r="C283" s="1079" t="s">
        <v>521</v>
      </c>
      <c r="D283" t="s">
        <v>1262</v>
      </c>
      <c r="E283" s="537">
        <v>49360.064856321616</v>
      </c>
      <c r="F283" s="741">
        <v>381</v>
      </c>
      <c r="G283" s="537">
        <v>1672</v>
      </c>
      <c r="H283" s="1235">
        <f t="shared" si="12"/>
        <v>0.80384615384615388</v>
      </c>
      <c r="J283" s="1267"/>
      <c r="K283" s="550"/>
      <c r="L283" s="662"/>
      <c r="M283" s="922"/>
      <c r="N283" s="662"/>
      <c r="O283" s="1310"/>
    </row>
    <row r="284" spans="2:15" ht="13" x14ac:dyDescent="0.3">
      <c r="B284" s="579">
        <f t="shared" si="13"/>
        <v>219</v>
      </c>
      <c r="C284" s="1079" t="s">
        <v>521</v>
      </c>
      <c r="D284" t="s">
        <v>1262</v>
      </c>
      <c r="E284" s="537">
        <v>10838.853194419351</v>
      </c>
      <c r="F284" s="741">
        <v>3</v>
      </c>
      <c r="G284" s="537">
        <v>120</v>
      </c>
      <c r="H284" s="1235">
        <f t="shared" si="12"/>
        <v>5.7692307692307696E-2</v>
      </c>
      <c r="J284" s="1267"/>
      <c r="K284" s="550"/>
      <c r="L284" s="662"/>
      <c r="M284" s="922"/>
      <c r="N284" s="662"/>
      <c r="O284" s="1310"/>
    </row>
    <row r="285" spans="2:15" ht="13" x14ac:dyDescent="0.3">
      <c r="B285" s="579">
        <f t="shared" si="13"/>
        <v>220</v>
      </c>
      <c r="C285" s="1079" t="s">
        <v>521</v>
      </c>
      <c r="D285" t="s">
        <v>1263</v>
      </c>
      <c r="E285" s="537">
        <v>23416.923928597978</v>
      </c>
      <c r="F285" s="741">
        <v>1315</v>
      </c>
      <c r="G285" s="537">
        <v>928</v>
      </c>
      <c r="H285" s="1235">
        <f t="shared" si="12"/>
        <v>0.44615384615384618</v>
      </c>
      <c r="J285" s="1267"/>
      <c r="K285" s="550"/>
      <c r="L285" s="662"/>
      <c r="M285" s="922"/>
      <c r="N285" s="662"/>
      <c r="O285" s="1310"/>
    </row>
    <row r="286" spans="2:15" ht="13" x14ac:dyDescent="0.3">
      <c r="B286" s="579">
        <f t="shared" si="13"/>
        <v>221</v>
      </c>
      <c r="C286" s="1079" t="s">
        <v>521</v>
      </c>
      <c r="D286" t="s">
        <v>1263</v>
      </c>
      <c r="E286" s="537">
        <v>18799.706537394868</v>
      </c>
      <c r="F286" s="741">
        <v>12</v>
      </c>
      <c r="G286" s="537">
        <v>480</v>
      </c>
      <c r="H286" s="1235">
        <f t="shared" si="12"/>
        <v>0.23076923076923078</v>
      </c>
      <c r="J286" s="1267"/>
      <c r="K286" s="550"/>
      <c r="L286" s="662"/>
      <c r="M286" s="922"/>
      <c r="N286" s="662"/>
      <c r="O286" s="1310"/>
    </row>
    <row r="287" spans="2:15" ht="13" x14ac:dyDescent="0.3">
      <c r="B287" s="579">
        <f t="shared" si="13"/>
        <v>222</v>
      </c>
      <c r="C287" s="1079" t="s">
        <v>521</v>
      </c>
      <c r="D287" t="s">
        <v>1263</v>
      </c>
      <c r="E287" s="537">
        <v>26901.804662901643</v>
      </c>
      <c r="F287" s="741">
        <v>318</v>
      </c>
      <c r="G287" s="537">
        <v>800</v>
      </c>
      <c r="H287" s="1235">
        <f t="shared" si="12"/>
        <v>0.38461538461538464</v>
      </c>
      <c r="J287" s="1267"/>
      <c r="K287" s="550"/>
      <c r="L287" s="662"/>
      <c r="M287" s="922"/>
      <c r="N287" s="662"/>
      <c r="O287" s="1310"/>
    </row>
    <row r="288" spans="2:15" ht="13" x14ac:dyDescent="0.3">
      <c r="B288" s="579">
        <f t="shared" si="13"/>
        <v>223</v>
      </c>
      <c r="C288" s="1079" t="s">
        <v>521</v>
      </c>
      <c r="D288" t="s">
        <v>1263</v>
      </c>
      <c r="E288" s="537">
        <v>50138.150324884416</v>
      </c>
      <c r="F288" s="741">
        <v>1014</v>
      </c>
      <c r="G288" s="537">
        <v>1752</v>
      </c>
      <c r="H288" s="1235">
        <f t="shared" si="12"/>
        <v>0.84230769230769231</v>
      </c>
      <c r="J288" s="1267"/>
      <c r="K288" s="550"/>
      <c r="L288" s="662"/>
      <c r="M288" s="922"/>
      <c r="N288" s="662"/>
      <c r="O288" s="1310"/>
    </row>
    <row r="289" spans="2:15" ht="13" x14ac:dyDescent="0.3">
      <c r="B289" s="579">
        <f t="shared" si="13"/>
        <v>224</v>
      </c>
      <c r="C289" s="1079" t="s">
        <v>521</v>
      </c>
      <c r="D289" t="s">
        <v>1263</v>
      </c>
      <c r="E289" s="537">
        <v>13950.735378561754</v>
      </c>
      <c r="F289" s="741">
        <v>36</v>
      </c>
      <c r="G289" s="537">
        <v>280</v>
      </c>
      <c r="H289" s="1235">
        <f t="shared" si="12"/>
        <v>0.13461538461538461</v>
      </c>
      <c r="J289" s="1267"/>
      <c r="K289" s="550"/>
      <c r="L289" s="662"/>
      <c r="M289" s="922"/>
      <c r="N289" s="662"/>
      <c r="O289" s="1310"/>
    </row>
    <row r="290" spans="2:15" ht="13" x14ac:dyDescent="0.3">
      <c r="B290" s="579">
        <f t="shared" si="13"/>
        <v>225</v>
      </c>
      <c r="C290" s="1079" t="s">
        <v>521</v>
      </c>
      <c r="D290" t="s">
        <v>1263</v>
      </c>
      <c r="E290" s="537">
        <v>15939.264849450918</v>
      </c>
      <c r="F290" s="741">
        <v>1487</v>
      </c>
      <c r="G290" s="537">
        <v>568</v>
      </c>
      <c r="H290" s="1235">
        <f t="shared" si="12"/>
        <v>0.27307692307692305</v>
      </c>
      <c r="J290" s="1267"/>
      <c r="K290" s="550"/>
      <c r="L290" s="662"/>
      <c r="M290" s="922"/>
      <c r="N290" s="662"/>
      <c r="O290" s="1310"/>
    </row>
    <row r="291" spans="2:15" ht="13" x14ac:dyDescent="0.3">
      <c r="B291" s="579">
        <f t="shared" si="13"/>
        <v>226</v>
      </c>
      <c r="C291" s="1079" t="s">
        <v>521</v>
      </c>
      <c r="D291" t="s">
        <v>1263</v>
      </c>
      <c r="E291" s="537">
        <v>34681.29027146654</v>
      </c>
      <c r="F291" s="741">
        <v>1085</v>
      </c>
      <c r="G291" s="537">
        <v>1344</v>
      </c>
      <c r="H291" s="1235">
        <f t="shared" si="12"/>
        <v>0.64615384615384619</v>
      </c>
      <c r="J291" s="1267"/>
      <c r="K291" s="550"/>
      <c r="L291" s="662"/>
      <c r="M291" s="922"/>
      <c r="N291" s="662"/>
      <c r="O291" s="1310"/>
    </row>
    <row r="292" spans="2:15" ht="13" x14ac:dyDescent="0.3">
      <c r="B292" s="579">
        <f t="shared" si="13"/>
        <v>227</v>
      </c>
      <c r="C292" s="1079" t="s">
        <v>521</v>
      </c>
      <c r="D292" t="s">
        <v>1263</v>
      </c>
      <c r="E292" s="537">
        <v>46082.404428411603</v>
      </c>
      <c r="F292" s="741">
        <v>1021</v>
      </c>
      <c r="G292" s="537">
        <v>1754</v>
      </c>
      <c r="H292" s="1235">
        <f t="shared" si="12"/>
        <v>0.84326923076923077</v>
      </c>
      <c r="J292" s="1267"/>
      <c r="K292" s="550"/>
      <c r="L292" s="662"/>
      <c r="M292" s="922"/>
      <c r="N292" s="662"/>
      <c r="O292" s="1310"/>
    </row>
    <row r="293" spans="2:15" ht="13" x14ac:dyDescent="0.3">
      <c r="B293" s="579">
        <f t="shared" si="13"/>
        <v>228</v>
      </c>
      <c r="C293" s="1079" t="s">
        <v>521</v>
      </c>
      <c r="D293" t="s">
        <v>1263</v>
      </c>
      <c r="E293" s="537">
        <v>27420.455024679795</v>
      </c>
      <c r="F293" s="741">
        <v>200</v>
      </c>
      <c r="G293" s="537">
        <v>800</v>
      </c>
      <c r="H293" s="1235">
        <f t="shared" si="12"/>
        <v>0.38461538461538464</v>
      </c>
      <c r="J293" s="1267"/>
      <c r="K293" s="550"/>
      <c r="L293" s="662"/>
      <c r="M293" s="922"/>
      <c r="N293" s="662"/>
      <c r="O293" s="1310"/>
    </row>
    <row r="294" spans="2:15" ht="13" x14ac:dyDescent="0.3">
      <c r="B294" s="579">
        <f t="shared" si="13"/>
        <v>229</v>
      </c>
      <c r="C294" s="1079" t="s">
        <v>521</v>
      </c>
      <c r="D294" t="s">
        <v>1263</v>
      </c>
      <c r="E294" s="537">
        <v>44045.717422003981</v>
      </c>
      <c r="F294" s="741">
        <v>982</v>
      </c>
      <c r="G294" s="537">
        <v>1672</v>
      </c>
      <c r="H294" s="1235">
        <f t="shared" si="12"/>
        <v>0.80384615384615388</v>
      </c>
      <c r="J294" s="1267"/>
      <c r="K294" s="550"/>
      <c r="L294" s="662"/>
      <c r="M294" s="922"/>
      <c r="N294" s="662"/>
      <c r="O294" s="1310"/>
    </row>
    <row r="295" spans="2:15" ht="13" x14ac:dyDescent="0.3">
      <c r="B295" s="579">
        <f t="shared" si="13"/>
        <v>230</v>
      </c>
      <c r="C295" s="1079" t="s">
        <v>521</v>
      </c>
      <c r="D295" t="s">
        <v>1263</v>
      </c>
      <c r="E295" s="537">
        <v>12153.357046788049</v>
      </c>
      <c r="F295" s="741">
        <v>1098</v>
      </c>
      <c r="G295" s="537">
        <v>496</v>
      </c>
      <c r="H295" s="1235">
        <f t="shared" si="12"/>
        <v>0.23846153846153847</v>
      </c>
      <c r="J295" s="1267"/>
      <c r="K295" s="550"/>
      <c r="L295" s="662"/>
      <c r="M295" s="922"/>
      <c r="N295" s="662"/>
      <c r="O295" s="1310"/>
    </row>
    <row r="296" spans="2:15" ht="13" x14ac:dyDescent="0.3">
      <c r="B296" s="579">
        <f t="shared" si="13"/>
        <v>231</v>
      </c>
      <c r="C296" s="1079" t="s">
        <v>521</v>
      </c>
      <c r="D296" t="s">
        <v>1263</v>
      </c>
      <c r="E296" s="537">
        <v>12153.566905315936</v>
      </c>
      <c r="F296" s="741">
        <v>776</v>
      </c>
      <c r="G296" s="537">
        <v>496</v>
      </c>
      <c r="H296" s="1235">
        <f t="shared" si="12"/>
        <v>0.23846153846153847</v>
      </c>
      <c r="J296" s="1267"/>
      <c r="K296" s="550"/>
      <c r="L296" s="662"/>
      <c r="M296" s="922"/>
      <c r="N296" s="662"/>
      <c r="O296" s="1310"/>
    </row>
    <row r="297" spans="2:15" ht="13" x14ac:dyDescent="0.3">
      <c r="B297" s="579">
        <f t="shared" si="13"/>
        <v>232</v>
      </c>
      <c r="C297" s="1079" t="s">
        <v>521</v>
      </c>
      <c r="D297" t="s">
        <v>1263</v>
      </c>
      <c r="E297" s="537">
        <v>16396.5965480331</v>
      </c>
      <c r="F297" s="741">
        <v>160</v>
      </c>
      <c r="G297" s="537">
        <v>632</v>
      </c>
      <c r="H297" s="1235">
        <f t="shared" si="12"/>
        <v>0.30384615384615382</v>
      </c>
      <c r="J297" s="1267"/>
      <c r="K297" s="550"/>
      <c r="L297" s="662"/>
      <c r="M297" s="922"/>
      <c r="N297" s="662"/>
      <c r="O297" s="1310"/>
    </row>
    <row r="298" spans="2:15" ht="13" x14ac:dyDescent="0.3">
      <c r="B298" s="579">
        <f t="shared" si="13"/>
        <v>233</v>
      </c>
      <c r="C298" s="1079" t="s">
        <v>521</v>
      </c>
      <c r="D298" t="s">
        <v>1263</v>
      </c>
      <c r="E298" s="537">
        <v>19756.191741188151</v>
      </c>
      <c r="F298" s="741">
        <v>122</v>
      </c>
      <c r="G298" s="537">
        <v>472</v>
      </c>
      <c r="H298" s="1235">
        <f t="shared" si="12"/>
        <v>0.22692307692307692</v>
      </c>
      <c r="J298" s="1267"/>
      <c r="K298" s="550"/>
      <c r="L298" s="662"/>
      <c r="M298" s="922"/>
      <c r="N298" s="662"/>
      <c r="O298" s="1310"/>
    </row>
    <row r="299" spans="2:15" ht="13" x14ac:dyDescent="0.3">
      <c r="B299" s="579">
        <f t="shared" si="13"/>
        <v>234</v>
      </c>
      <c r="C299" s="1079" t="s">
        <v>521</v>
      </c>
      <c r="D299" t="s">
        <v>1263</v>
      </c>
      <c r="E299" s="537">
        <v>24031.84938836014</v>
      </c>
      <c r="F299" s="741">
        <v>72</v>
      </c>
      <c r="G299" s="537">
        <v>640</v>
      </c>
      <c r="H299" s="1235">
        <f t="shared" si="12"/>
        <v>0.30769230769230771</v>
      </c>
      <c r="J299" s="1267"/>
      <c r="K299" s="550"/>
      <c r="L299" s="662"/>
      <c r="M299" s="922"/>
      <c r="N299" s="662"/>
      <c r="O299" s="1310"/>
    </row>
    <row r="300" spans="2:15" ht="13" x14ac:dyDescent="0.3">
      <c r="B300" s="579">
        <f t="shared" si="13"/>
        <v>235</v>
      </c>
      <c r="C300" s="1079" t="s">
        <v>521</v>
      </c>
      <c r="D300" t="s">
        <v>1263</v>
      </c>
      <c r="E300" s="537">
        <v>38224.41174389048</v>
      </c>
      <c r="F300" s="741">
        <v>843</v>
      </c>
      <c r="G300" s="537">
        <v>1520</v>
      </c>
      <c r="H300" s="1235">
        <f t="shared" si="12"/>
        <v>0.73076923076923073</v>
      </c>
      <c r="J300" s="1267"/>
      <c r="K300" s="550"/>
      <c r="L300" s="662"/>
      <c r="M300" s="922"/>
      <c r="N300" s="662"/>
      <c r="O300" s="1310"/>
    </row>
    <row r="301" spans="2:15" ht="13" x14ac:dyDescent="0.3">
      <c r="B301" s="579">
        <f t="shared" si="13"/>
        <v>236</v>
      </c>
      <c r="C301" s="1079" t="s">
        <v>521</v>
      </c>
      <c r="D301" t="s">
        <v>1263</v>
      </c>
      <c r="E301" s="537">
        <v>47330.553012915065</v>
      </c>
      <c r="F301" s="741">
        <v>907</v>
      </c>
      <c r="G301" s="537">
        <v>1752</v>
      </c>
      <c r="H301" s="1235">
        <f t="shared" si="12"/>
        <v>0.84230769230769231</v>
      </c>
      <c r="J301" s="1267"/>
      <c r="K301" s="550"/>
      <c r="L301" s="662"/>
      <c r="M301" s="922"/>
      <c r="N301" s="662"/>
      <c r="O301" s="1310"/>
    </row>
    <row r="302" spans="2:15" ht="13" x14ac:dyDescent="0.3">
      <c r="B302" s="579">
        <f t="shared" si="13"/>
        <v>237</v>
      </c>
      <c r="C302" s="1079" t="s">
        <v>521</v>
      </c>
      <c r="D302" t="s">
        <v>1263</v>
      </c>
      <c r="E302" s="537">
        <v>55249.424657049938</v>
      </c>
      <c r="F302" s="741">
        <v>885</v>
      </c>
      <c r="G302" s="537">
        <v>2100</v>
      </c>
      <c r="H302" s="1235">
        <f t="shared" si="12"/>
        <v>1.0096153846153846</v>
      </c>
      <c r="J302" s="1267"/>
      <c r="K302" s="550"/>
      <c r="L302" s="662"/>
      <c r="M302" s="922"/>
      <c r="N302" s="662"/>
      <c r="O302" s="1310"/>
    </row>
    <row r="303" spans="2:15" ht="13" x14ac:dyDescent="0.3">
      <c r="B303" s="579">
        <f t="shared" si="13"/>
        <v>238</v>
      </c>
      <c r="C303" s="1079" t="s">
        <v>521</v>
      </c>
      <c r="D303" t="s">
        <v>1263</v>
      </c>
      <c r="E303" s="537">
        <v>45807.040060034029</v>
      </c>
      <c r="F303" s="741">
        <v>581</v>
      </c>
      <c r="G303" s="537">
        <v>1656.8</v>
      </c>
      <c r="H303" s="1235">
        <f t="shared" si="12"/>
        <v>0.79653846153846153</v>
      </c>
      <c r="J303" s="1267"/>
      <c r="K303" s="550"/>
      <c r="L303" s="662"/>
      <c r="M303" s="922"/>
      <c r="N303" s="662"/>
      <c r="O303" s="1310"/>
    </row>
    <row r="304" spans="2:15" ht="13" x14ac:dyDescent="0.3">
      <c r="B304" s="579">
        <f t="shared" si="13"/>
        <v>239</v>
      </c>
      <c r="C304" s="1079" t="s">
        <v>521</v>
      </c>
      <c r="D304" t="s">
        <v>1263</v>
      </c>
      <c r="E304" s="537">
        <v>22965.018571951165</v>
      </c>
      <c r="F304" s="741">
        <v>115</v>
      </c>
      <c r="G304" s="537">
        <v>640</v>
      </c>
      <c r="H304" s="1235">
        <f t="shared" si="12"/>
        <v>0.30769230769230771</v>
      </c>
      <c r="J304" s="1267"/>
      <c r="K304" s="550"/>
      <c r="L304" s="662"/>
      <c r="M304" s="922"/>
      <c r="N304" s="662"/>
      <c r="O304" s="1310"/>
    </row>
    <row r="305" spans="1:15" ht="13" x14ac:dyDescent="0.3">
      <c r="B305" s="579">
        <f t="shared" si="13"/>
        <v>240</v>
      </c>
      <c r="C305" s="1079" t="s">
        <v>521</v>
      </c>
      <c r="D305" t="s">
        <v>1264</v>
      </c>
      <c r="E305" s="537">
        <v>68268.837868638351</v>
      </c>
      <c r="F305" s="741">
        <v>58</v>
      </c>
      <c r="G305" s="537">
        <v>2068.5999999999995</v>
      </c>
      <c r="H305" s="1235">
        <f t="shared" si="12"/>
        <v>0.99451923076923054</v>
      </c>
      <c r="J305" s="1267"/>
      <c r="K305" s="550"/>
      <c r="L305" s="662"/>
      <c r="M305" s="922"/>
      <c r="N305" s="662"/>
      <c r="O305" s="1310"/>
    </row>
    <row r="306" spans="1:15" ht="13" x14ac:dyDescent="0.3">
      <c r="B306" s="579">
        <f t="shared" si="13"/>
        <v>241</v>
      </c>
      <c r="C306" s="1079" t="s">
        <v>521</v>
      </c>
      <c r="D306" t="s">
        <v>1264</v>
      </c>
      <c r="E306" s="537">
        <v>71255.834242161465</v>
      </c>
      <c r="F306" s="741">
        <v>202</v>
      </c>
      <c r="G306" s="537">
        <v>2351.4999999999995</v>
      </c>
      <c r="H306" s="1235">
        <f t="shared" si="12"/>
        <v>1.1305288461538459</v>
      </c>
      <c r="J306" s="1267"/>
      <c r="K306" s="550"/>
      <c r="L306" s="662"/>
      <c r="M306" s="922"/>
      <c r="N306" s="662"/>
      <c r="O306" s="1310"/>
    </row>
    <row r="307" spans="1:15" ht="13" x14ac:dyDescent="0.3">
      <c r="B307" s="579">
        <f t="shared" si="13"/>
        <v>242</v>
      </c>
      <c r="C307" s="1079" t="s">
        <v>521</v>
      </c>
      <c r="D307" t="s">
        <v>1264</v>
      </c>
      <c r="E307" s="537">
        <v>62188.077097213783</v>
      </c>
      <c r="F307" s="741">
        <v>96</v>
      </c>
      <c r="G307" s="537">
        <v>2059.6499999999996</v>
      </c>
      <c r="H307" s="1235">
        <f t="shared" si="12"/>
        <v>0.99021634615384602</v>
      </c>
      <c r="J307" s="1267"/>
      <c r="K307" s="550"/>
      <c r="L307" s="662"/>
      <c r="M307" s="922"/>
      <c r="N307" s="662"/>
      <c r="O307" s="1310"/>
    </row>
    <row r="308" spans="1:15" ht="13" x14ac:dyDescent="0.3">
      <c r="A308" s="1309" t="s">
        <v>1618</v>
      </c>
      <c r="B308" s="579">
        <f t="shared" si="13"/>
        <v>243</v>
      </c>
      <c r="C308" s="1079" t="s">
        <v>521</v>
      </c>
      <c r="D308" s="702" t="s">
        <v>1125</v>
      </c>
      <c r="E308" s="626">
        <v>43256.849222413097</v>
      </c>
      <c r="F308">
        <v>1063</v>
      </c>
      <c r="G308" s="975">
        <v>815</v>
      </c>
      <c r="H308" s="1235">
        <f>+G308/2080</f>
        <v>0.39182692307692307</v>
      </c>
      <c r="J308" s="550"/>
      <c r="K308" s="550"/>
      <c r="L308" s="550"/>
      <c r="M308" s="550"/>
      <c r="N308" s="550"/>
      <c r="O308" s="550"/>
    </row>
    <row r="309" spans="1:15" ht="13" x14ac:dyDescent="0.3">
      <c r="B309" s="579"/>
      <c r="C309" s="1079"/>
      <c r="E309" s="537"/>
      <c r="F309" s="741"/>
      <c r="G309" s="741"/>
      <c r="H309" s="1235"/>
      <c r="J309" s="550"/>
      <c r="K309" s="550"/>
      <c r="L309" s="550"/>
      <c r="M309" s="550"/>
      <c r="N309" s="550"/>
      <c r="O309" s="550"/>
    </row>
    <row r="310" spans="1:15" ht="13" x14ac:dyDescent="0.3">
      <c r="B310" s="579"/>
      <c r="C310" s="1079"/>
      <c r="E310" s="537"/>
      <c r="F310" s="741"/>
      <c r="G310" s="741"/>
      <c r="H310" s="1235"/>
      <c r="J310" s="550"/>
      <c r="K310" s="550"/>
      <c r="L310" s="550"/>
      <c r="M310" s="550"/>
      <c r="N310" s="550"/>
      <c r="O310" s="550"/>
    </row>
    <row r="311" spans="1:15" ht="13" x14ac:dyDescent="0.3">
      <c r="B311" s="579"/>
      <c r="C311" s="1079"/>
      <c r="E311" s="537"/>
      <c r="F311" s="741"/>
      <c r="G311" s="741"/>
      <c r="H311" s="1235"/>
    </row>
    <row r="312" spans="1:15" ht="13" x14ac:dyDescent="0.3">
      <c r="B312" s="579"/>
      <c r="C312" s="1079"/>
      <c r="E312" s="537"/>
      <c r="F312" s="741"/>
      <c r="G312" s="741"/>
      <c r="H312" s="1235"/>
    </row>
    <row r="313" spans="1:15" ht="13" x14ac:dyDescent="0.3">
      <c r="B313" s="579"/>
      <c r="C313" s="1079"/>
      <c r="D313" s="1079"/>
      <c r="E313" s="537"/>
      <c r="F313" s="537"/>
      <c r="G313" s="537"/>
      <c r="H313" s="1051"/>
    </row>
    <row r="314" spans="1:15" ht="13" x14ac:dyDescent="0.3">
      <c r="C314" s="535"/>
      <c r="D314" s="1079"/>
      <c r="E314" s="537"/>
      <c r="F314" s="537"/>
      <c r="G314" s="537"/>
      <c r="H314" s="550"/>
    </row>
    <row r="315" spans="1:15" ht="13" x14ac:dyDescent="0.3">
      <c r="C315" s="535"/>
      <c r="D315" s="1079"/>
      <c r="E315" s="537"/>
      <c r="F315" s="537"/>
      <c r="G315" s="537"/>
      <c r="H315" s="550"/>
    </row>
    <row r="316" spans="1:15" s="534" customFormat="1" ht="13" x14ac:dyDescent="0.3">
      <c r="C316" s="1102">
        <f>+B308</f>
        <v>243</v>
      </c>
      <c r="D316" s="1079" t="s">
        <v>1056</v>
      </c>
      <c r="E316" s="609">
        <f>SUM(E66:E315)</f>
        <v>13702530.80093069</v>
      </c>
      <c r="F316" s="609">
        <f>SUM(F66:F315)</f>
        <v>188889</v>
      </c>
      <c r="G316" s="609">
        <f>SUM(G66:G315)</f>
        <v>375803.35</v>
      </c>
      <c r="H316" s="1082">
        <f>+G316/2080</f>
        <v>180.67468749999998</v>
      </c>
    </row>
    <row r="317" spans="1:15" ht="12" customHeight="1" x14ac:dyDescent="0.3">
      <c r="C317" s="535"/>
      <c r="D317" s="1079"/>
      <c r="E317" s="537"/>
      <c r="F317" s="537"/>
      <c r="G317" s="537"/>
      <c r="H317" s="550"/>
    </row>
    <row r="318" spans="1:15" ht="13" x14ac:dyDescent="0.3">
      <c r="C318" s="535"/>
      <c r="D318" s="1079"/>
      <c r="E318" s="537"/>
      <c r="F318" s="537"/>
      <c r="G318" s="537"/>
      <c r="H318" s="550"/>
    </row>
    <row r="319" spans="1:15" ht="13" x14ac:dyDescent="0.3">
      <c r="C319" s="535"/>
      <c r="D319" s="1079"/>
      <c r="E319" s="537"/>
      <c r="F319" s="537"/>
      <c r="G319" s="537"/>
      <c r="H319" s="550"/>
    </row>
    <row r="320" spans="1:15" ht="13" x14ac:dyDescent="0.3">
      <c r="C320" s="535"/>
      <c r="D320" s="1079"/>
      <c r="E320" s="537"/>
      <c r="F320" s="537"/>
      <c r="G320" s="537"/>
      <c r="H320" s="550"/>
    </row>
    <row r="321" spans="2:19" ht="15.5" x14ac:dyDescent="0.35">
      <c r="C321" s="1083" t="s">
        <v>1057</v>
      </c>
      <c r="D321" s="1079"/>
      <c r="E321" s="537"/>
      <c r="F321" s="537"/>
      <c r="G321" s="537"/>
      <c r="H321" s="550"/>
    </row>
    <row r="322" spans="2:19" ht="13.5" thickBot="1" x14ac:dyDescent="0.35">
      <c r="C322" s="535"/>
      <c r="D322" s="1079"/>
      <c r="E322" s="537"/>
      <c r="F322" s="537"/>
      <c r="G322" s="537"/>
      <c r="H322" s="550"/>
    </row>
    <row r="323" spans="2:19" ht="27" thickBot="1" x14ac:dyDescent="0.4">
      <c r="B323" s="1104" t="s">
        <v>1095</v>
      </c>
      <c r="C323" s="1078" t="s">
        <v>1026</v>
      </c>
      <c r="D323" s="1045" t="s">
        <v>1027</v>
      </c>
      <c r="E323" s="1046" t="s">
        <v>1028</v>
      </c>
      <c r="F323" s="1045" t="s">
        <v>1029</v>
      </c>
      <c r="G323" s="1047" t="s">
        <v>1030</v>
      </c>
      <c r="H323" s="1048" t="s">
        <v>203</v>
      </c>
      <c r="J323" s="550"/>
      <c r="K323" s="794"/>
      <c r="L323" s="1302"/>
      <c r="M323" s="1302"/>
      <c r="N323" s="1302"/>
      <c r="O323" s="1303"/>
      <c r="P323" s="1304"/>
      <c r="Q323" s="1303"/>
      <c r="R323" s="1304"/>
      <c r="S323" s="794"/>
    </row>
    <row r="324" spans="2:19" ht="13" x14ac:dyDescent="0.3">
      <c r="B324" s="579">
        <v>1</v>
      </c>
      <c r="C324" s="1079" t="s">
        <v>522</v>
      </c>
      <c r="D324" t="s">
        <v>566</v>
      </c>
      <c r="E324" s="537">
        <v>33089.263505861978</v>
      </c>
      <c r="F324">
        <v>0</v>
      </c>
      <c r="G324" s="741">
        <v>1464.37</v>
      </c>
      <c r="H324" s="1235">
        <f t="shared" ref="H324:H365" si="14">+G324/2080</f>
        <v>0.70402403846153838</v>
      </c>
      <c r="J324" s="662"/>
      <c r="K324" s="917"/>
      <c r="L324" s="552"/>
      <c r="M324" s="552"/>
      <c r="N324" s="552"/>
      <c r="O324" s="550"/>
      <c r="P324" s="662"/>
      <c r="Q324" s="550"/>
      <c r="R324" s="922"/>
      <c r="S324" s="1310"/>
    </row>
    <row r="325" spans="2:19" ht="13" x14ac:dyDescent="0.3">
      <c r="B325" s="579">
        <f>+B324+1</f>
        <v>2</v>
      </c>
      <c r="C325" s="1079" t="s">
        <v>522</v>
      </c>
      <c r="D325" t="s">
        <v>566</v>
      </c>
      <c r="E325" s="537">
        <v>53748.636384760081</v>
      </c>
      <c r="F325">
        <v>0</v>
      </c>
      <c r="G325" s="741">
        <v>2095</v>
      </c>
      <c r="H325" s="1235">
        <f t="shared" si="14"/>
        <v>1.0072115384615385</v>
      </c>
      <c r="J325" s="662"/>
      <c r="K325" s="917"/>
      <c r="L325" s="552"/>
      <c r="M325" s="552"/>
      <c r="N325" s="552"/>
      <c r="O325" s="550"/>
      <c r="P325" s="662"/>
      <c r="Q325" s="550"/>
      <c r="R325" s="922"/>
      <c r="S325" s="1310"/>
    </row>
    <row r="326" spans="2:19" ht="13" x14ac:dyDescent="0.3">
      <c r="B326" s="579">
        <f t="shared" ref="B326:B366" si="15">+B325+1</f>
        <v>3</v>
      </c>
      <c r="C326" s="1079" t="s">
        <v>522</v>
      </c>
      <c r="D326" t="s">
        <v>566</v>
      </c>
      <c r="E326" s="537">
        <v>53315.238551620278</v>
      </c>
      <c r="F326">
        <v>0</v>
      </c>
      <c r="G326" s="741">
        <v>2084.7499999999995</v>
      </c>
      <c r="H326" s="1235">
        <f t="shared" si="14"/>
        <v>1.0022836538461537</v>
      </c>
      <c r="J326" s="662"/>
      <c r="K326" s="917"/>
      <c r="L326" s="552"/>
      <c r="M326" s="552"/>
      <c r="N326" s="552"/>
      <c r="O326" s="550"/>
      <c r="P326" s="662"/>
      <c r="Q326" s="550"/>
      <c r="R326" s="922"/>
      <c r="S326" s="1310"/>
    </row>
    <row r="327" spans="2:19" ht="13" x14ac:dyDescent="0.3">
      <c r="B327" s="579">
        <f t="shared" si="15"/>
        <v>4</v>
      </c>
      <c r="C327" s="1079" t="s">
        <v>522</v>
      </c>
      <c r="D327" t="s">
        <v>566</v>
      </c>
      <c r="E327" s="537">
        <v>50078.710395176131</v>
      </c>
      <c r="F327">
        <v>0</v>
      </c>
      <c r="G327" s="741">
        <v>2100.75</v>
      </c>
      <c r="H327" s="1235">
        <f t="shared" si="14"/>
        <v>1.0099759615384616</v>
      </c>
      <c r="J327" s="662"/>
      <c r="K327" s="917"/>
      <c r="L327" s="552"/>
      <c r="M327" s="552"/>
      <c r="N327" s="552"/>
      <c r="O327" s="550"/>
      <c r="P327" s="662"/>
      <c r="Q327" s="550"/>
      <c r="R327" s="922"/>
      <c r="S327" s="1310"/>
    </row>
    <row r="328" spans="2:19" ht="13" x14ac:dyDescent="0.3">
      <c r="B328" s="579">
        <f t="shared" si="15"/>
        <v>5</v>
      </c>
      <c r="C328" s="1079" t="s">
        <v>522</v>
      </c>
      <c r="D328" t="s">
        <v>566</v>
      </c>
      <c r="E328" s="537">
        <f>3443.428+25</f>
        <v>3468.4279999999999</v>
      </c>
      <c r="F328">
        <v>0</v>
      </c>
      <c r="G328" s="741">
        <v>140.75</v>
      </c>
      <c r="H328" s="1235">
        <f t="shared" si="14"/>
        <v>6.7668269230769226E-2</v>
      </c>
      <c r="J328" s="662"/>
      <c r="K328" s="917"/>
      <c r="L328" s="552"/>
      <c r="M328" s="552"/>
      <c r="N328" s="552"/>
      <c r="O328" s="550"/>
      <c r="P328" s="662"/>
      <c r="Q328" s="550"/>
      <c r="R328" s="922"/>
      <c r="S328" s="1310"/>
    </row>
    <row r="329" spans="2:19" ht="13" x14ac:dyDescent="0.3">
      <c r="B329" s="579">
        <f t="shared" si="15"/>
        <v>6</v>
      </c>
      <c r="C329" s="1079" t="s">
        <v>522</v>
      </c>
      <c r="D329" t="s">
        <v>566</v>
      </c>
      <c r="E329" s="537">
        <v>62511.169290790865</v>
      </c>
      <c r="F329">
        <v>0</v>
      </c>
      <c r="G329" s="741">
        <v>2014.0000000000011</v>
      </c>
      <c r="H329" s="1235">
        <f t="shared" si="14"/>
        <v>0.96826923076923133</v>
      </c>
      <c r="J329" s="662"/>
      <c r="K329" s="917"/>
      <c r="L329" s="552"/>
      <c r="M329" s="552"/>
      <c r="N329" s="552"/>
      <c r="O329" s="550"/>
      <c r="P329" s="662"/>
      <c r="Q329" s="550"/>
      <c r="R329" s="922"/>
      <c r="S329" s="1310"/>
    </row>
    <row r="330" spans="2:19" ht="13" x14ac:dyDescent="0.3">
      <c r="B330" s="579">
        <f t="shared" si="15"/>
        <v>7</v>
      </c>
      <c r="C330" s="1079" t="s">
        <v>522</v>
      </c>
      <c r="D330" t="s">
        <v>698</v>
      </c>
      <c r="E330" s="537">
        <v>21519.38311944274</v>
      </c>
      <c r="F330">
        <v>0</v>
      </c>
      <c r="G330" s="741">
        <v>894.25000000000023</v>
      </c>
      <c r="H330" s="1235">
        <f t="shared" si="14"/>
        <v>0.42992788461538473</v>
      </c>
      <c r="J330" s="662"/>
      <c r="K330" s="917"/>
      <c r="L330" s="552"/>
      <c r="M330" s="552"/>
      <c r="N330" s="552"/>
      <c r="O330" s="550"/>
      <c r="P330" s="662"/>
      <c r="Q330" s="550"/>
      <c r="R330" s="922"/>
      <c r="S330" s="1310"/>
    </row>
    <row r="331" spans="2:19" ht="13" x14ac:dyDescent="0.3">
      <c r="B331" s="579">
        <f t="shared" si="15"/>
        <v>8</v>
      </c>
      <c r="C331" s="1079" t="s">
        <v>522</v>
      </c>
      <c r="D331" t="s">
        <v>698</v>
      </c>
      <c r="E331" s="537">
        <v>47995.944452002426</v>
      </c>
      <c r="F331">
        <v>1</v>
      </c>
      <c r="G331" s="741">
        <v>2075.9999999999986</v>
      </c>
      <c r="H331" s="1235">
        <f t="shared" si="14"/>
        <v>0.99807692307692242</v>
      </c>
      <c r="J331" s="662"/>
      <c r="K331" s="917"/>
      <c r="L331" s="552"/>
      <c r="M331" s="552"/>
      <c r="N331" s="552"/>
      <c r="O331" s="550"/>
      <c r="P331" s="662"/>
      <c r="Q331" s="550"/>
      <c r="R331" s="922"/>
      <c r="S331" s="1310"/>
    </row>
    <row r="332" spans="2:19" ht="13" x14ac:dyDescent="0.3">
      <c r="B332" s="579">
        <f t="shared" si="15"/>
        <v>9</v>
      </c>
      <c r="C332" s="1079" t="s">
        <v>522</v>
      </c>
      <c r="D332" t="s">
        <v>698</v>
      </c>
      <c r="E332" s="537">
        <v>48905.271446600513</v>
      </c>
      <c r="F332">
        <v>0</v>
      </c>
      <c r="G332" s="741">
        <v>1891.2500000000002</v>
      </c>
      <c r="H332" s="1235">
        <f t="shared" si="14"/>
        <v>0.90925480769230782</v>
      </c>
      <c r="J332" s="662"/>
      <c r="K332" s="917"/>
      <c r="L332" s="552"/>
      <c r="M332" s="552"/>
      <c r="N332" s="552"/>
      <c r="O332" s="550"/>
      <c r="P332" s="662"/>
      <c r="Q332" s="550"/>
      <c r="R332" s="922"/>
      <c r="S332" s="1310"/>
    </row>
    <row r="333" spans="2:19" ht="13" x14ac:dyDescent="0.3">
      <c r="B333" s="579">
        <f t="shared" si="15"/>
        <v>10</v>
      </c>
      <c r="C333" s="1079" t="s">
        <v>522</v>
      </c>
      <c r="D333" t="s">
        <v>698</v>
      </c>
      <c r="E333" s="537">
        <v>1870.0093689491118</v>
      </c>
      <c r="F333">
        <v>0</v>
      </c>
      <c r="G333" s="741">
        <v>82.160000000000011</v>
      </c>
      <c r="H333" s="1235">
        <f t="shared" si="14"/>
        <v>3.9500000000000007E-2</v>
      </c>
      <c r="J333" s="662"/>
      <c r="K333" s="917"/>
      <c r="L333" s="552"/>
      <c r="M333" s="552"/>
      <c r="N333" s="552"/>
      <c r="O333" s="550"/>
      <c r="P333" s="662"/>
      <c r="Q333" s="550"/>
      <c r="R333" s="922"/>
      <c r="S333" s="1310"/>
    </row>
    <row r="334" spans="2:19" ht="13" x14ac:dyDescent="0.3">
      <c r="B334" s="579">
        <f t="shared" si="15"/>
        <v>11</v>
      </c>
      <c r="C334" s="1079" t="s">
        <v>522</v>
      </c>
      <c r="D334" t="s">
        <v>698</v>
      </c>
      <c r="E334" s="537">
        <v>9779.9070627009914</v>
      </c>
      <c r="F334">
        <v>0</v>
      </c>
      <c r="G334" s="741">
        <v>373.75000000000006</v>
      </c>
      <c r="H334" s="1235">
        <f t="shared" si="14"/>
        <v>0.17968750000000003</v>
      </c>
      <c r="J334" s="662"/>
      <c r="K334" s="917"/>
      <c r="L334" s="552"/>
      <c r="M334" s="552"/>
      <c r="N334" s="552"/>
      <c r="O334" s="550"/>
      <c r="P334" s="662"/>
      <c r="Q334" s="550"/>
      <c r="R334" s="922"/>
      <c r="S334" s="1310"/>
    </row>
    <row r="335" spans="2:19" ht="13" x14ac:dyDescent="0.3">
      <c r="B335" s="579">
        <f t="shared" si="15"/>
        <v>12</v>
      </c>
      <c r="C335" s="1079" t="s">
        <v>522</v>
      </c>
      <c r="D335" t="s">
        <v>698</v>
      </c>
      <c r="E335" s="537">
        <v>54714.565222308272</v>
      </c>
      <c r="F335">
        <v>0</v>
      </c>
      <c r="G335" s="741">
        <v>2083.2499999999986</v>
      </c>
      <c r="H335" s="1235">
        <f t="shared" si="14"/>
        <v>1.0015624999999992</v>
      </c>
      <c r="J335" s="662"/>
      <c r="K335" s="917"/>
      <c r="L335" s="552"/>
      <c r="M335" s="552"/>
      <c r="N335" s="552"/>
      <c r="O335" s="550"/>
      <c r="P335" s="662"/>
      <c r="Q335" s="550"/>
      <c r="R335" s="922"/>
      <c r="S335" s="1310"/>
    </row>
    <row r="336" spans="2:19" ht="13" x14ac:dyDescent="0.3">
      <c r="B336" s="579">
        <f t="shared" si="15"/>
        <v>13</v>
      </c>
      <c r="C336" s="1079" t="s">
        <v>522</v>
      </c>
      <c r="D336" t="s">
        <v>835</v>
      </c>
      <c r="E336" s="537">
        <v>148341.55837555329</v>
      </c>
      <c r="F336">
        <v>0</v>
      </c>
      <c r="G336" s="741">
        <v>1081.5999999999999</v>
      </c>
      <c r="H336" s="1235">
        <f t="shared" si="14"/>
        <v>0.51999999999999991</v>
      </c>
      <c r="J336" s="662"/>
      <c r="K336" s="917"/>
      <c r="L336" s="552"/>
      <c r="M336" s="552"/>
      <c r="N336" s="552"/>
      <c r="O336" s="550"/>
      <c r="P336" s="662"/>
      <c r="Q336" s="550"/>
      <c r="R336" s="922"/>
      <c r="S336" s="1310"/>
    </row>
    <row r="337" spans="2:19" s="627" customFormat="1" ht="13" x14ac:dyDescent="0.3">
      <c r="B337" s="579">
        <f t="shared" si="15"/>
        <v>14</v>
      </c>
      <c r="C337" s="1084" t="s">
        <v>522</v>
      </c>
      <c r="D337" t="s">
        <v>699</v>
      </c>
      <c r="E337" s="538">
        <v>3946.959232921381</v>
      </c>
      <c r="F337" s="534">
        <v>11</v>
      </c>
      <c r="G337" s="839">
        <v>228.18999999999997</v>
      </c>
      <c r="H337" s="1235">
        <f t="shared" si="14"/>
        <v>0.10970673076923075</v>
      </c>
      <c r="J337" s="662"/>
      <c r="K337" s="917"/>
      <c r="L337" s="552"/>
      <c r="M337" s="552"/>
      <c r="N337" s="552"/>
      <c r="O337" s="550"/>
      <c r="P337" s="662"/>
      <c r="Q337" s="550"/>
      <c r="R337" s="922"/>
      <c r="S337" s="1310"/>
    </row>
    <row r="338" spans="2:19" ht="13" x14ac:dyDescent="0.3">
      <c r="B338" s="579">
        <f t="shared" si="15"/>
        <v>15</v>
      </c>
      <c r="C338" s="1079" t="s">
        <v>522</v>
      </c>
      <c r="D338" t="s">
        <v>699</v>
      </c>
      <c r="E338" s="537">
        <v>4653.3430377893956</v>
      </c>
      <c r="F338">
        <v>22</v>
      </c>
      <c r="G338" s="741">
        <v>249.18999999999997</v>
      </c>
      <c r="H338" s="1235">
        <f t="shared" si="14"/>
        <v>0.1198028846153846</v>
      </c>
      <c r="J338" s="662"/>
      <c r="K338" s="917"/>
      <c r="L338" s="552"/>
      <c r="M338" s="552"/>
      <c r="N338" s="552"/>
      <c r="O338" s="550"/>
      <c r="P338" s="662"/>
      <c r="Q338" s="550"/>
      <c r="R338" s="922"/>
      <c r="S338" s="1310"/>
    </row>
    <row r="339" spans="2:19" ht="13" x14ac:dyDescent="0.3">
      <c r="B339" s="579">
        <f t="shared" si="15"/>
        <v>16</v>
      </c>
      <c r="C339" s="1079" t="s">
        <v>522</v>
      </c>
      <c r="D339" t="s">
        <v>699</v>
      </c>
      <c r="E339" s="537">
        <v>4104.842798735117</v>
      </c>
      <c r="F339">
        <v>1143</v>
      </c>
      <c r="G339" s="741">
        <v>222.49999999999994</v>
      </c>
      <c r="H339" s="1235">
        <f t="shared" si="14"/>
        <v>0.10697115384615381</v>
      </c>
      <c r="J339" s="662"/>
      <c r="K339" s="917"/>
      <c r="L339" s="552"/>
      <c r="M339" s="552"/>
      <c r="N339" s="552"/>
      <c r="O339" s="550"/>
      <c r="P339" s="662"/>
      <c r="Q339" s="550"/>
      <c r="R339" s="922"/>
      <c r="S339" s="1310"/>
    </row>
    <row r="340" spans="2:19" ht="13" x14ac:dyDescent="0.3">
      <c r="B340" s="579">
        <f t="shared" si="15"/>
        <v>17</v>
      </c>
      <c r="C340" s="1079" t="s">
        <v>522</v>
      </c>
      <c r="D340" t="s">
        <v>699</v>
      </c>
      <c r="E340" s="537">
        <v>33070.566110353575</v>
      </c>
      <c r="F340">
        <v>443</v>
      </c>
      <c r="G340" s="741">
        <v>1872</v>
      </c>
      <c r="H340" s="1235">
        <f t="shared" si="14"/>
        <v>0.9</v>
      </c>
      <c r="J340" s="662"/>
      <c r="K340" s="917"/>
      <c r="L340" s="552"/>
      <c r="M340" s="552"/>
      <c r="N340" s="552"/>
      <c r="O340" s="550"/>
      <c r="P340" s="662"/>
      <c r="Q340" s="550"/>
      <c r="R340" s="922"/>
      <c r="S340" s="1310"/>
    </row>
    <row r="341" spans="2:19" ht="13" x14ac:dyDescent="0.3">
      <c r="B341" s="579">
        <f t="shared" si="15"/>
        <v>18</v>
      </c>
      <c r="C341" s="1079" t="s">
        <v>522</v>
      </c>
      <c r="D341" t="s">
        <v>699</v>
      </c>
      <c r="E341" s="537">
        <v>33345.270923357813</v>
      </c>
      <c r="F341">
        <v>342</v>
      </c>
      <c r="G341" s="741">
        <v>1871.9999999999998</v>
      </c>
      <c r="H341" s="1235">
        <f t="shared" si="14"/>
        <v>0.89999999999999991</v>
      </c>
      <c r="J341" s="662"/>
      <c r="K341" s="917"/>
      <c r="L341" s="552"/>
      <c r="M341" s="552"/>
      <c r="N341" s="552"/>
      <c r="O341" s="550"/>
      <c r="P341" s="662"/>
      <c r="Q341" s="550"/>
      <c r="R341" s="922"/>
      <c r="S341" s="1310"/>
    </row>
    <row r="342" spans="2:19" ht="13" x14ac:dyDescent="0.3">
      <c r="B342" s="579">
        <f t="shared" si="15"/>
        <v>19</v>
      </c>
      <c r="C342" s="1079" t="s">
        <v>522</v>
      </c>
      <c r="D342" t="s">
        <v>699</v>
      </c>
      <c r="E342" s="537">
        <v>33109.539836961165</v>
      </c>
      <c r="F342">
        <v>488</v>
      </c>
      <c r="G342" s="741">
        <v>1860</v>
      </c>
      <c r="H342" s="1235">
        <f t="shared" si="14"/>
        <v>0.89423076923076927</v>
      </c>
      <c r="J342" s="662"/>
      <c r="K342" s="917"/>
      <c r="L342" s="552"/>
      <c r="M342" s="552"/>
      <c r="N342" s="552"/>
      <c r="O342" s="550"/>
      <c r="P342" s="662"/>
      <c r="Q342" s="550"/>
      <c r="R342" s="922"/>
      <c r="S342" s="1310"/>
    </row>
    <row r="343" spans="2:19" ht="13" x14ac:dyDescent="0.3">
      <c r="B343" s="579">
        <f t="shared" si="15"/>
        <v>20</v>
      </c>
      <c r="C343" s="1079" t="s">
        <v>522</v>
      </c>
      <c r="D343" t="s">
        <v>699</v>
      </c>
      <c r="E343" s="537">
        <v>33077.231616929792</v>
      </c>
      <c r="F343">
        <v>487</v>
      </c>
      <c r="G343" s="741">
        <v>1872</v>
      </c>
      <c r="H343" s="1235">
        <f t="shared" si="14"/>
        <v>0.9</v>
      </c>
      <c r="J343" s="662"/>
      <c r="K343" s="917"/>
      <c r="L343" s="552"/>
      <c r="M343" s="552"/>
      <c r="N343" s="552"/>
      <c r="O343" s="550"/>
      <c r="P343" s="662"/>
      <c r="Q343" s="550"/>
      <c r="R343" s="922"/>
      <c r="S343" s="1310"/>
    </row>
    <row r="344" spans="2:19" ht="13" x14ac:dyDescent="0.3">
      <c r="B344" s="579">
        <f t="shared" si="15"/>
        <v>21</v>
      </c>
      <c r="C344" s="1079" t="s">
        <v>522</v>
      </c>
      <c r="D344" t="s">
        <v>699</v>
      </c>
      <c r="E344" s="537">
        <v>4773.3221561614255</v>
      </c>
      <c r="F344">
        <v>32</v>
      </c>
      <c r="G344" s="741">
        <v>259.18999999999994</v>
      </c>
      <c r="H344" s="1235">
        <f t="shared" si="14"/>
        <v>0.12461057692307689</v>
      </c>
      <c r="J344" s="662"/>
      <c r="K344" s="917"/>
      <c r="L344" s="552"/>
      <c r="M344" s="552"/>
      <c r="N344" s="552"/>
      <c r="O344" s="550"/>
      <c r="P344" s="662"/>
      <c r="Q344" s="550"/>
      <c r="R344" s="922"/>
      <c r="S344" s="1310"/>
    </row>
    <row r="345" spans="2:19" ht="13" x14ac:dyDescent="0.3">
      <c r="B345" s="579">
        <f t="shared" si="15"/>
        <v>22</v>
      </c>
      <c r="C345" s="1079" t="s">
        <v>522</v>
      </c>
      <c r="D345" t="s">
        <v>700</v>
      </c>
      <c r="E345" s="537">
        <v>427788.5845074993</v>
      </c>
      <c r="F345">
        <v>537</v>
      </c>
      <c r="G345" s="741">
        <v>1993.152</v>
      </c>
      <c r="H345" s="1235">
        <f t="shared" si="14"/>
        <v>0.95824615384615386</v>
      </c>
      <c r="J345" s="662"/>
      <c r="K345" s="917"/>
      <c r="L345" s="552"/>
      <c r="M345" s="552"/>
      <c r="N345" s="552"/>
      <c r="O345" s="550"/>
      <c r="P345" s="662"/>
      <c r="Q345" s="550"/>
      <c r="R345" s="922"/>
      <c r="S345" s="1310"/>
    </row>
    <row r="346" spans="2:19" ht="13" x14ac:dyDescent="0.3">
      <c r="B346" s="579">
        <f t="shared" si="15"/>
        <v>23</v>
      </c>
      <c r="C346" s="1079" t="s">
        <v>522</v>
      </c>
      <c r="D346" t="s">
        <v>891</v>
      </c>
      <c r="E346" s="537">
        <v>56436.254578357359</v>
      </c>
      <c r="F346">
        <v>0</v>
      </c>
      <c r="G346" s="741">
        <v>2091</v>
      </c>
      <c r="H346" s="1235">
        <f t="shared" si="14"/>
        <v>1.0052884615384616</v>
      </c>
      <c r="J346" s="662"/>
      <c r="K346" s="917"/>
      <c r="L346" s="552"/>
      <c r="M346" s="552"/>
      <c r="N346" s="552"/>
      <c r="O346" s="550"/>
      <c r="P346" s="662"/>
      <c r="Q346" s="550"/>
      <c r="R346" s="922"/>
      <c r="S346" s="1310"/>
    </row>
    <row r="347" spans="2:19" ht="13" x14ac:dyDescent="0.3">
      <c r="B347" s="579">
        <f t="shared" si="15"/>
        <v>24</v>
      </c>
      <c r="C347" s="1079" t="s">
        <v>522</v>
      </c>
      <c r="D347" t="s">
        <v>891</v>
      </c>
      <c r="E347" s="537">
        <v>72761.419280802991</v>
      </c>
      <c r="F347">
        <v>0</v>
      </c>
      <c r="G347" s="741">
        <v>2186</v>
      </c>
      <c r="H347" s="1235">
        <f t="shared" si="14"/>
        <v>1.0509615384615385</v>
      </c>
      <c r="J347" s="662"/>
      <c r="K347" s="917"/>
      <c r="L347" s="552"/>
      <c r="M347" s="552"/>
      <c r="N347" s="552"/>
      <c r="O347" s="550"/>
      <c r="P347" s="662"/>
      <c r="Q347" s="550"/>
      <c r="R347" s="922"/>
      <c r="S347" s="1310"/>
    </row>
    <row r="348" spans="2:19" ht="13" x14ac:dyDescent="0.3">
      <c r="B348" s="579">
        <f t="shared" si="15"/>
        <v>25</v>
      </c>
      <c r="C348" s="1079" t="s">
        <v>522</v>
      </c>
      <c r="D348" t="s">
        <v>891</v>
      </c>
      <c r="E348" s="537">
        <v>59895.792397102872</v>
      </c>
      <c r="F348">
        <v>0</v>
      </c>
      <c r="G348" s="741">
        <v>2151.25</v>
      </c>
      <c r="H348" s="1235">
        <f t="shared" si="14"/>
        <v>1.0342548076923077</v>
      </c>
      <c r="J348" s="662"/>
      <c r="K348" s="917"/>
      <c r="L348" s="552"/>
      <c r="M348" s="552"/>
      <c r="N348" s="552"/>
      <c r="O348" s="550"/>
      <c r="P348" s="662"/>
      <c r="Q348" s="550"/>
      <c r="R348" s="922"/>
      <c r="S348" s="1310"/>
    </row>
    <row r="349" spans="2:19" ht="13" x14ac:dyDescent="0.3">
      <c r="B349" s="579">
        <f t="shared" si="15"/>
        <v>26</v>
      </c>
      <c r="C349" s="1079" t="s">
        <v>522</v>
      </c>
      <c r="D349" t="s">
        <v>1120</v>
      </c>
      <c r="E349" s="537">
        <v>110419</v>
      </c>
      <c r="F349">
        <v>185</v>
      </c>
      <c r="G349" s="741">
        <v>2080</v>
      </c>
      <c r="H349" s="1235">
        <f t="shared" si="14"/>
        <v>1</v>
      </c>
      <c r="J349" s="662"/>
      <c r="K349" s="917"/>
      <c r="L349" s="552"/>
      <c r="M349" s="552"/>
      <c r="N349" s="552"/>
      <c r="O349" s="550"/>
      <c r="P349" s="662"/>
      <c r="Q349" s="550"/>
      <c r="R349" s="922"/>
      <c r="S349" s="1310"/>
    </row>
    <row r="350" spans="2:19" ht="13" x14ac:dyDescent="0.3">
      <c r="B350" s="579">
        <f t="shared" si="15"/>
        <v>27</v>
      </c>
      <c r="C350" s="1079" t="s">
        <v>522</v>
      </c>
      <c r="D350" t="s">
        <v>1121</v>
      </c>
      <c r="E350" s="537">
        <v>163888.85746122728</v>
      </c>
      <c r="F350">
        <v>668</v>
      </c>
      <c r="G350" s="741">
        <v>2092.0000000000005</v>
      </c>
      <c r="H350" s="1235">
        <f t="shared" si="14"/>
        <v>1.005769230769231</v>
      </c>
      <c r="J350" s="662"/>
      <c r="K350" s="917"/>
      <c r="L350" s="552"/>
      <c r="M350" s="552"/>
      <c r="N350" s="552"/>
      <c r="O350" s="550"/>
      <c r="P350" s="662"/>
      <c r="Q350" s="550"/>
      <c r="R350" s="922"/>
      <c r="S350" s="1310"/>
    </row>
    <row r="351" spans="2:19" ht="13" x14ac:dyDescent="0.3">
      <c r="B351" s="579">
        <f t="shared" si="15"/>
        <v>28</v>
      </c>
      <c r="C351" s="1079" t="s">
        <v>522</v>
      </c>
      <c r="D351" t="s">
        <v>572</v>
      </c>
      <c r="E351" s="537">
        <v>87229.006233761</v>
      </c>
      <c r="F351">
        <v>0</v>
      </c>
      <c r="G351" s="741">
        <v>2000</v>
      </c>
      <c r="H351" s="1235">
        <f t="shared" si="14"/>
        <v>0.96153846153846156</v>
      </c>
      <c r="J351" s="662"/>
      <c r="K351" s="917"/>
      <c r="L351" s="552"/>
      <c r="M351" s="552"/>
      <c r="N351" s="552"/>
      <c r="O351" s="550"/>
      <c r="P351" s="662"/>
      <c r="Q351" s="550"/>
      <c r="R351" s="922"/>
      <c r="S351" s="1310"/>
    </row>
    <row r="352" spans="2:19" ht="13" x14ac:dyDescent="0.3">
      <c r="B352" s="579">
        <f t="shared" si="15"/>
        <v>29</v>
      </c>
      <c r="C352" s="1079" t="s">
        <v>522</v>
      </c>
      <c r="D352" t="s">
        <v>573</v>
      </c>
      <c r="E352" s="537">
        <v>21209.272174804973</v>
      </c>
      <c r="F352">
        <v>0</v>
      </c>
      <c r="G352" s="741">
        <v>1051.25</v>
      </c>
      <c r="H352" s="1235">
        <f t="shared" si="14"/>
        <v>0.50540865384615385</v>
      </c>
      <c r="J352" s="662"/>
      <c r="K352" s="917"/>
      <c r="L352" s="552"/>
      <c r="M352" s="552"/>
      <c r="N352" s="552"/>
      <c r="O352" s="550"/>
      <c r="P352" s="662"/>
      <c r="Q352" s="550"/>
      <c r="R352" s="922"/>
      <c r="S352" s="1310"/>
    </row>
    <row r="353" spans="2:19" ht="13" x14ac:dyDescent="0.3">
      <c r="B353" s="579">
        <f t="shared" si="15"/>
        <v>30</v>
      </c>
      <c r="C353" s="1079" t="s">
        <v>522</v>
      </c>
      <c r="D353" t="s">
        <v>573</v>
      </c>
      <c r="E353" s="537">
        <v>6687.3718361771325</v>
      </c>
      <c r="F353">
        <v>0</v>
      </c>
      <c r="G353" s="741">
        <v>276.5</v>
      </c>
      <c r="H353" s="1235">
        <f t="shared" si="14"/>
        <v>0.13293269230769231</v>
      </c>
      <c r="J353" s="662"/>
      <c r="K353" s="917"/>
      <c r="L353" s="552"/>
      <c r="M353" s="552"/>
      <c r="N353" s="552"/>
      <c r="O353" s="550"/>
      <c r="P353" s="662"/>
      <c r="Q353" s="550"/>
      <c r="R353" s="922"/>
      <c r="S353" s="1310"/>
    </row>
    <row r="354" spans="2:19" ht="13" x14ac:dyDescent="0.3">
      <c r="B354" s="579">
        <f t="shared" si="15"/>
        <v>31</v>
      </c>
      <c r="C354" s="1079" t="s">
        <v>522</v>
      </c>
      <c r="D354" t="s">
        <v>573</v>
      </c>
      <c r="E354" s="537">
        <v>14514.345431623904</v>
      </c>
      <c r="F354">
        <v>0</v>
      </c>
      <c r="G354" s="741">
        <v>649.5</v>
      </c>
      <c r="H354" s="1235">
        <f t="shared" si="14"/>
        <v>0.31225961538461539</v>
      </c>
      <c r="J354" s="662"/>
      <c r="K354" s="917"/>
      <c r="L354" s="552"/>
      <c r="M354" s="552"/>
      <c r="N354" s="552"/>
      <c r="O354" s="550"/>
      <c r="P354" s="662"/>
      <c r="Q354" s="550"/>
      <c r="R354" s="922"/>
      <c r="S354" s="1310"/>
    </row>
    <row r="355" spans="2:19" ht="13" x14ac:dyDescent="0.3">
      <c r="B355" s="579">
        <f t="shared" si="15"/>
        <v>32</v>
      </c>
      <c r="C355" s="1079" t="s">
        <v>522</v>
      </c>
      <c r="D355" t="s">
        <v>1122</v>
      </c>
      <c r="E355" s="538">
        <v>110085.28810847695</v>
      </c>
      <c r="F355">
        <v>191</v>
      </c>
      <c r="G355" s="741">
        <v>2080.0000000000005</v>
      </c>
      <c r="H355" s="1235">
        <f t="shared" si="14"/>
        <v>1.0000000000000002</v>
      </c>
      <c r="J355" s="662"/>
      <c r="K355" s="917"/>
      <c r="L355" s="552"/>
      <c r="M355" s="552"/>
      <c r="N355" s="552"/>
      <c r="O355" s="550"/>
      <c r="P355" s="662"/>
      <c r="Q355" s="550"/>
      <c r="R355" s="922"/>
      <c r="S355" s="1310"/>
    </row>
    <row r="356" spans="2:19" ht="13" x14ac:dyDescent="0.3">
      <c r="B356" s="579">
        <f t="shared" si="15"/>
        <v>33</v>
      </c>
      <c r="C356" s="1079" t="s">
        <v>522</v>
      </c>
      <c r="D356" t="s">
        <v>1122</v>
      </c>
      <c r="E356" s="538">
        <v>87434.417759509553</v>
      </c>
      <c r="F356">
        <v>243</v>
      </c>
      <c r="G356" s="741">
        <v>1497.5999999999995</v>
      </c>
      <c r="H356" s="1235">
        <f t="shared" si="14"/>
        <v>0.71999999999999975</v>
      </c>
      <c r="J356" s="662"/>
      <c r="K356" s="917"/>
      <c r="L356" s="552"/>
      <c r="M356" s="552"/>
      <c r="N356" s="552"/>
      <c r="O356" s="550"/>
      <c r="P356" s="662"/>
      <c r="Q356" s="550"/>
      <c r="R356" s="922"/>
      <c r="S356" s="1310"/>
    </row>
    <row r="357" spans="2:19" ht="13" x14ac:dyDescent="0.3">
      <c r="B357" s="579">
        <f t="shared" si="15"/>
        <v>34</v>
      </c>
      <c r="C357" s="1079" t="s">
        <v>522</v>
      </c>
      <c r="D357" t="s">
        <v>1122</v>
      </c>
      <c r="E357" s="538">
        <v>115166.97238821033</v>
      </c>
      <c r="F357">
        <v>399</v>
      </c>
      <c r="G357" s="741">
        <v>1871.9999999999977</v>
      </c>
      <c r="H357" s="1235">
        <f t="shared" si="14"/>
        <v>0.89999999999999891</v>
      </c>
      <c r="J357" s="662"/>
      <c r="K357" s="917"/>
      <c r="L357" s="552"/>
      <c r="M357" s="552"/>
      <c r="N357" s="552"/>
      <c r="O357" s="550"/>
      <c r="P357" s="662"/>
      <c r="Q357" s="550"/>
      <c r="R357" s="922"/>
      <c r="S357" s="1310"/>
    </row>
    <row r="358" spans="2:19" ht="13" x14ac:dyDescent="0.3">
      <c r="B358" s="579">
        <f t="shared" si="15"/>
        <v>35</v>
      </c>
      <c r="C358" s="1079" t="s">
        <v>522</v>
      </c>
      <c r="D358" t="s">
        <v>1122</v>
      </c>
      <c r="E358" s="538">
        <v>121638.91944887974</v>
      </c>
      <c r="F358">
        <v>423</v>
      </c>
      <c r="G358" s="741">
        <v>2080</v>
      </c>
      <c r="H358" s="1235">
        <f t="shared" si="14"/>
        <v>1</v>
      </c>
      <c r="J358" s="662"/>
      <c r="K358" s="917"/>
      <c r="L358" s="552"/>
      <c r="M358" s="552"/>
      <c r="N358" s="552"/>
      <c r="O358" s="550"/>
      <c r="P358" s="662"/>
      <c r="Q358" s="550"/>
      <c r="R358" s="922"/>
      <c r="S358" s="1310"/>
    </row>
    <row r="359" spans="2:19" ht="13" x14ac:dyDescent="0.3">
      <c r="B359" s="579">
        <f t="shared" si="15"/>
        <v>36</v>
      </c>
      <c r="C359" s="1079" t="s">
        <v>522</v>
      </c>
      <c r="D359" t="s">
        <v>1122</v>
      </c>
      <c r="E359" s="538">
        <v>112822.02319086308</v>
      </c>
      <c r="F359">
        <v>746</v>
      </c>
      <c r="G359" s="741">
        <v>1670.7</v>
      </c>
      <c r="H359" s="1235">
        <f t="shared" si="14"/>
        <v>0.80322115384615389</v>
      </c>
      <c r="J359" s="662"/>
      <c r="K359" s="917"/>
      <c r="L359" s="552"/>
      <c r="M359" s="552"/>
      <c r="N359" s="552"/>
      <c r="O359" s="550"/>
      <c r="P359" s="662"/>
      <c r="Q359" s="550"/>
      <c r="R359" s="922"/>
      <c r="S359" s="1310"/>
    </row>
    <row r="360" spans="2:19" ht="13" x14ac:dyDescent="0.3">
      <c r="B360" s="579">
        <f t="shared" si="15"/>
        <v>37</v>
      </c>
      <c r="C360" s="1079" t="s">
        <v>522</v>
      </c>
      <c r="D360" t="s">
        <v>1122</v>
      </c>
      <c r="E360" s="538">
        <v>131624.84762638653</v>
      </c>
      <c r="F360">
        <v>785</v>
      </c>
      <c r="G360" s="741">
        <v>1889</v>
      </c>
      <c r="H360" s="1235">
        <f t="shared" si="14"/>
        <v>0.90817307692307692</v>
      </c>
      <c r="J360" s="662"/>
      <c r="K360" s="917"/>
      <c r="L360" s="552"/>
      <c r="M360" s="552"/>
      <c r="N360" s="552"/>
      <c r="O360" s="550"/>
      <c r="P360" s="662"/>
      <c r="Q360" s="550"/>
      <c r="R360" s="550"/>
      <c r="S360" s="550"/>
    </row>
    <row r="361" spans="2:19" ht="13" x14ac:dyDescent="0.3">
      <c r="B361" s="579">
        <f t="shared" si="15"/>
        <v>38</v>
      </c>
      <c r="C361" s="1079" t="s">
        <v>522</v>
      </c>
      <c r="D361" t="s">
        <v>623</v>
      </c>
      <c r="E361" s="537">
        <v>69506.543493063655</v>
      </c>
      <c r="F361">
        <v>0</v>
      </c>
      <c r="G361" s="741">
        <v>2080</v>
      </c>
      <c r="H361" s="1235">
        <f t="shared" si="14"/>
        <v>1</v>
      </c>
      <c r="J361" s="662"/>
      <c r="K361" s="917"/>
      <c r="L361" s="552"/>
      <c r="M361" s="552"/>
      <c r="N361" s="552"/>
      <c r="O361" s="550"/>
      <c r="P361" s="662"/>
      <c r="Q361" s="550"/>
      <c r="R361" s="922"/>
      <c r="S361" s="1310"/>
    </row>
    <row r="362" spans="2:19" ht="13" x14ac:dyDescent="0.3">
      <c r="B362" s="579">
        <f t="shared" si="15"/>
        <v>39</v>
      </c>
      <c r="C362" s="1079" t="s">
        <v>522</v>
      </c>
      <c r="D362" t="s">
        <v>623</v>
      </c>
      <c r="E362" s="537">
        <v>55102.024024367325</v>
      </c>
      <c r="F362">
        <v>0</v>
      </c>
      <c r="G362" s="741">
        <v>1805.2112310000007</v>
      </c>
      <c r="H362" s="1235">
        <f t="shared" si="14"/>
        <v>0.86789001490384643</v>
      </c>
      <c r="J362" s="662"/>
      <c r="K362" s="917"/>
      <c r="L362" s="552"/>
      <c r="M362" s="552"/>
      <c r="N362" s="552"/>
      <c r="O362" s="550"/>
      <c r="P362" s="662"/>
      <c r="Q362" s="550"/>
      <c r="R362" s="922"/>
      <c r="S362" s="1310"/>
    </row>
    <row r="363" spans="2:19" ht="13" x14ac:dyDescent="0.3">
      <c r="B363" s="579">
        <f t="shared" si="15"/>
        <v>40</v>
      </c>
      <c r="C363" s="1079" t="s">
        <v>522</v>
      </c>
      <c r="D363" s="702" t="s">
        <v>624</v>
      </c>
      <c r="E363" s="626">
        <v>63386.29933860655</v>
      </c>
      <c r="F363">
        <v>0</v>
      </c>
      <c r="G363" s="1242">
        <v>972.66659300000003</v>
      </c>
      <c r="H363" s="1235">
        <f t="shared" si="14"/>
        <v>0.46762816971153848</v>
      </c>
      <c r="J363" s="662"/>
      <c r="K363" s="917"/>
      <c r="L363" s="552"/>
      <c r="M363" s="552"/>
      <c r="N363" s="552"/>
      <c r="O363" s="550"/>
      <c r="P363" s="662"/>
      <c r="Q363" s="550"/>
      <c r="R363" s="922"/>
      <c r="S363" s="1310"/>
    </row>
    <row r="364" spans="2:19" ht="13" x14ac:dyDescent="0.3">
      <c r="B364" s="579">
        <f t="shared" si="15"/>
        <v>41</v>
      </c>
      <c r="C364" s="1079" t="s">
        <v>522</v>
      </c>
      <c r="D364" s="702" t="s">
        <v>1124</v>
      </c>
      <c r="E364" s="626">
        <v>19619.653785639508</v>
      </c>
      <c r="F364">
        <v>0</v>
      </c>
      <c r="G364" s="1242">
        <v>706.06999999999994</v>
      </c>
      <c r="H364" s="1235">
        <f t="shared" si="14"/>
        <v>0.33945673076923072</v>
      </c>
      <c r="J364" s="662"/>
      <c r="K364" s="917"/>
      <c r="L364" s="552"/>
      <c r="M364" s="552"/>
      <c r="N364" s="552"/>
      <c r="O364" s="550"/>
      <c r="P364" s="662"/>
      <c r="Q364" s="550"/>
      <c r="R364" s="922"/>
      <c r="S364" s="1310"/>
    </row>
    <row r="365" spans="2:19" ht="13" x14ac:dyDescent="0.3">
      <c r="B365" s="579">
        <f t="shared" si="15"/>
        <v>42</v>
      </c>
      <c r="C365" s="1079" t="s">
        <v>522</v>
      </c>
      <c r="D365" s="702" t="s">
        <v>1085</v>
      </c>
      <c r="E365" s="626">
        <v>70862.629313743688</v>
      </c>
      <c r="F365">
        <v>0</v>
      </c>
      <c r="G365" s="1242">
        <v>2024</v>
      </c>
      <c r="H365" s="1235">
        <f t="shared" si="14"/>
        <v>0.97307692307692306</v>
      </c>
      <c r="J365" s="662"/>
      <c r="K365" s="917"/>
      <c r="L365" s="552"/>
      <c r="M365" s="552"/>
      <c r="N365" s="552"/>
      <c r="O365" s="550"/>
      <c r="P365" s="662"/>
      <c r="Q365" s="550"/>
      <c r="R365" s="922"/>
      <c r="S365" s="1310"/>
    </row>
    <row r="366" spans="2:19" ht="13" x14ac:dyDescent="0.3">
      <c r="B366" s="579">
        <f t="shared" si="15"/>
        <v>43</v>
      </c>
      <c r="C366" s="1079" t="s">
        <v>522</v>
      </c>
      <c r="D366" t="s">
        <v>1122</v>
      </c>
      <c r="E366" s="538">
        <v>38885.44612020842</v>
      </c>
      <c r="F366">
        <v>7</v>
      </c>
      <c r="G366" s="741">
        <v>767.06</v>
      </c>
      <c r="H366" s="1235">
        <f>+G366/2080</f>
        <v>0.36877884615384615</v>
      </c>
      <c r="J366" s="662"/>
      <c r="K366" s="917"/>
      <c r="L366" s="552"/>
      <c r="M366" s="552"/>
      <c r="N366" s="552"/>
      <c r="O366" s="550"/>
      <c r="P366" s="662"/>
      <c r="Q366" s="550"/>
      <c r="R366" s="922"/>
      <c r="S366" s="1310"/>
    </row>
    <row r="367" spans="2:19" x14ac:dyDescent="0.25">
      <c r="J367" s="550"/>
      <c r="K367" s="550"/>
      <c r="L367" s="550"/>
      <c r="M367" s="550"/>
      <c r="N367" s="550"/>
      <c r="O367" s="550"/>
      <c r="P367" s="550"/>
      <c r="Q367" s="550"/>
      <c r="R367" s="550"/>
      <c r="S367" s="550"/>
    </row>
    <row r="368" spans="2:19" x14ac:dyDescent="0.25">
      <c r="B368" s="579"/>
      <c r="J368" s="550"/>
      <c r="K368" s="550"/>
      <c r="L368" s="550"/>
      <c r="M368" s="550"/>
      <c r="N368" s="550"/>
      <c r="O368" s="550"/>
      <c r="P368" s="550"/>
      <c r="Q368" s="550"/>
      <c r="R368" s="550"/>
      <c r="S368" s="550"/>
    </row>
    <row r="369" spans="2:19" ht="13" x14ac:dyDescent="0.3">
      <c r="C369" s="1079"/>
      <c r="D369" s="1079"/>
      <c r="E369" s="537"/>
      <c r="F369" s="537"/>
      <c r="G369" s="537"/>
      <c r="H369" s="550"/>
      <c r="J369" s="662"/>
      <c r="K369" s="917"/>
      <c r="L369" s="552"/>
      <c r="M369" s="552"/>
      <c r="N369" s="552"/>
      <c r="O369" s="550"/>
      <c r="P369" s="662"/>
      <c r="Q369" s="550"/>
      <c r="R369" s="922"/>
      <c r="S369" s="1310"/>
    </row>
    <row r="370" spans="2:19" ht="13" x14ac:dyDescent="0.3">
      <c r="C370" s="1079"/>
      <c r="D370" s="1079"/>
      <c r="E370" s="537"/>
      <c r="F370" s="537"/>
      <c r="G370" s="537"/>
      <c r="H370" s="550"/>
    </row>
    <row r="371" spans="2:19" ht="13" x14ac:dyDescent="0.3">
      <c r="C371" s="1106">
        <f>+B366</f>
        <v>43</v>
      </c>
      <c r="D371" s="1079" t="s">
        <v>1058</v>
      </c>
      <c r="E371" s="609">
        <f>SUM(E324:E370)</f>
        <v>2756384.1293882886</v>
      </c>
      <c r="F371" s="609">
        <f>SUM(F324:F370)</f>
        <v>7153</v>
      </c>
      <c r="G371" s="609">
        <f>SUM(G324:G370)</f>
        <v>62831.909823999988</v>
      </c>
      <c r="H371" s="1235">
        <f>+G371/2080</f>
        <v>30.207648953846149</v>
      </c>
    </row>
    <row r="372" spans="2:19" ht="13" x14ac:dyDescent="0.3">
      <c r="C372" s="1079"/>
      <c r="D372" s="1079"/>
      <c r="E372" s="537"/>
      <c r="F372" s="537"/>
      <c r="G372" s="537"/>
      <c r="H372" s="550"/>
    </row>
    <row r="373" spans="2:19" ht="13" x14ac:dyDescent="0.3">
      <c r="C373" s="1079"/>
      <c r="D373" s="1079"/>
      <c r="E373" s="537"/>
      <c r="F373" s="537"/>
      <c r="G373" s="537"/>
      <c r="H373" s="550"/>
    </row>
    <row r="374" spans="2:19" ht="13" x14ac:dyDescent="0.3">
      <c r="C374" s="1079"/>
      <c r="D374" s="702"/>
      <c r="E374" s="626"/>
      <c r="G374" s="1242"/>
      <c r="H374" s="1235"/>
    </row>
    <row r="375" spans="2:19" ht="13" x14ac:dyDescent="0.3">
      <c r="C375" s="1079"/>
      <c r="D375" s="1079"/>
      <c r="E375" s="537"/>
      <c r="F375" s="537"/>
      <c r="G375" s="537"/>
      <c r="H375" s="550"/>
    </row>
    <row r="376" spans="2:19" ht="13" x14ac:dyDescent="0.3">
      <c r="C376" s="1079"/>
      <c r="D376" s="1079"/>
      <c r="E376" s="537"/>
      <c r="F376" s="537"/>
      <c r="G376" s="537"/>
      <c r="H376" s="550"/>
    </row>
    <row r="377" spans="2:19" ht="13" x14ac:dyDescent="0.3">
      <c r="C377" s="1079"/>
      <c r="D377" s="1079"/>
      <c r="E377" s="537"/>
      <c r="F377" s="537"/>
      <c r="G377" s="537"/>
      <c r="H377" s="550"/>
    </row>
    <row r="378" spans="2:19" ht="15.5" x14ac:dyDescent="0.35">
      <c r="C378" s="1083" t="s">
        <v>1059</v>
      </c>
      <c r="D378" s="1079"/>
      <c r="E378" s="537"/>
      <c r="F378" s="537"/>
      <c r="G378" s="537"/>
      <c r="H378" s="550"/>
    </row>
    <row r="379" spans="2:19" ht="13.5" thickBot="1" x14ac:dyDescent="0.35">
      <c r="C379" s="1079"/>
      <c r="D379" s="1079"/>
      <c r="E379" s="537"/>
      <c r="F379" s="537"/>
      <c r="G379" s="537"/>
      <c r="H379" s="550"/>
    </row>
    <row r="380" spans="2:19" ht="27" thickBot="1" x14ac:dyDescent="0.4">
      <c r="B380" s="1104" t="s">
        <v>1095</v>
      </c>
      <c r="C380" s="1078" t="s">
        <v>1026</v>
      </c>
      <c r="D380" s="1045" t="s">
        <v>1027</v>
      </c>
      <c r="E380" s="1046" t="s">
        <v>1028</v>
      </c>
      <c r="F380" s="1045" t="s">
        <v>1029</v>
      </c>
      <c r="G380" s="1047" t="s">
        <v>1030</v>
      </c>
      <c r="H380" s="1048" t="s">
        <v>203</v>
      </c>
      <c r="J380" s="1302"/>
      <c r="K380" s="1302"/>
      <c r="L380" s="1303"/>
      <c r="M380" s="1304"/>
      <c r="N380" s="1303"/>
      <c r="O380" s="1304"/>
      <c r="P380" s="794"/>
      <c r="Q380" s="550"/>
      <c r="R380" s="550"/>
    </row>
    <row r="381" spans="2:19" ht="13" x14ac:dyDescent="0.3">
      <c r="B381" s="579">
        <v>1</v>
      </c>
      <c r="C381" s="1079" t="s">
        <v>522</v>
      </c>
      <c r="D381" t="s">
        <v>633</v>
      </c>
      <c r="E381" s="537">
        <v>19927.286400995548</v>
      </c>
      <c r="F381" s="1241">
        <v>63</v>
      </c>
      <c r="G381" s="741">
        <v>236.57</v>
      </c>
      <c r="H381" s="1235">
        <f t="shared" ref="H381:H406" si="16">+G381/2080</f>
        <v>0.11373557692307693</v>
      </c>
      <c r="J381" s="552"/>
      <c r="K381" s="1267"/>
      <c r="L381" s="550"/>
      <c r="M381" s="662"/>
      <c r="N381" s="890"/>
      <c r="O381" s="922"/>
      <c r="P381" s="1310"/>
      <c r="Q381" s="552"/>
      <c r="R381" s="550"/>
    </row>
    <row r="382" spans="2:19" ht="13" x14ac:dyDescent="0.3">
      <c r="B382" s="579">
        <f>+B381+1</f>
        <v>2</v>
      </c>
      <c r="C382" s="1079" t="s">
        <v>522</v>
      </c>
      <c r="D382" t="s">
        <v>633</v>
      </c>
      <c r="E382" s="537">
        <v>47104.065695008692</v>
      </c>
      <c r="F382" s="1241">
        <v>128</v>
      </c>
      <c r="G382" s="741">
        <v>645</v>
      </c>
      <c r="H382" s="1235">
        <f t="shared" si="16"/>
        <v>0.31009615384615385</v>
      </c>
      <c r="J382" s="552"/>
      <c r="K382" s="1267"/>
      <c r="L382" s="550"/>
      <c r="M382" s="662"/>
      <c r="N382" s="890"/>
      <c r="O382" s="922"/>
      <c r="P382" s="1310"/>
      <c r="Q382" s="552"/>
      <c r="R382" s="550"/>
    </row>
    <row r="383" spans="2:19" ht="13" x14ac:dyDescent="0.3">
      <c r="B383" s="579">
        <f t="shared" ref="B383:B406" si="17">+B382+1</f>
        <v>3</v>
      </c>
      <c r="C383" s="1079" t="s">
        <v>522</v>
      </c>
      <c r="D383" t="s">
        <v>633</v>
      </c>
      <c r="E383" s="537">
        <v>48235.492964953963</v>
      </c>
      <c r="F383" s="1241">
        <v>211</v>
      </c>
      <c r="G383" s="741">
        <v>660.5</v>
      </c>
      <c r="H383" s="1235">
        <f t="shared" si="16"/>
        <v>0.31754807692307691</v>
      </c>
      <c r="J383" s="552"/>
      <c r="K383" s="1267"/>
      <c r="L383" s="550"/>
      <c r="M383" s="662"/>
      <c r="N383" s="890"/>
      <c r="O383" s="922"/>
      <c r="P383" s="1310"/>
      <c r="Q383" s="552"/>
      <c r="R383" s="550"/>
    </row>
    <row r="384" spans="2:19" ht="13" x14ac:dyDescent="0.3">
      <c r="B384" s="579">
        <f t="shared" si="17"/>
        <v>4</v>
      </c>
      <c r="C384" s="1079" t="s">
        <v>522</v>
      </c>
      <c r="D384" t="s">
        <v>1123</v>
      </c>
      <c r="E384" s="537">
        <v>69914.978154648066</v>
      </c>
      <c r="F384" s="1241">
        <v>365</v>
      </c>
      <c r="G384" s="741">
        <v>1672</v>
      </c>
      <c r="H384" s="1235">
        <f t="shared" si="16"/>
        <v>0.80384615384615388</v>
      </c>
      <c r="J384" s="552"/>
      <c r="K384" s="1267"/>
      <c r="L384" s="550"/>
      <c r="M384" s="662"/>
      <c r="N384" s="890"/>
      <c r="O384" s="922"/>
      <c r="P384" s="1310"/>
      <c r="Q384" s="552"/>
      <c r="R384" s="550"/>
    </row>
    <row r="385" spans="2:18" ht="13" x14ac:dyDescent="0.3">
      <c r="B385" s="579">
        <f t="shared" si="17"/>
        <v>5</v>
      </c>
      <c r="C385" s="1079" t="s">
        <v>522</v>
      </c>
      <c r="D385" t="s">
        <v>1123</v>
      </c>
      <c r="E385" s="537">
        <v>69974.288171934255</v>
      </c>
      <c r="F385" s="1241">
        <v>495</v>
      </c>
      <c r="G385" s="741">
        <v>1672</v>
      </c>
      <c r="H385" s="1235">
        <f t="shared" si="16"/>
        <v>0.80384615384615388</v>
      </c>
      <c r="J385" s="552"/>
      <c r="K385" s="1267"/>
      <c r="L385" s="550"/>
      <c r="M385" s="662"/>
      <c r="N385" s="890"/>
      <c r="O385" s="922"/>
      <c r="P385" s="1310"/>
      <c r="Q385" s="552"/>
      <c r="R385" s="550"/>
    </row>
    <row r="386" spans="2:18" ht="13" x14ac:dyDescent="0.3">
      <c r="B386" s="579">
        <f t="shared" si="17"/>
        <v>6</v>
      </c>
      <c r="C386" s="1079" t="s">
        <v>522</v>
      </c>
      <c r="D386" t="s">
        <v>633</v>
      </c>
      <c r="E386" s="537">
        <v>134565.42529219371</v>
      </c>
      <c r="F386" s="1241">
        <v>657</v>
      </c>
      <c r="G386" s="741">
        <v>1664</v>
      </c>
      <c r="H386" s="1235">
        <f t="shared" si="16"/>
        <v>0.8</v>
      </c>
      <c r="J386" s="552"/>
      <c r="K386" s="1267"/>
      <c r="L386" s="550"/>
      <c r="M386" s="662"/>
      <c r="N386" s="890"/>
      <c r="O386" s="922"/>
      <c r="P386" s="1310"/>
      <c r="Q386" s="552"/>
      <c r="R386" s="550"/>
    </row>
    <row r="387" spans="2:18" ht="13" x14ac:dyDescent="0.3">
      <c r="B387" s="579">
        <f t="shared" si="17"/>
        <v>7</v>
      </c>
      <c r="C387" s="1079" t="s">
        <v>522</v>
      </c>
      <c r="D387" t="s">
        <v>633</v>
      </c>
      <c r="E387" s="537">
        <v>120319</v>
      </c>
      <c r="F387" s="1241">
        <v>658</v>
      </c>
      <c r="G387" s="741">
        <v>2080</v>
      </c>
      <c r="H387" s="1235">
        <f t="shared" si="16"/>
        <v>1</v>
      </c>
      <c r="J387" s="552"/>
      <c r="K387" s="1267"/>
      <c r="L387" s="550"/>
      <c r="M387" s="662"/>
      <c r="N387" s="890"/>
      <c r="O387" s="922"/>
      <c r="P387" s="1310"/>
      <c r="Q387" s="552"/>
      <c r="R387" s="550"/>
    </row>
    <row r="388" spans="2:18" ht="13" x14ac:dyDescent="0.3">
      <c r="B388" s="579">
        <f t="shared" si="17"/>
        <v>8</v>
      </c>
      <c r="C388" s="1079" t="s">
        <v>522</v>
      </c>
      <c r="D388" t="s">
        <v>633</v>
      </c>
      <c r="E388" s="537">
        <v>165652.14877211431</v>
      </c>
      <c r="F388" s="1241">
        <v>673</v>
      </c>
      <c r="G388" s="741">
        <v>2080</v>
      </c>
      <c r="H388" s="1235">
        <f t="shared" si="16"/>
        <v>1</v>
      </c>
      <c r="J388" s="552"/>
      <c r="K388" s="1267"/>
      <c r="L388" s="550"/>
      <c r="M388" s="662"/>
      <c r="N388" s="890"/>
      <c r="O388" s="922"/>
      <c r="P388" s="1310"/>
      <c r="Q388" s="552"/>
      <c r="R388" s="550"/>
    </row>
    <row r="389" spans="2:18" ht="13" x14ac:dyDescent="0.3">
      <c r="B389" s="579">
        <f t="shared" si="17"/>
        <v>9</v>
      </c>
      <c r="C389" s="1079" t="s">
        <v>522</v>
      </c>
      <c r="D389" t="s">
        <v>633</v>
      </c>
      <c r="E389" s="537">
        <v>134487.47783897846</v>
      </c>
      <c r="F389" s="1241">
        <v>731</v>
      </c>
      <c r="G389" s="741">
        <v>1664</v>
      </c>
      <c r="H389" s="1235">
        <f t="shared" si="16"/>
        <v>0.8</v>
      </c>
      <c r="J389" s="552"/>
      <c r="K389" s="1267"/>
      <c r="L389" s="550"/>
      <c r="M389" s="662"/>
      <c r="N389" s="890"/>
      <c r="O389" s="922"/>
      <c r="P389" s="1310"/>
      <c r="Q389" s="552"/>
      <c r="R389" s="550"/>
    </row>
    <row r="390" spans="2:18" ht="13" x14ac:dyDescent="0.3">
      <c r="B390" s="579">
        <f t="shared" si="17"/>
        <v>10</v>
      </c>
      <c r="C390" s="1079" t="s">
        <v>522</v>
      </c>
      <c r="D390" t="s">
        <v>633</v>
      </c>
      <c r="E390" s="537">
        <v>119624.19763505769</v>
      </c>
      <c r="F390" s="1241">
        <v>759</v>
      </c>
      <c r="G390" s="741">
        <v>1351.2210719999998</v>
      </c>
      <c r="H390" s="1235">
        <f t="shared" si="16"/>
        <v>0.64962551538461533</v>
      </c>
      <c r="J390" s="552"/>
      <c r="K390" s="1267"/>
      <c r="L390" s="550"/>
      <c r="M390" s="662"/>
      <c r="N390" s="890"/>
      <c r="O390" s="922"/>
      <c r="P390" s="1310"/>
      <c r="Q390" s="552"/>
      <c r="R390" s="550"/>
    </row>
    <row r="391" spans="2:18" ht="13" x14ac:dyDescent="0.3">
      <c r="B391" s="579">
        <f t="shared" si="17"/>
        <v>11</v>
      </c>
      <c r="C391" s="1079" t="s">
        <v>522</v>
      </c>
      <c r="D391" t="s">
        <v>633</v>
      </c>
      <c r="E391" s="537">
        <v>144141.35985905165</v>
      </c>
      <c r="F391" s="1241">
        <v>839</v>
      </c>
      <c r="G391" s="741">
        <v>1663.9999999999998</v>
      </c>
      <c r="H391" s="1235">
        <f t="shared" si="16"/>
        <v>0.79999999999999993</v>
      </c>
      <c r="J391" s="552"/>
      <c r="K391" s="1267"/>
      <c r="L391" s="550"/>
      <c r="M391" s="662"/>
      <c r="N391" s="890"/>
      <c r="O391" s="922"/>
      <c r="P391" s="1310"/>
      <c r="Q391" s="552"/>
      <c r="R391" s="550"/>
    </row>
    <row r="392" spans="2:18" ht="13" x14ac:dyDescent="0.3">
      <c r="B392" s="579">
        <f t="shared" si="17"/>
        <v>12</v>
      </c>
      <c r="C392" s="1079" t="s">
        <v>522</v>
      </c>
      <c r="D392" t="s">
        <v>633</v>
      </c>
      <c r="E392" s="537">
        <v>167810.71361690812</v>
      </c>
      <c r="F392" s="1241">
        <v>986</v>
      </c>
      <c r="G392" s="741">
        <v>1984</v>
      </c>
      <c r="H392" s="1235">
        <f t="shared" si="16"/>
        <v>0.9538461538461539</v>
      </c>
      <c r="J392" s="552"/>
      <c r="K392" s="1267"/>
      <c r="L392" s="550"/>
      <c r="M392" s="662"/>
      <c r="N392" s="890"/>
      <c r="O392" s="922"/>
      <c r="P392" s="1310"/>
      <c r="Q392" s="552"/>
      <c r="R392" s="550"/>
    </row>
    <row r="393" spans="2:18" ht="13" x14ac:dyDescent="0.3">
      <c r="B393" s="579">
        <f t="shared" si="17"/>
        <v>13</v>
      </c>
      <c r="C393" s="1079" t="s">
        <v>522</v>
      </c>
      <c r="D393" t="s">
        <v>633</v>
      </c>
      <c r="E393" s="537">
        <v>138522.43774792718</v>
      </c>
      <c r="F393" s="1241">
        <v>1001</v>
      </c>
      <c r="G393" s="741">
        <v>2080</v>
      </c>
      <c r="H393" s="1235">
        <f t="shared" si="16"/>
        <v>1</v>
      </c>
      <c r="J393" s="552"/>
      <c r="K393" s="1267"/>
      <c r="L393" s="550"/>
      <c r="M393" s="662"/>
      <c r="N393" s="890"/>
      <c r="O393" s="922"/>
      <c r="P393" s="1310"/>
      <c r="Q393" s="552"/>
      <c r="R393" s="550"/>
    </row>
    <row r="394" spans="2:18" ht="13" x14ac:dyDescent="0.3">
      <c r="B394" s="579">
        <f t="shared" si="17"/>
        <v>14</v>
      </c>
      <c r="C394" s="1079" t="s">
        <v>522</v>
      </c>
      <c r="D394" t="s">
        <v>633</v>
      </c>
      <c r="E394" s="537">
        <v>115055.42758400681</v>
      </c>
      <c r="F394" s="1241">
        <v>1102</v>
      </c>
      <c r="G394" s="741">
        <v>1585</v>
      </c>
      <c r="H394" s="1235">
        <f t="shared" si="16"/>
        <v>0.76201923076923073</v>
      </c>
      <c r="J394" s="552"/>
      <c r="K394" s="1267"/>
      <c r="L394" s="550"/>
      <c r="M394" s="662"/>
      <c r="N394" s="890"/>
      <c r="O394" s="922"/>
      <c r="P394" s="1310"/>
      <c r="Q394" s="552"/>
      <c r="R394" s="550"/>
    </row>
    <row r="395" spans="2:18" ht="13" x14ac:dyDescent="0.3">
      <c r="B395" s="579">
        <f t="shared" si="17"/>
        <v>15</v>
      </c>
      <c r="C395" s="1079" t="s">
        <v>522</v>
      </c>
      <c r="D395" t="s">
        <v>633</v>
      </c>
      <c r="E395" s="537">
        <v>155973.57339859309</v>
      </c>
      <c r="F395" s="1241">
        <v>1189</v>
      </c>
      <c r="G395" s="741">
        <v>2080</v>
      </c>
      <c r="H395" s="1235">
        <f t="shared" si="16"/>
        <v>1</v>
      </c>
      <c r="J395" s="552"/>
      <c r="K395" s="1267"/>
      <c r="L395" s="550"/>
      <c r="M395" s="662"/>
      <c r="N395" s="890"/>
      <c r="O395" s="922"/>
      <c r="P395" s="1310"/>
      <c r="Q395" s="552"/>
      <c r="R395" s="550"/>
    </row>
    <row r="396" spans="2:18" ht="13" x14ac:dyDescent="0.3">
      <c r="B396" s="579">
        <f t="shared" si="17"/>
        <v>16</v>
      </c>
      <c r="C396" s="1079" t="s">
        <v>522</v>
      </c>
      <c r="D396" t="s">
        <v>633</v>
      </c>
      <c r="E396" s="537">
        <v>139549.70523519779</v>
      </c>
      <c r="F396" s="1241">
        <v>1210</v>
      </c>
      <c r="G396" s="741">
        <v>2036.13</v>
      </c>
      <c r="H396" s="1235">
        <f t="shared" si="16"/>
        <v>0.97890865384615389</v>
      </c>
      <c r="J396" s="552"/>
      <c r="K396" s="1267"/>
      <c r="L396" s="550"/>
      <c r="M396" s="662"/>
      <c r="N396" s="890"/>
      <c r="O396" s="922"/>
      <c r="P396" s="1310"/>
      <c r="Q396" s="552"/>
      <c r="R396" s="550"/>
    </row>
    <row r="397" spans="2:18" ht="13" x14ac:dyDescent="0.3">
      <c r="B397" s="579">
        <f t="shared" si="17"/>
        <v>17</v>
      </c>
      <c r="C397" s="1079" t="s">
        <v>522</v>
      </c>
      <c r="D397" t="s">
        <v>633</v>
      </c>
      <c r="E397" s="537">
        <v>165719.03368293078</v>
      </c>
      <c r="F397" s="1241">
        <v>1249</v>
      </c>
      <c r="G397" s="741">
        <v>2080</v>
      </c>
      <c r="H397" s="1235">
        <f t="shared" si="16"/>
        <v>1</v>
      </c>
      <c r="J397" s="552"/>
      <c r="K397" s="1267"/>
      <c r="L397" s="550"/>
      <c r="M397" s="662"/>
      <c r="N397" s="890"/>
      <c r="O397" s="922"/>
      <c r="P397" s="1310"/>
      <c r="Q397" s="552"/>
      <c r="R397" s="550"/>
    </row>
    <row r="398" spans="2:18" ht="13" x14ac:dyDescent="0.3">
      <c r="B398" s="579">
        <f t="shared" si="17"/>
        <v>18</v>
      </c>
      <c r="C398" s="1079" t="s">
        <v>522</v>
      </c>
      <c r="D398" t="s">
        <v>633</v>
      </c>
      <c r="E398" s="537">
        <v>173007.69017455744</v>
      </c>
      <c r="F398" s="1241">
        <v>1278</v>
      </c>
      <c r="G398" s="741">
        <v>2080</v>
      </c>
      <c r="H398" s="1235">
        <f t="shared" si="16"/>
        <v>1</v>
      </c>
      <c r="J398" s="552"/>
      <c r="K398" s="1267"/>
      <c r="L398" s="550"/>
      <c r="M398" s="662"/>
      <c r="N398" s="890"/>
      <c r="O398" s="922"/>
      <c r="P398" s="1310"/>
      <c r="Q398" s="552"/>
      <c r="R398" s="550"/>
    </row>
    <row r="399" spans="2:18" ht="13" x14ac:dyDescent="0.3">
      <c r="B399" s="579">
        <f t="shared" si="17"/>
        <v>19</v>
      </c>
      <c r="C399" s="1079" t="s">
        <v>522</v>
      </c>
      <c r="D399" t="s">
        <v>633</v>
      </c>
      <c r="E399" s="537">
        <v>115582</v>
      </c>
      <c r="F399" s="1241">
        <v>1292</v>
      </c>
      <c r="G399" s="741">
        <v>2080</v>
      </c>
      <c r="H399" s="1235">
        <f t="shared" si="16"/>
        <v>1</v>
      </c>
      <c r="J399" s="552"/>
      <c r="K399" s="1267"/>
      <c r="L399" s="550"/>
      <c r="M399" s="662"/>
      <c r="N399" s="890"/>
      <c r="O399" s="922"/>
      <c r="P399" s="1310"/>
      <c r="Q399" s="552"/>
      <c r="R399" s="550"/>
    </row>
    <row r="400" spans="2:18" ht="13" x14ac:dyDescent="0.3">
      <c r="B400" s="579">
        <f t="shared" si="17"/>
        <v>20</v>
      </c>
      <c r="C400" s="1079" t="s">
        <v>522</v>
      </c>
      <c r="D400" t="s">
        <v>633</v>
      </c>
      <c r="E400" s="537">
        <v>104143.24382398573</v>
      </c>
      <c r="F400" s="1241">
        <v>1340</v>
      </c>
      <c r="G400" s="741">
        <v>1247.9999999999998</v>
      </c>
      <c r="H400" s="1235">
        <f t="shared" si="16"/>
        <v>0.59999999999999987</v>
      </c>
      <c r="J400" s="552"/>
      <c r="K400" s="1267"/>
      <c r="L400" s="550"/>
      <c r="M400" s="662"/>
      <c r="N400" s="890"/>
      <c r="O400" s="922"/>
      <c r="P400" s="1310"/>
      <c r="Q400" s="552"/>
      <c r="R400" s="550"/>
    </row>
    <row r="401" spans="2:18" ht="13" x14ac:dyDescent="0.3">
      <c r="B401" s="579">
        <f t="shared" si="17"/>
        <v>21</v>
      </c>
      <c r="C401" s="1079" t="s">
        <v>522</v>
      </c>
      <c r="D401" t="s">
        <v>633</v>
      </c>
      <c r="E401" s="537">
        <v>138522.14794329344</v>
      </c>
      <c r="F401" s="1241">
        <v>1351</v>
      </c>
      <c r="G401" s="741">
        <v>2080</v>
      </c>
      <c r="H401" s="1235">
        <f t="shared" si="16"/>
        <v>1</v>
      </c>
      <c r="J401" s="552"/>
      <c r="K401" s="1267"/>
      <c r="L401" s="550"/>
      <c r="M401" s="662"/>
      <c r="N401" s="890"/>
      <c r="O401" s="922"/>
      <c r="P401" s="1310"/>
      <c r="Q401" s="552"/>
      <c r="R401" s="550"/>
    </row>
    <row r="402" spans="2:18" ht="13" x14ac:dyDescent="0.3">
      <c r="B402" s="579">
        <f t="shared" si="17"/>
        <v>22</v>
      </c>
      <c r="C402" s="1079" t="s">
        <v>522</v>
      </c>
      <c r="D402" t="s">
        <v>633</v>
      </c>
      <c r="E402" s="537">
        <v>173754.65662141351</v>
      </c>
      <c r="F402" s="1241">
        <v>1389</v>
      </c>
      <c r="G402" s="741">
        <v>1987.9999999999998</v>
      </c>
      <c r="H402" s="1235">
        <f t="shared" si="16"/>
        <v>0.9557692307692307</v>
      </c>
      <c r="J402" s="552"/>
      <c r="K402" s="1267"/>
      <c r="L402" s="550"/>
      <c r="M402" s="662"/>
      <c r="N402" s="890"/>
      <c r="O402" s="922"/>
      <c r="P402" s="1310"/>
      <c r="Q402" s="552"/>
      <c r="R402" s="550"/>
    </row>
    <row r="403" spans="2:18" ht="13" x14ac:dyDescent="0.3">
      <c r="B403" s="579">
        <f t="shared" si="17"/>
        <v>23</v>
      </c>
      <c r="C403" s="1079" t="s">
        <v>522</v>
      </c>
      <c r="D403" t="s">
        <v>633</v>
      </c>
      <c r="E403" s="537">
        <v>155980.57867611916</v>
      </c>
      <c r="F403" s="1241">
        <v>1511</v>
      </c>
      <c r="G403" s="741">
        <v>2080</v>
      </c>
      <c r="H403" s="1235">
        <f t="shared" si="16"/>
        <v>1</v>
      </c>
      <c r="J403" s="552"/>
      <c r="K403" s="1267"/>
      <c r="L403" s="550"/>
      <c r="M403" s="662"/>
      <c r="N403" s="890"/>
      <c r="O403" s="922"/>
      <c r="P403" s="1310"/>
      <c r="Q403" s="552"/>
      <c r="R403" s="550"/>
    </row>
    <row r="404" spans="2:18" ht="13" x14ac:dyDescent="0.3">
      <c r="B404" s="579">
        <f t="shared" si="17"/>
        <v>24</v>
      </c>
      <c r="C404" s="1079" t="s">
        <v>522</v>
      </c>
      <c r="D404" t="s">
        <v>633</v>
      </c>
      <c r="E404" s="537">
        <v>159754.21475153227</v>
      </c>
      <c r="F404" s="1241">
        <v>1588</v>
      </c>
      <c r="G404" s="741">
        <v>2080</v>
      </c>
      <c r="H404" s="1235">
        <f t="shared" si="16"/>
        <v>1</v>
      </c>
      <c r="J404" s="552"/>
      <c r="K404" s="1267"/>
      <c r="L404" s="550"/>
      <c r="M404" s="662"/>
      <c r="N404" s="890"/>
      <c r="O404" s="922"/>
      <c r="P404" s="1310"/>
      <c r="Q404" s="552"/>
      <c r="R404" s="550"/>
    </row>
    <row r="405" spans="2:18" ht="13" x14ac:dyDescent="0.3">
      <c r="B405" s="579">
        <f t="shared" si="17"/>
        <v>25</v>
      </c>
      <c r="C405" s="1079" t="s">
        <v>522</v>
      </c>
      <c r="D405" t="s">
        <v>633</v>
      </c>
      <c r="E405" s="537">
        <v>197482.78076034164</v>
      </c>
      <c r="F405" s="1241">
        <v>1987</v>
      </c>
      <c r="G405" s="741">
        <v>2587</v>
      </c>
      <c r="H405" s="1235">
        <f t="shared" si="16"/>
        <v>1.2437499999999999</v>
      </c>
      <c r="J405" s="552"/>
      <c r="K405" s="1267"/>
      <c r="L405" s="550"/>
      <c r="M405" s="662"/>
      <c r="N405" s="890"/>
      <c r="O405" s="922"/>
      <c r="P405" s="1310"/>
      <c r="Q405" s="552"/>
      <c r="R405" s="550"/>
    </row>
    <row r="406" spans="2:18" ht="13" x14ac:dyDescent="0.3">
      <c r="B406" s="579">
        <f t="shared" si="17"/>
        <v>26</v>
      </c>
      <c r="C406" s="1079" t="s">
        <v>522</v>
      </c>
      <c r="D406" t="s">
        <v>633</v>
      </c>
      <c r="E406" s="537">
        <v>115280</v>
      </c>
      <c r="F406" s="1241">
        <v>1135</v>
      </c>
      <c r="G406" s="741">
        <v>2080</v>
      </c>
      <c r="H406" s="1235">
        <f t="shared" si="16"/>
        <v>1</v>
      </c>
      <c r="J406" s="552"/>
      <c r="K406" s="1267"/>
      <c r="L406" s="550"/>
      <c r="M406" s="662"/>
      <c r="N406" s="890"/>
      <c r="O406" s="922"/>
      <c r="P406" s="1310"/>
      <c r="Q406" s="552"/>
      <c r="R406" s="550"/>
    </row>
    <row r="407" spans="2:18" ht="13" x14ac:dyDescent="0.3">
      <c r="B407" s="579"/>
      <c r="C407" s="1079"/>
      <c r="D407" s="1079"/>
      <c r="E407" s="537"/>
      <c r="F407" s="537"/>
      <c r="G407" s="537"/>
      <c r="H407" s="1051"/>
      <c r="J407" s="1080"/>
      <c r="K407" s="1106"/>
      <c r="M407" s="537"/>
      <c r="N407" s="537"/>
      <c r="O407" s="537"/>
      <c r="P407" s="1235"/>
    </row>
    <row r="408" spans="2:18" ht="13" x14ac:dyDescent="0.3">
      <c r="B408" s="579"/>
      <c r="C408" s="1079"/>
      <c r="D408" s="1079"/>
      <c r="E408" s="537"/>
      <c r="F408" s="537"/>
      <c r="G408" s="537"/>
      <c r="H408" s="1051"/>
      <c r="J408" s="1079"/>
      <c r="K408" s="1079"/>
      <c r="L408" s="1079"/>
      <c r="M408" s="537"/>
      <c r="N408" s="537"/>
      <c r="O408" s="537"/>
      <c r="P408" s="579"/>
    </row>
    <row r="409" spans="2:18" ht="13" x14ac:dyDescent="0.3">
      <c r="C409" s="1079"/>
      <c r="D409" s="1079"/>
      <c r="E409" s="537"/>
      <c r="F409" s="537"/>
      <c r="G409" s="537"/>
      <c r="J409" s="1079"/>
      <c r="K409" s="1079"/>
      <c r="L409" s="1079"/>
      <c r="M409" s="537"/>
      <c r="N409" s="537"/>
      <c r="O409" s="537"/>
      <c r="P409" s="579"/>
    </row>
    <row r="410" spans="2:18" ht="13" x14ac:dyDescent="0.3">
      <c r="C410" s="1106">
        <f>+B406</f>
        <v>26</v>
      </c>
      <c r="D410" s="1079" t="s">
        <v>1060</v>
      </c>
      <c r="E410" s="609">
        <f>SUM(E381:E409)</f>
        <v>3290083.9248017427</v>
      </c>
      <c r="F410" s="609">
        <f>SUM(F381:F409)</f>
        <v>25187</v>
      </c>
      <c r="G410" s="609">
        <f>SUM(G381:G409)</f>
        <v>45537.421071999997</v>
      </c>
      <c r="H410" s="1081">
        <f>+G410/2080</f>
        <v>21.892990899999997</v>
      </c>
      <c r="J410" s="1106"/>
      <c r="K410" s="1106"/>
      <c r="L410" s="1079"/>
      <c r="M410" s="609">
        <f>SUM(M381:M409)</f>
        <v>0</v>
      </c>
      <c r="N410" s="609">
        <f>SUM(N381:N409)</f>
        <v>0</v>
      </c>
      <c r="O410" s="609">
        <f>SUM(O381:O409)</f>
        <v>0</v>
      </c>
      <c r="P410" s="1311">
        <f>+O410/2080</f>
        <v>0</v>
      </c>
    </row>
    <row r="411" spans="2:18" ht="13" x14ac:dyDescent="0.3">
      <c r="C411" s="1079"/>
      <c r="D411" s="1079"/>
      <c r="E411" s="537"/>
      <c r="F411" s="537"/>
      <c r="G411" s="537"/>
      <c r="J411" s="1079"/>
      <c r="K411" s="1079"/>
      <c r="L411" s="1079"/>
      <c r="M411" s="537"/>
      <c r="N411" s="537"/>
      <c r="O411" s="537"/>
      <c r="P411" s="579"/>
    </row>
    <row r="412" spans="2:18" ht="13" x14ac:dyDescent="0.3">
      <c r="C412" s="1079"/>
      <c r="D412" s="1079"/>
      <c r="E412" s="537"/>
      <c r="F412" s="537"/>
      <c r="G412" s="537"/>
      <c r="J412" s="1079"/>
      <c r="K412" s="1079"/>
      <c r="L412" s="1079"/>
      <c r="M412" s="537"/>
      <c r="N412" s="537"/>
      <c r="O412" s="537"/>
      <c r="P412" s="579"/>
    </row>
    <row r="413" spans="2:18" ht="13" x14ac:dyDescent="0.3">
      <c r="C413" s="1079"/>
      <c r="D413" s="1079"/>
      <c r="E413" s="537"/>
      <c r="F413" s="537"/>
      <c r="G413" s="537"/>
      <c r="J413" s="1079"/>
      <c r="K413" s="1079"/>
      <c r="L413" s="1079"/>
      <c r="M413" s="537"/>
      <c r="N413" s="537"/>
      <c r="O413" s="537"/>
      <c r="P413" s="579"/>
    </row>
    <row r="414" spans="2:18" ht="15.5" x14ac:dyDescent="0.35">
      <c r="C414" s="1083" t="s">
        <v>1061</v>
      </c>
      <c r="D414" s="1079"/>
      <c r="E414" s="537"/>
      <c r="F414" s="537"/>
      <c r="G414" s="537"/>
      <c r="H414" s="550"/>
      <c r="J414" s="1313"/>
      <c r="K414" s="1313"/>
      <c r="L414" s="552"/>
      <c r="M414" s="662"/>
      <c r="N414" s="662"/>
      <c r="O414" s="662"/>
      <c r="P414" s="917"/>
      <c r="Q414" s="550"/>
      <c r="R414" s="550"/>
    </row>
    <row r="415" spans="2:18" ht="13.5" thickBot="1" x14ac:dyDescent="0.35">
      <c r="C415" s="1079"/>
      <c r="D415" s="1079"/>
      <c r="E415" s="537"/>
      <c r="F415" s="537"/>
      <c r="G415" s="537"/>
      <c r="H415" s="550"/>
      <c r="J415" s="552"/>
      <c r="K415" s="552"/>
      <c r="L415" s="552"/>
      <c r="M415" s="662"/>
      <c r="N415" s="662"/>
      <c r="O415" s="662"/>
      <c r="P415" s="917"/>
      <c r="Q415" s="550"/>
      <c r="R415" s="550"/>
    </row>
    <row r="416" spans="2:18" ht="27" thickBot="1" x14ac:dyDescent="0.4">
      <c r="B416" s="1104" t="s">
        <v>1095</v>
      </c>
      <c r="C416" s="1078" t="s">
        <v>1026</v>
      </c>
      <c r="D416" s="1045" t="s">
        <v>1027</v>
      </c>
      <c r="E416" s="1046" t="s">
        <v>1028</v>
      </c>
      <c r="F416" s="1045" t="s">
        <v>1029</v>
      </c>
      <c r="G416" s="1047" t="s">
        <v>1030</v>
      </c>
      <c r="H416" s="1048" t="s">
        <v>203</v>
      </c>
      <c r="J416" s="1302"/>
      <c r="K416" s="1302"/>
      <c r="L416" s="1303"/>
      <c r="M416" s="1304"/>
      <c r="N416" s="1303"/>
      <c r="O416" s="1304"/>
      <c r="P416" s="794"/>
      <c r="Q416" s="550"/>
      <c r="R416" s="550"/>
    </row>
    <row r="417" spans="2:18" ht="13" x14ac:dyDescent="0.3">
      <c r="B417" s="579">
        <v>1</v>
      </c>
      <c r="C417" s="1079" t="s">
        <v>522</v>
      </c>
      <c r="D417" t="s">
        <v>578</v>
      </c>
      <c r="E417" s="537">
        <v>5516.2813044611939</v>
      </c>
      <c r="F417" s="741">
        <v>1</v>
      </c>
      <c r="G417" s="741">
        <v>39.5</v>
      </c>
      <c r="H417" s="1235">
        <f>+G417/2080</f>
        <v>1.8990384615384614E-2</v>
      </c>
      <c r="J417" s="552"/>
      <c r="K417" s="552"/>
      <c r="L417" s="550"/>
      <c r="M417" s="662"/>
      <c r="N417" s="922"/>
      <c r="O417" s="922"/>
      <c r="P417" s="1310"/>
      <c r="Q417" s="550"/>
      <c r="R417" s="550"/>
    </row>
    <row r="418" spans="2:18" ht="13" x14ac:dyDescent="0.3">
      <c r="B418" s="579">
        <f>+B417+1</f>
        <v>2</v>
      </c>
      <c r="C418" s="1079" t="s">
        <v>522</v>
      </c>
      <c r="D418" t="s">
        <v>578</v>
      </c>
      <c r="E418" s="537">
        <v>143199.75462421184</v>
      </c>
      <c r="F418" s="741">
        <v>683</v>
      </c>
      <c r="G418" s="741">
        <v>912</v>
      </c>
      <c r="H418" s="1235">
        <f>+G418/2080</f>
        <v>0.43846153846153846</v>
      </c>
      <c r="J418" s="552"/>
      <c r="K418" s="552"/>
      <c r="L418" s="550"/>
      <c r="M418" s="662"/>
      <c r="N418" s="922"/>
      <c r="O418" s="922"/>
      <c r="P418" s="1310"/>
      <c r="Q418" s="550"/>
      <c r="R418" s="550"/>
    </row>
    <row r="419" spans="2:18" ht="13" x14ac:dyDescent="0.3">
      <c r="B419" s="579">
        <f>+B418+1</f>
        <v>3</v>
      </c>
      <c r="C419" s="1079" t="s">
        <v>522</v>
      </c>
      <c r="D419" t="s">
        <v>578</v>
      </c>
      <c r="E419" s="537">
        <v>343081.71802146477</v>
      </c>
      <c r="F419" s="741">
        <v>2552</v>
      </c>
      <c r="G419" s="741">
        <v>2080</v>
      </c>
      <c r="H419" s="1235">
        <f>+G419/2080</f>
        <v>1</v>
      </c>
      <c r="J419" s="552"/>
      <c r="K419" s="552"/>
      <c r="L419" s="550"/>
      <c r="M419" s="662"/>
      <c r="N419" s="922"/>
      <c r="O419" s="922"/>
      <c r="P419" s="1310"/>
      <c r="Q419" s="550"/>
      <c r="R419" s="550"/>
    </row>
    <row r="420" spans="2:18" ht="13" x14ac:dyDescent="0.3">
      <c r="B420" s="579">
        <f>+B419+1</f>
        <v>4</v>
      </c>
      <c r="C420" s="1079" t="s">
        <v>522</v>
      </c>
      <c r="D420" t="s">
        <v>578</v>
      </c>
      <c r="E420" s="537">
        <v>58965.749367823359</v>
      </c>
      <c r="F420" s="741">
        <v>25</v>
      </c>
      <c r="G420" s="741">
        <v>420.5</v>
      </c>
      <c r="H420" s="1235">
        <f>+G420/2080</f>
        <v>0.20216346153846154</v>
      </c>
      <c r="J420" s="552"/>
      <c r="K420" s="552"/>
      <c r="L420" s="550"/>
      <c r="M420" s="662"/>
      <c r="N420" s="922"/>
      <c r="O420" s="922"/>
      <c r="P420" s="1310"/>
      <c r="Q420" s="550"/>
      <c r="R420" s="550"/>
    </row>
    <row r="421" spans="2:18" ht="13" x14ac:dyDescent="0.3">
      <c r="B421" s="579">
        <f>+B420+1</f>
        <v>5</v>
      </c>
      <c r="C421" s="1079" t="s">
        <v>522</v>
      </c>
      <c r="D421" t="s">
        <v>578</v>
      </c>
      <c r="E421" s="537">
        <v>144570.14080457794</v>
      </c>
      <c r="F421" s="741">
        <v>1215</v>
      </c>
      <c r="G421" s="741">
        <v>1248</v>
      </c>
      <c r="H421" s="1235">
        <f>+G421/2080</f>
        <v>0.6</v>
      </c>
      <c r="J421" s="552"/>
      <c r="K421" s="552"/>
      <c r="L421" s="550"/>
      <c r="M421" s="662"/>
      <c r="N421" s="922"/>
      <c r="O421" s="922"/>
      <c r="P421" s="1310"/>
      <c r="Q421" s="550"/>
      <c r="R421" s="550"/>
    </row>
    <row r="422" spans="2:18" ht="13" x14ac:dyDescent="0.3">
      <c r="B422" s="579"/>
      <c r="C422" s="1079"/>
      <c r="D422" s="1079"/>
      <c r="E422" s="537"/>
      <c r="F422" s="537"/>
      <c r="G422" s="537"/>
      <c r="H422" s="1235"/>
      <c r="J422" s="552"/>
      <c r="K422" s="552"/>
      <c r="L422" s="552"/>
      <c r="M422" s="662"/>
      <c r="N422" s="662"/>
      <c r="O422" s="662"/>
      <c r="P422" s="1310"/>
      <c r="Q422" s="550"/>
      <c r="R422" s="550"/>
    </row>
    <row r="423" spans="2:18" ht="13" x14ac:dyDescent="0.3">
      <c r="B423" s="579"/>
      <c r="C423" s="1080"/>
      <c r="D423" s="1079"/>
      <c r="E423" s="537"/>
      <c r="F423" s="537"/>
      <c r="G423" s="537"/>
      <c r="H423" s="1235"/>
      <c r="J423" s="552"/>
      <c r="K423" s="552"/>
      <c r="L423" s="552"/>
      <c r="M423" s="662"/>
      <c r="N423" s="662"/>
      <c r="O423" s="662"/>
      <c r="P423" s="1310"/>
      <c r="Q423" s="550"/>
      <c r="R423" s="550"/>
    </row>
    <row r="424" spans="2:18" ht="13" x14ac:dyDescent="0.3">
      <c r="C424" s="1102">
        <v>3</v>
      </c>
      <c r="D424" s="1079" t="s">
        <v>1277</v>
      </c>
      <c r="E424" s="537"/>
      <c r="F424" s="537">
        <f>303+195+407+116</f>
        <v>1021</v>
      </c>
      <c r="G424" s="537">
        <f>+F424*0.68</f>
        <v>694.28000000000009</v>
      </c>
      <c r="H424" s="1235">
        <f>+G424/2080</f>
        <v>0.33378846153846159</v>
      </c>
      <c r="J424" s="552"/>
      <c r="K424" s="552"/>
      <c r="L424" s="552"/>
      <c r="M424" s="662"/>
      <c r="N424" s="662"/>
      <c r="O424" s="662"/>
      <c r="P424" s="1310"/>
      <c r="Q424" s="550"/>
      <c r="R424" s="550"/>
    </row>
    <row r="425" spans="2:18" ht="13" x14ac:dyDescent="0.3">
      <c r="C425" s="535"/>
      <c r="D425" s="1079"/>
      <c r="E425" s="537"/>
      <c r="F425" s="537"/>
      <c r="G425" s="537"/>
      <c r="H425" s="1235"/>
      <c r="J425" s="552"/>
      <c r="K425" s="552"/>
      <c r="L425" s="552"/>
      <c r="M425" s="662"/>
      <c r="N425" s="662"/>
      <c r="O425" s="662"/>
      <c r="P425" s="1310"/>
      <c r="Q425" s="550"/>
      <c r="R425" s="550"/>
    </row>
    <row r="426" spans="2:18" ht="13" x14ac:dyDescent="0.3">
      <c r="C426" s="1102">
        <f>+B421+C424</f>
        <v>8</v>
      </c>
      <c r="D426" s="1079" t="s">
        <v>1062</v>
      </c>
      <c r="E426" s="609">
        <f>SUM(E417:E424)</f>
        <v>695333.64412253909</v>
      </c>
      <c r="F426" s="609">
        <f>SUM(F417:F424)</f>
        <v>5497</v>
      </c>
      <c r="G426" s="609">
        <f>SUM(G417:G424)</f>
        <v>5394.28</v>
      </c>
      <c r="H426" s="1235">
        <f>+G426/2080</f>
        <v>2.593403846153846</v>
      </c>
      <c r="J426" s="552"/>
      <c r="K426" s="552"/>
      <c r="L426" s="552"/>
      <c r="M426" s="662"/>
      <c r="N426" s="662"/>
      <c r="O426" s="662"/>
      <c r="P426" s="917"/>
      <c r="Q426" s="550"/>
      <c r="R426" s="550"/>
    </row>
    <row r="427" spans="2:18" ht="13" x14ac:dyDescent="0.3">
      <c r="C427" s="535"/>
      <c r="D427" s="1079"/>
      <c r="E427" s="537"/>
      <c r="F427" s="537"/>
      <c r="G427" s="537"/>
      <c r="J427" s="1267"/>
      <c r="K427" s="1267"/>
      <c r="L427" s="552"/>
      <c r="M427" s="676"/>
      <c r="N427" s="676"/>
      <c r="O427" s="676"/>
      <c r="P427" s="1310"/>
      <c r="Q427" s="550"/>
      <c r="R427" s="550"/>
    </row>
    <row r="428" spans="2:18" ht="13" x14ac:dyDescent="0.3">
      <c r="C428" s="535"/>
      <c r="D428" s="1079"/>
      <c r="E428" s="537"/>
      <c r="F428" s="537"/>
      <c r="G428" s="537"/>
      <c r="J428" s="552"/>
      <c r="K428" s="552"/>
      <c r="L428" s="552"/>
      <c r="M428" s="662"/>
      <c r="N428" s="662"/>
      <c r="O428" s="662"/>
      <c r="P428" s="917"/>
      <c r="Q428" s="550"/>
      <c r="R428" s="550"/>
    </row>
    <row r="429" spans="2:18" ht="13" x14ac:dyDescent="0.3">
      <c r="C429" s="1085" t="s">
        <v>425</v>
      </c>
      <c r="D429" s="1085" t="s">
        <v>1278</v>
      </c>
      <c r="E429" s="1086">
        <f>+E426+E410+E371</f>
        <v>6741801.6983125703</v>
      </c>
      <c r="F429" s="1086">
        <f>+F426+F410+F371</f>
        <v>37837</v>
      </c>
      <c r="G429" s="1086">
        <f>+G426+G410+G371</f>
        <v>113763.61089599998</v>
      </c>
      <c r="H429" s="1243">
        <f>+G429/2080</f>
        <v>54.694043699999995</v>
      </c>
      <c r="J429" s="552"/>
      <c r="K429" s="552"/>
      <c r="L429" s="552"/>
      <c r="M429" s="662"/>
      <c r="N429" s="662"/>
      <c r="O429" s="662"/>
      <c r="P429" s="917"/>
      <c r="Q429" s="550"/>
      <c r="R429" s="550"/>
    </row>
    <row r="430" spans="2:18" x14ac:dyDescent="0.25">
      <c r="E430" s="1087"/>
      <c r="F430" s="550"/>
      <c r="G430" s="550"/>
      <c r="J430" s="550"/>
      <c r="K430" s="550"/>
      <c r="L430" s="550"/>
      <c r="M430" s="550"/>
      <c r="N430" s="550"/>
      <c r="O430" s="550"/>
      <c r="P430" s="917"/>
      <c r="Q430" s="550"/>
      <c r="R430" s="550"/>
    </row>
    <row r="431" spans="2:18" x14ac:dyDescent="0.25">
      <c r="E431" s="662"/>
      <c r="F431" s="662"/>
      <c r="G431" s="662"/>
      <c r="H431" s="553"/>
      <c r="J431" s="550"/>
      <c r="K431" s="550"/>
      <c r="L431" s="550"/>
      <c r="M431" s="1087"/>
      <c r="N431" s="550"/>
      <c r="O431" s="550"/>
      <c r="P431" s="917"/>
      <c r="Q431" s="550"/>
      <c r="R431" s="550"/>
    </row>
    <row r="432" spans="2:18" x14ac:dyDescent="0.25">
      <c r="E432" s="1087"/>
      <c r="F432" s="922"/>
      <c r="G432" s="662"/>
      <c r="M432" s="662"/>
      <c r="N432" s="662"/>
      <c r="O432" s="662"/>
      <c r="P432" s="1312"/>
    </row>
    <row r="433" spans="5:16" x14ac:dyDescent="0.25">
      <c r="E433" s="1087"/>
      <c r="F433" s="537"/>
      <c r="G433" s="662"/>
      <c r="M433" s="662"/>
      <c r="N433" s="662"/>
      <c r="O433" s="662"/>
      <c r="P433" s="1312"/>
    </row>
    <row r="434" spans="5:16" x14ac:dyDescent="0.25">
      <c r="E434" s="1087"/>
      <c r="G434" s="550"/>
      <c r="M434" s="662"/>
      <c r="N434" s="662"/>
      <c r="O434" s="662"/>
      <c r="P434" s="1312"/>
    </row>
    <row r="435" spans="5:16" ht="15.5" x14ac:dyDescent="0.35">
      <c r="E435" s="1087"/>
      <c r="F435" s="550"/>
      <c r="G435" s="550"/>
      <c r="J435" s="1313"/>
      <c r="K435" s="1313"/>
      <c r="L435" s="552"/>
      <c r="M435" s="662"/>
      <c r="N435" s="662"/>
      <c r="O435" s="662"/>
      <c r="P435" s="917"/>
    </row>
    <row r="436" spans="5:16" ht="13" x14ac:dyDescent="0.3">
      <c r="E436" s="1087"/>
      <c r="F436" s="550"/>
      <c r="G436" s="550"/>
      <c r="J436" s="552"/>
      <c r="K436" s="552"/>
      <c r="L436" s="552"/>
      <c r="M436" s="662"/>
      <c r="N436" s="662"/>
      <c r="O436" s="662"/>
      <c r="P436" s="917"/>
    </row>
    <row r="437" spans="5:16" ht="14.5" x14ac:dyDescent="0.35">
      <c r="E437" s="1087"/>
      <c r="F437" s="550"/>
      <c r="G437" s="550"/>
      <c r="J437" s="1302"/>
      <c r="K437" s="1302"/>
      <c r="L437" s="1303"/>
      <c r="M437" s="1304"/>
      <c r="N437" s="1303"/>
      <c r="O437" s="1304"/>
      <c r="P437" s="794"/>
    </row>
    <row r="438" spans="5:16" ht="13" x14ac:dyDescent="0.3">
      <c r="E438" s="1087"/>
      <c r="F438" s="550"/>
      <c r="G438" s="550"/>
      <c r="J438" s="552"/>
      <c r="K438" s="552"/>
      <c r="L438" s="550"/>
      <c r="M438" s="662"/>
      <c r="N438" s="550"/>
      <c r="O438" s="922"/>
      <c r="P438" s="1310"/>
    </row>
    <row r="439" spans="5:16" ht="13" x14ac:dyDescent="0.3">
      <c r="E439" s="1087"/>
      <c r="F439" s="550"/>
      <c r="G439" s="550"/>
      <c r="J439" s="552"/>
      <c r="K439" s="552"/>
      <c r="L439" s="550"/>
      <c r="M439" s="662"/>
      <c r="N439" s="550"/>
      <c r="O439" s="922"/>
      <c r="P439" s="1310"/>
    </row>
    <row r="440" spans="5:16" ht="13" x14ac:dyDescent="0.3">
      <c r="E440" s="1087"/>
      <c r="F440" s="550"/>
      <c r="G440" s="550"/>
      <c r="J440" s="552"/>
      <c r="K440" s="552"/>
      <c r="L440" s="550"/>
      <c r="M440" s="662"/>
      <c r="N440" s="550"/>
      <c r="O440" s="922"/>
      <c r="P440" s="1310"/>
    </row>
    <row r="441" spans="5:16" ht="13" x14ac:dyDescent="0.3">
      <c r="E441" s="1087"/>
      <c r="F441" s="550"/>
      <c r="G441" s="550"/>
      <c r="J441" s="552"/>
      <c r="K441" s="552"/>
      <c r="L441" s="550"/>
      <c r="M441" s="662"/>
      <c r="N441" s="550"/>
      <c r="O441" s="922"/>
      <c r="P441" s="1310"/>
    </row>
    <row r="442" spans="5:16" ht="13" x14ac:dyDescent="0.3">
      <c r="E442" s="1087"/>
      <c r="F442" s="550"/>
      <c r="G442" s="550"/>
      <c r="J442" s="552"/>
      <c r="K442" s="552"/>
      <c r="L442" s="550"/>
      <c r="M442" s="662"/>
      <c r="N442" s="550"/>
      <c r="O442" s="922"/>
      <c r="P442" s="1310"/>
    </row>
    <row r="443" spans="5:16" ht="13" x14ac:dyDescent="0.3">
      <c r="E443" s="1087"/>
      <c r="F443" s="550"/>
      <c r="G443" s="550"/>
      <c r="J443" s="552"/>
      <c r="K443" s="552"/>
      <c r="L443" s="550"/>
      <c r="M443" s="662"/>
      <c r="N443" s="550"/>
      <c r="O443" s="922"/>
      <c r="P443" s="1310"/>
    </row>
    <row r="444" spans="5:16" ht="13" x14ac:dyDescent="0.3">
      <c r="E444" s="1087"/>
      <c r="F444" s="550"/>
      <c r="G444" s="550"/>
      <c r="J444" s="552"/>
      <c r="K444" s="552"/>
      <c r="L444" s="550"/>
      <c r="M444" s="662"/>
      <c r="N444" s="550"/>
      <c r="O444" s="922"/>
      <c r="P444" s="1310"/>
    </row>
    <row r="445" spans="5:16" ht="13" x14ac:dyDescent="0.3">
      <c r="E445" s="1087"/>
      <c r="F445" s="550"/>
      <c r="G445" s="550"/>
      <c r="J445" s="552"/>
      <c r="K445" s="552"/>
      <c r="L445" s="550"/>
      <c r="M445" s="662"/>
      <c r="N445" s="550"/>
      <c r="O445" s="922"/>
      <c r="P445" s="1310"/>
    </row>
    <row r="446" spans="5:16" ht="13" x14ac:dyDescent="0.3">
      <c r="E446" s="1087"/>
      <c r="F446" s="550"/>
      <c r="G446" s="550"/>
      <c r="J446" s="552"/>
      <c r="K446" s="552"/>
      <c r="L446" s="550"/>
      <c r="M446" s="662"/>
      <c r="N446" s="550"/>
      <c r="O446" s="922"/>
      <c r="P446" s="1310"/>
    </row>
    <row r="447" spans="5:16" ht="13" x14ac:dyDescent="0.3">
      <c r="E447" s="1087"/>
      <c r="F447" s="550"/>
      <c r="G447" s="550"/>
      <c r="J447" s="552"/>
      <c r="K447" s="552"/>
      <c r="L447" s="550"/>
      <c r="M447" s="662"/>
      <c r="N447" s="550"/>
      <c r="O447" s="922"/>
      <c r="P447" s="1310"/>
    </row>
    <row r="448" spans="5:16" ht="13" x14ac:dyDescent="0.3">
      <c r="E448" s="1087"/>
      <c r="F448" s="550"/>
      <c r="G448" s="550"/>
      <c r="J448" s="552"/>
      <c r="K448" s="552"/>
      <c r="L448" s="550"/>
      <c r="M448" s="662"/>
      <c r="N448" s="550"/>
      <c r="O448" s="922"/>
      <c r="P448" s="1310"/>
    </row>
    <row r="449" spans="5:16" ht="13" x14ac:dyDescent="0.3">
      <c r="E449" s="1087"/>
      <c r="F449" s="550"/>
      <c r="G449" s="550"/>
      <c r="J449" s="552"/>
      <c r="K449" s="552"/>
      <c r="L449" s="550"/>
      <c r="M449" s="662"/>
      <c r="N449" s="550"/>
      <c r="O449" s="922"/>
      <c r="P449" s="1310"/>
    </row>
    <row r="450" spans="5:16" ht="13" x14ac:dyDescent="0.3">
      <c r="E450" s="1087"/>
      <c r="F450" s="550"/>
      <c r="G450" s="550"/>
      <c r="J450" s="552"/>
      <c r="K450" s="552"/>
      <c r="L450" s="550"/>
      <c r="M450" s="662"/>
      <c r="N450" s="550"/>
      <c r="O450" s="922"/>
      <c r="P450" s="1310"/>
    </row>
    <row r="451" spans="5:16" ht="13" x14ac:dyDescent="0.3">
      <c r="E451" s="1087"/>
      <c r="F451" s="550"/>
      <c r="G451" s="550"/>
      <c r="J451" s="552"/>
      <c r="K451" s="552"/>
      <c r="L451" s="550"/>
      <c r="M451" s="662"/>
      <c r="N451" s="550"/>
      <c r="O451" s="922"/>
      <c r="P451" s="1310"/>
    </row>
    <row r="452" spans="5:16" ht="13" x14ac:dyDescent="0.3">
      <c r="E452" s="1087"/>
      <c r="F452" s="550"/>
      <c r="G452" s="550"/>
      <c r="J452" s="552"/>
      <c r="K452" s="552"/>
      <c r="L452" s="550"/>
      <c r="M452" s="662"/>
      <c r="N452" s="550"/>
      <c r="O452" s="922"/>
      <c r="P452" s="1310"/>
    </row>
    <row r="453" spans="5:16" ht="13" x14ac:dyDescent="0.3">
      <c r="E453" s="1087"/>
      <c r="F453" s="550"/>
      <c r="G453" s="550"/>
      <c r="J453" s="552"/>
      <c r="K453" s="552"/>
      <c r="L453" s="550"/>
      <c r="M453" s="662"/>
      <c r="N453" s="550"/>
      <c r="O453" s="922"/>
      <c r="P453" s="1310"/>
    </row>
    <row r="454" spans="5:16" ht="13" x14ac:dyDescent="0.3">
      <c r="E454" s="1087"/>
      <c r="F454" s="550"/>
      <c r="G454" s="550"/>
      <c r="J454" s="552"/>
      <c r="K454" s="552"/>
      <c r="L454" s="550"/>
      <c r="M454" s="662"/>
      <c r="N454" s="550"/>
      <c r="O454" s="922"/>
      <c r="P454" s="1310"/>
    </row>
    <row r="455" spans="5:16" ht="13" x14ac:dyDescent="0.3">
      <c r="E455" s="1087"/>
      <c r="F455" s="550"/>
      <c r="G455" s="550"/>
      <c r="J455" s="552"/>
      <c r="K455" s="552"/>
      <c r="L455" s="550"/>
      <c r="M455" s="662"/>
      <c r="N455" s="550"/>
      <c r="O455" s="922"/>
      <c r="P455" s="1310"/>
    </row>
    <row r="456" spans="5:16" ht="13" x14ac:dyDescent="0.3">
      <c r="E456" s="1087"/>
      <c r="F456" s="550"/>
      <c r="G456" s="550"/>
      <c r="J456" s="552"/>
      <c r="K456" s="552"/>
      <c r="L456" s="550"/>
      <c r="M456" s="662"/>
      <c r="N456" s="550"/>
      <c r="O456" s="922"/>
      <c r="P456" s="1310"/>
    </row>
    <row r="457" spans="5:16" ht="13" x14ac:dyDescent="0.3">
      <c r="E457" s="1087"/>
      <c r="F457" s="550"/>
      <c r="G457" s="550"/>
      <c r="J457" s="552"/>
      <c r="K457" s="552"/>
      <c r="L457" s="550"/>
      <c r="M457" s="662"/>
      <c r="N457" s="550"/>
      <c r="O457" s="922"/>
      <c r="P457" s="1310"/>
    </row>
    <row r="458" spans="5:16" ht="13" x14ac:dyDescent="0.3">
      <c r="E458" s="1087"/>
      <c r="F458" s="550"/>
      <c r="G458" s="550"/>
      <c r="J458" s="552"/>
      <c r="K458" s="552"/>
      <c r="L458" s="550"/>
      <c r="M458" s="662"/>
      <c r="N458" s="550"/>
      <c r="O458" s="922"/>
      <c r="P458" s="1310"/>
    </row>
    <row r="459" spans="5:16" ht="13" x14ac:dyDescent="0.3">
      <c r="E459" s="1087"/>
      <c r="F459" s="550"/>
      <c r="G459" s="550"/>
      <c r="J459" s="552"/>
      <c r="K459" s="552"/>
      <c r="L459" s="550"/>
      <c r="M459" s="662"/>
      <c r="N459" s="550"/>
      <c r="O459" s="922"/>
      <c r="P459" s="1310"/>
    </row>
    <row r="460" spans="5:16" ht="13" x14ac:dyDescent="0.3">
      <c r="E460" s="1087"/>
      <c r="F460" s="550"/>
      <c r="G460" s="550"/>
      <c r="J460" s="552"/>
      <c r="K460" s="552"/>
      <c r="L460" s="550"/>
      <c r="M460" s="662"/>
      <c r="N460" s="550"/>
      <c r="O460" s="922"/>
      <c r="P460" s="1310"/>
    </row>
    <row r="461" spans="5:16" ht="13" x14ac:dyDescent="0.3">
      <c r="E461" s="1087"/>
      <c r="F461" s="550"/>
      <c r="G461" s="550"/>
      <c r="J461" s="552"/>
      <c r="K461" s="552"/>
      <c r="L461" s="550"/>
      <c r="M461" s="662"/>
      <c r="N461" s="550"/>
      <c r="O461" s="922"/>
      <c r="P461" s="1310"/>
    </row>
    <row r="462" spans="5:16" ht="13" x14ac:dyDescent="0.3">
      <c r="E462" s="1087"/>
      <c r="F462" s="550"/>
      <c r="G462" s="550"/>
      <c r="J462" s="552"/>
      <c r="K462" s="552"/>
      <c r="L462" s="550"/>
      <c r="M462" s="662"/>
      <c r="N462" s="550"/>
      <c r="O462" s="922"/>
      <c r="P462" s="1310"/>
    </row>
    <row r="463" spans="5:16" ht="13" x14ac:dyDescent="0.3">
      <c r="E463" s="1087"/>
      <c r="F463" s="550"/>
      <c r="G463" s="550"/>
      <c r="J463" s="552"/>
      <c r="K463" s="552"/>
      <c r="L463" s="550"/>
      <c r="M463" s="662"/>
      <c r="N463" s="550"/>
      <c r="O463" s="922"/>
      <c r="P463" s="1310"/>
    </row>
    <row r="464" spans="5:16" ht="13" x14ac:dyDescent="0.3">
      <c r="E464" s="1087"/>
      <c r="F464" s="550"/>
      <c r="G464" s="550"/>
      <c r="J464" s="552"/>
      <c r="K464" s="552"/>
      <c r="L464" s="550"/>
      <c r="M464" s="662"/>
      <c r="N464" s="550"/>
      <c r="O464" s="922"/>
      <c r="P464" s="1310"/>
    </row>
    <row r="465" spans="5:16" ht="13" x14ac:dyDescent="0.3">
      <c r="E465" s="1087"/>
      <c r="F465" s="550"/>
      <c r="G465" s="550"/>
      <c r="J465" s="552"/>
      <c r="K465" s="552"/>
      <c r="L465" s="550"/>
      <c r="M465" s="662"/>
      <c r="N465" s="550"/>
      <c r="O465" s="922"/>
      <c r="P465" s="1310"/>
    </row>
    <row r="466" spans="5:16" ht="13" x14ac:dyDescent="0.3">
      <c r="E466" s="1087"/>
      <c r="F466" s="550"/>
      <c r="G466" s="550"/>
      <c r="J466" s="552"/>
      <c r="K466" s="552"/>
      <c r="L466" s="550"/>
      <c r="M466" s="662"/>
      <c r="N466" s="550"/>
      <c r="O466" s="922"/>
      <c r="P466" s="1310"/>
    </row>
    <row r="467" spans="5:16" ht="13" x14ac:dyDescent="0.3">
      <c r="E467" s="1087"/>
      <c r="F467" s="550"/>
      <c r="G467" s="550"/>
      <c r="J467" s="552"/>
      <c r="K467" s="552"/>
      <c r="L467" s="550"/>
      <c r="M467" s="662"/>
      <c r="N467" s="550"/>
      <c r="O467" s="922"/>
      <c r="P467" s="1310"/>
    </row>
    <row r="468" spans="5:16" ht="13" x14ac:dyDescent="0.3">
      <c r="E468" s="1087"/>
      <c r="F468" s="550"/>
      <c r="G468" s="550"/>
      <c r="J468" s="552"/>
      <c r="K468" s="552"/>
      <c r="L468" s="550"/>
      <c r="M468" s="662"/>
      <c r="N468" s="550"/>
      <c r="O468" s="922"/>
      <c r="P468" s="1310"/>
    </row>
    <row r="469" spans="5:16" ht="13" x14ac:dyDescent="0.3">
      <c r="E469" s="1087"/>
      <c r="F469" s="550"/>
      <c r="G469" s="550"/>
      <c r="J469" s="552"/>
      <c r="K469" s="552"/>
      <c r="L469" s="550"/>
      <c r="M469" s="662"/>
      <c r="N469" s="550"/>
      <c r="O469" s="922"/>
      <c r="P469" s="1310"/>
    </row>
    <row r="470" spans="5:16" ht="13" x14ac:dyDescent="0.3">
      <c r="E470" s="1087"/>
      <c r="F470" s="550"/>
      <c r="G470" s="550"/>
      <c r="J470" s="552"/>
      <c r="K470" s="552"/>
      <c r="L470" s="550"/>
      <c r="M470" s="662"/>
      <c r="N470" s="550"/>
      <c r="O470" s="922"/>
      <c r="P470" s="1310"/>
    </row>
    <row r="471" spans="5:16" ht="13" x14ac:dyDescent="0.3">
      <c r="E471" s="1087"/>
      <c r="F471" s="550"/>
      <c r="G471" s="550"/>
      <c r="J471" s="552"/>
      <c r="K471" s="552"/>
      <c r="L471" s="550"/>
      <c r="M471" s="662"/>
      <c r="N471" s="550"/>
      <c r="O471" s="922"/>
      <c r="P471" s="1310"/>
    </row>
    <row r="472" spans="5:16" ht="13" x14ac:dyDescent="0.3">
      <c r="E472" s="1087"/>
      <c r="F472" s="550"/>
      <c r="G472" s="550"/>
      <c r="J472" s="552"/>
      <c r="K472" s="552"/>
      <c r="L472" s="550"/>
      <c r="M472" s="662"/>
      <c r="N472" s="550"/>
      <c r="O472" s="922"/>
      <c r="P472" s="1310"/>
    </row>
    <row r="473" spans="5:16" ht="13" x14ac:dyDescent="0.3">
      <c r="E473" s="1087"/>
      <c r="F473" s="550"/>
      <c r="G473" s="550"/>
      <c r="J473" s="552"/>
      <c r="K473" s="552"/>
      <c r="L473" s="550"/>
      <c r="M473" s="662"/>
      <c r="N473" s="550"/>
      <c r="O473" s="922"/>
      <c r="P473" s="1310"/>
    </row>
    <row r="474" spans="5:16" ht="13" x14ac:dyDescent="0.3">
      <c r="E474" s="1087"/>
      <c r="F474" s="550"/>
      <c r="G474" s="550"/>
      <c r="J474" s="552"/>
      <c r="K474" s="552"/>
      <c r="L474" s="550"/>
      <c r="M474" s="662"/>
      <c r="N474" s="550"/>
      <c r="O474" s="922"/>
      <c r="P474" s="1310"/>
    </row>
    <row r="475" spans="5:16" ht="13" x14ac:dyDescent="0.3">
      <c r="E475" s="1087"/>
      <c r="F475" s="550"/>
      <c r="G475" s="550"/>
      <c r="J475" s="552"/>
      <c r="K475" s="552"/>
      <c r="L475" s="550"/>
      <c r="M475" s="662"/>
      <c r="N475" s="550"/>
      <c r="O475" s="922"/>
      <c r="P475" s="1310"/>
    </row>
    <row r="476" spans="5:16" ht="13" x14ac:dyDescent="0.3">
      <c r="E476" s="1087"/>
      <c r="F476" s="550"/>
      <c r="G476" s="550"/>
      <c r="J476" s="552"/>
      <c r="K476" s="552"/>
      <c r="L476" s="550"/>
      <c r="M476" s="662"/>
      <c r="N476" s="550"/>
      <c r="O476" s="922"/>
      <c r="P476" s="1310"/>
    </row>
    <row r="477" spans="5:16" ht="13" x14ac:dyDescent="0.3">
      <c r="E477" s="1087"/>
      <c r="F477" s="550"/>
      <c r="G477" s="550"/>
      <c r="J477" s="552"/>
      <c r="K477" s="552"/>
      <c r="L477" s="550"/>
      <c r="M477" s="662"/>
      <c r="N477" s="550"/>
      <c r="O477" s="922"/>
      <c r="P477" s="1310"/>
    </row>
    <row r="478" spans="5:16" ht="13" x14ac:dyDescent="0.3">
      <c r="E478" s="1087"/>
      <c r="F478" s="550"/>
      <c r="G478" s="550"/>
      <c r="J478" s="552"/>
      <c r="K478" s="552"/>
      <c r="L478" s="550"/>
      <c r="M478" s="662"/>
      <c r="N478" s="550"/>
      <c r="O478" s="922"/>
      <c r="P478" s="1310"/>
    </row>
    <row r="479" spans="5:16" ht="13" x14ac:dyDescent="0.3">
      <c r="E479" s="1087"/>
      <c r="F479" s="550"/>
      <c r="G479" s="550"/>
      <c r="J479" s="552"/>
      <c r="K479" s="552"/>
      <c r="L479" s="550"/>
      <c r="M479" s="662"/>
      <c r="N479" s="550"/>
      <c r="O479" s="922"/>
      <c r="P479" s="1310"/>
    </row>
    <row r="480" spans="5:16" x14ac:dyDescent="0.25">
      <c r="E480" s="1087"/>
      <c r="F480" s="550"/>
      <c r="G480" s="550"/>
      <c r="J480" s="550"/>
      <c r="K480" s="550"/>
      <c r="L480" s="550"/>
      <c r="M480" s="550"/>
      <c r="N480" s="550"/>
      <c r="O480" s="550"/>
      <c r="P480" s="917"/>
    </row>
    <row r="481" spans="5:16" ht="13" x14ac:dyDescent="0.3">
      <c r="E481" s="1087"/>
      <c r="F481" s="550"/>
      <c r="G481" s="550"/>
      <c r="J481" s="552"/>
      <c r="K481" s="552"/>
      <c r="L481" s="550"/>
      <c r="M481" s="662"/>
      <c r="N481" s="550"/>
      <c r="O481" s="922"/>
      <c r="P481" s="1310"/>
    </row>
    <row r="482" spans="5:16" ht="13" x14ac:dyDescent="0.3">
      <c r="E482" s="1087"/>
      <c r="F482" s="550"/>
      <c r="G482" s="550"/>
      <c r="J482" s="552"/>
      <c r="K482" s="552"/>
      <c r="L482" s="550"/>
      <c r="M482" s="662"/>
      <c r="N482" s="550"/>
      <c r="O482" s="1307"/>
      <c r="P482" s="1310"/>
    </row>
    <row r="483" spans="5:16" x14ac:dyDescent="0.25">
      <c r="E483" s="1087"/>
      <c r="F483" s="550"/>
      <c r="G483" s="550"/>
      <c r="J483" s="550"/>
      <c r="K483" s="550"/>
      <c r="L483" s="550"/>
      <c r="M483" s="550"/>
      <c r="N483" s="550"/>
      <c r="O483" s="550"/>
      <c r="P483" s="917"/>
    </row>
    <row r="484" spans="5:16" x14ac:dyDescent="0.25">
      <c r="E484" s="1087"/>
      <c r="F484" s="550"/>
      <c r="G484" s="550"/>
      <c r="J484" s="550"/>
      <c r="K484" s="550"/>
      <c r="L484" s="550"/>
      <c r="M484" s="550"/>
      <c r="N484" s="550"/>
      <c r="O484" s="550"/>
      <c r="P484" s="917"/>
    </row>
    <row r="485" spans="5:16" ht="13" x14ac:dyDescent="0.3">
      <c r="E485" s="1087"/>
      <c r="F485" s="550"/>
      <c r="G485" s="550"/>
      <c r="J485" s="550"/>
      <c r="K485" s="552"/>
      <c r="L485" s="550"/>
      <c r="M485" s="1306"/>
      <c r="N485" s="923"/>
      <c r="O485" s="923"/>
      <c r="P485" s="1310"/>
    </row>
    <row r="486" spans="5:16" x14ac:dyDescent="0.25">
      <c r="E486" s="1087"/>
      <c r="F486" s="550"/>
      <c r="G486" s="550"/>
      <c r="J486" s="550"/>
      <c r="K486" s="550"/>
      <c r="L486" s="550"/>
      <c r="M486" s="1087"/>
      <c r="N486" s="550"/>
      <c r="O486" s="550"/>
      <c r="P486" s="917"/>
    </row>
    <row r="487" spans="5:16" ht="13" x14ac:dyDescent="0.3">
      <c r="E487" s="1087"/>
      <c r="F487" s="550"/>
      <c r="G487" s="550"/>
      <c r="J487" s="552"/>
      <c r="K487" s="552"/>
      <c r="L487" s="552"/>
      <c r="M487" s="1314"/>
      <c r="N487" s="1314"/>
      <c r="O487" s="1314"/>
      <c r="P487" s="1310"/>
    </row>
    <row r="488" spans="5:16" x14ac:dyDescent="0.25">
      <c r="E488" s="1087"/>
      <c r="F488" s="550"/>
      <c r="G488" s="550"/>
      <c r="J488" s="550"/>
      <c r="K488" s="550"/>
      <c r="L488" s="550"/>
      <c r="M488" s="1087"/>
      <c r="N488" s="550"/>
      <c r="O488" s="550"/>
      <c r="P488" s="917"/>
    </row>
    <row r="489" spans="5:16" x14ac:dyDescent="0.25">
      <c r="E489" s="1087"/>
      <c r="F489" s="550"/>
      <c r="G489" s="550"/>
      <c r="J489" s="550"/>
      <c r="K489" s="550"/>
      <c r="L489" s="550"/>
      <c r="M489" s="1087"/>
      <c r="N489" s="550"/>
      <c r="O489" s="550"/>
      <c r="P489" s="917"/>
    </row>
    <row r="490" spans="5:16" x14ac:dyDescent="0.25">
      <c r="E490" s="1087"/>
      <c r="F490" s="550"/>
      <c r="G490" s="550"/>
      <c r="J490" s="550"/>
      <c r="K490" s="550"/>
      <c r="L490" s="550"/>
      <c r="M490" s="1087"/>
      <c r="N490" s="550"/>
      <c r="O490" s="550"/>
      <c r="P490" s="917"/>
    </row>
    <row r="491" spans="5:16" ht="13" x14ac:dyDescent="0.3">
      <c r="E491" s="1087"/>
      <c r="F491" s="550"/>
      <c r="G491" s="550"/>
      <c r="J491" s="552"/>
      <c r="K491" s="552"/>
      <c r="L491" s="550"/>
      <c r="M491" s="662"/>
      <c r="N491" s="550"/>
      <c r="O491" s="922"/>
      <c r="P491" s="1310"/>
    </row>
    <row r="492" spans="5:16" x14ac:dyDescent="0.25">
      <c r="E492" s="1087"/>
      <c r="F492" s="550"/>
      <c r="G492" s="550"/>
      <c r="J492" s="550"/>
      <c r="K492" s="550"/>
      <c r="L492" s="550"/>
      <c r="M492" s="1087"/>
      <c r="N492" s="550"/>
      <c r="O492" s="550"/>
      <c r="P492" s="917"/>
    </row>
    <row r="493" spans="5:16" x14ac:dyDescent="0.25">
      <c r="E493" s="1087"/>
      <c r="F493" s="550"/>
      <c r="G493" s="550"/>
      <c r="J493" s="550"/>
      <c r="K493" s="550"/>
      <c r="L493" s="550"/>
      <c r="M493" s="550"/>
      <c r="N493" s="550"/>
      <c r="O493" s="550"/>
      <c r="P493" s="550"/>
    </row>
    <row r="494" spans="5:16" x14ac:dyDescent="0.25">
      <c r="E494" s="1087"/>
      <c r="F494" s="550"/>
      <c r="G494" s="550"/>
    </row>
    <row r="495" spans="5:16" x14ac:dyDescent="0.25">
      <c r="E495" s="1087"/>
      <c r="F495" s="550"/>
      <c r="G495" s="550"/>
    </row>
    <row r="496" spans="5:16" x14ac:dyDescent="0.25">
      <c r="E496" s="1087"/>
      <c r="F496" s="550"/>
      <c r="G496" s="550"/>
    </row>
    <row r="497" spans="5:7" x14ac:dyDescent="0.25">
      <c r="E497" s="1087"/>
      <c r="F497" s="550"/>
      <c r="G497" s="550"/>
    </row>
    <row r="498" spans="5:7" x14ac:dyDescent="0.25">
      <c r="E498" s="1087"/>
      <c r="F498" s="550"/>
      <c r="G498" s="550"/>
    </row>
    <row r="499" spans="5:7" x14ac:dyDescent="0.25">
      <c r="E499" s="1087"/>
      <c r="F499" s="550"/>
      <c r="G499" s="550"/>
    </row>
    <row r="500" spans="5:7" x14ac:dyDescent="0.25">
      <c r="E500" s="1087"/>
      <c r="F500" s="550"/>
      <c r="G500" s="550"/>
    </row>
    <row r="501" spans="5:7" x14ac:dyDescent="0.25">
      <c r="E501" s="1087"/>
      <c r="F501" s="550"/>
      <c r="G501" s="550"/>
    </row>
    <row r="502" spans="5:7" x14ac:dyDescent="0.25">
      <c r="E502" s="1087"/>
      <c r="F502" s="550"/>
      <c r="G502" s="550"/>
    </row>
    <row r="503" spans="5:7" x14ac:dyDescent="0.25">
      <c r="E503" s="1087"/>
      <c r="F503" s="550"/>
      <c r="G503" s="550"/>
    </row>
    <row r="504" spans="5:7" x14ac:dyDescent="0.25">
      <c r="E504" s="1087"/>
      <c r="F504" s="550"/>
      <c r="G504" s="550"/>
    </row>
    <row r="505" spans="5:7" x14ac:dyDescent="0.25">
      <c r="E505" s="1087"/>
      <c r="F505" s="550"/>
      <c r="G505" s="550"/>
    </row>
    <row r="506" spans="5:7" x14ac:dyDescent="0.25">
      <c r="E506" s="1087"/>
      <c r="F506" s="550"/>
      <c r="G506" s="550"/>
    </row>
    <row r="507" spans="5:7" x14ac:dyDescent="0.25">
      <c r="E507" s="1087"/>
      <c r="F507" s="550"/>
      <c r="G507" s="550"/>
    </row>
    <row r="508" spans="5:7" x14ac:dyDescent="0.25">
      <c r="E508" s="1087"/>
      <c r="F508" s="550"/>
      <c r="G508" s="550"/>
    </row>
    <row r="509" spans="5:7" x14ac:dyDescent="0.25">
      <c r="E509" s="1087"/>
      <c r="F509" s="550"/>
      <c r="G509" s="550"/>
    </row>
    <row r="510" spans="5:7" x14ac:dyDescent="0.25">
      <c r="E510" s="1087"/>
      <c r="F510" s="550"/>
      <c r="G510" s="550"/>
    </row>
    <row r="511" spans="5:7" x14ac:dyDescent="0.25">
      <c r="E511" s="1087"/>
      <c r="F511" s="550"/>
      <c r="G511" s="550"/>
    </row>
    <row r="512" spans="5:7" x14ac:dyDescent="0.25">
      <c r="E512" s="1087"/>
      <c r="F512" s="550"/>
      <c r="G512" s="550"/>
    </row>
    <row r="513" spans="3:7" x14ac:dyDescent="0.25">
      <c r="E513" s="1087"/>
      <c r="F513" s="550"/>
      <c r="G513" s="550"/>
    </row>
    <row r="514" spans="3:7" x14ac:dyDescent="0.25">
      <c r="E514" s="1087"/>
      <c r="F514" s="550"/>
      <c r="G514" s="550"/>
    </row>
    <row r="515" spans="3:7" x14ac:dyDescent="0.25">
      <c r="E515" s="1087"/>
      <c r="F515" s="550"/>
      <c r="G515" s="550"/>
    </row>
    <row r="516" spans="3:7" x14ac:dyDescent="0.25">
      <c r="E516" s="1087"/>
      <c r="F516" s="550"/>
      <c r="G516" s="550"/>
    </row>
    <row r="517" spans="3:7" x14ac:dyDescent="0.25">
      <c r="E517" s="1087"/>
      <c r="F517" s="550"/>
      <c r="G517" s="550"/>
    </row>
    <row r="518" spans="3:7" x14ac:dyDescent="0.25">
      <c r="E518" s="1087"/>
      <c r="F518" s="550"/>
      <c r="G518" s="550"/>
    </row>
    <row r="519" spans="3:7" x14ac:dyDescent="0.25">
      <c r="E519" s="1087"/>
      <c r="F519" s="550"/>
      <c r="G519" s="550"/>
    </row>
    <row r="520" spans="3:7" x14ac:dyDescent="0.25">
      <c r="E520" s="1087"/>
      <c r="F520" s="550"/>
      <c r="G520" s="550"/>
    </row>
    <row r="521" spans="3:7" x14ac:dyDescent="0.25">
      <c r="E521" s="1087"/>
      <c r="F521" s="550"/>
      <c r="G521" s="550"/>
    </row>
    <row r="522" spans="3:7" ht="13" x14ac:dyDescent="0.3">
      <c r="C522" s="534"/>
      <c r="E522" s="1087"/>
      <c r="F522" s="550"/>
      <c r="G522" s="550"/>
    </row>
    <row r="523" spans="3:7" x14ac:dyDescent="0.25">
      <c r="E523" s="1087"/>
      <c r="F523" s="550"/>
      <c r="G523" s="550"/>
    </row>
    <row r="524" spans="3:7" x14ac:dyDescent="0.25">
      <c r="E524" s="1087"/>
      <c r="F524" s="550"/>
      <c r="G524" s="550"/>
    </row>
    <row r="525" spans="3:7" x14ac:dyDescent="0.25">
      <c r="E525" s="1087"/>
      <c r="F525" s="550"/>
      <c r="G525" s="550"/>
    </row>
    <row r="526" spans="3:7" x14ac:dyDescent="0.25">
      <c r="E526" s="1087"/>
      <c r="F526" s="550"/>
      <c r="G526" s="550"/>
    </row>
    <row r="527" spans="3:7" x14ac:dyDescent="0.25">
      <c r="E527" s="1087"/>
      <c r="F527" s="550"/>
      <c r="G527" s="550"/>
    </row>
    <row r="528" spans="3:7" x14ac:dyDescent="0.25">
      <c r="E528" s="1087"/>
      <c r="F528" s="550"/>
      <c r="G528" s="550"/>
    </row>
    <row r="529" spans="5:7" x14ac:dyDescent="0.25">
      <c r="E529" s="1087"/>
      <c r="F529" s="550"/>
      <c r="G529" s="550"/>
    </row>
    <row r="530" spans="5:7" x14ac:dyDescent="0.25">
      <c r="E530" s="1087"/>
      <c r="F530" s="550"/>
      <c r="G530" s="550"/>
    </row>
    <row r="531" spans="5:7" x14ac:dyDescent="0.25">
      <c r="E531" s="1087"/>
      <c r="F531" s="550"/>
      <c r="G531" s="550"/>
    </row>
    <row r="532" spans="5:7" x14ac:dyDescent="0.25">
      <c r="E532" s="1087"/>
      <c r="F532" s="550"/>
      <c r="G532" s="550"/>
    </row>
    <row r="533" spans="5:7" x14ac:dyDescent="0.25">
      <c r="E533" s="1087"/>
      <c r="F533" s="550"/>
      <c r="G533" s="550"/>
    </row>
    <row r="534" spans="5:7" x14ac:dyDescent="0.25">
      <c r="E534" s="1087"/>
      <c r="F534" s="550"/>
      <c r="G534" s="550"/>
    </row>
    <row r="535" spans="5:7" x14ac:dyDescent="0.25">
      <c r="E535" s="1087"/>
      <c r="F535" s="550"/>
      <c r="G535" s="550"/>
    </row>
    <row r="536" spans="5:7" x14ac:dyDescent="0.25">
      <c r="E536" s="1087"/>
      <c r="F536" s="550"/>
      <c r="G536" s="550"/>
    </row>
    <row r="537" spans="5:7" x14ac:dyDescent="0.25">
      <c r="E537" s="1087"/>
      <c r="F537" s="550"/>
      <c r="G537" s="550"/>
    </row>
    <row r="538" spans="5:7" x14ac:dyDescent="0.25">
      <c r="E538" s="1087"/>
      <c r="F538" s="550"/>
      <c r="G538" s="550"/>
    </row>
    <row r="539" spans="5:7" x14ac:dyDescent="0.25">
      <c r="E539" s="1087"/>
      <c r="F539" s="550"/>
      <c r="G539" s="550"/>
    </row>
    <row r="540" spans="5:7" x14ac:dyDescent="0.25">
      <c r="E540" s="1087"/>
      <c r="F540" s="550"/>
      <c r="G540" s="550"/>
    </row>
    <row r="541" spans="5:7" x14ac:dyDescent="0.25">
      <c r="E541" s="1087"/>
      <c r="F541" s="550"/>
      <c r="G541" s="550"/>
    </row>
    <row r="542" spans="5:7" x14ac:dyDescent="0.25">
      <c r="E542" s="1087"/>
      <c r="F542" s="550"/>
      <c r="G542" s="550"/>
    </row>
    <row r="543" spans="5:7" x14ac:dyDescent="0.25">
      <c r="E543" s="1087"/>
      <c r="F543" s="550"/>
      <c r="G543" s="550"/>
    </row>
    <row r="544" spans="5:7" x14ac:dyDescent="0.25">
      <c r="E544" s="1087"/>
      <c r="F544" s="550"/>
      <c r="G544" s="550"/>
    </row>
    <row r="545" spans="5:7" x14ac:dyDescent="0.25">
      <c r="E545" s="1087"/>
      <c r="F545" s="550"/>
      <c r="G545" s="550"/>
    </row>
    <row r="546" spans="5:7" x14ac:dyDescent="0.25">
      <c r="E546" s="1087"/>
      <c r="F546" s="550"/>
      <c r="G546" s="550"/>
    </row>
    <row r="547" spans="5:7" x14ac:dyDescent="0.25">
      <c r="E547" s="1087"/>
      <c r="F547" s="550"/>
      <c r="G547" s="550"/>
    </row>
    <row r="548" spans="5:7" x14ac:dyDescent="0.25">
      <c r="E548" s="1087"/>
      <c r="F548" s="550"/>
      <c r="G548" s="550"/>
    </row>
    <row r="549" spans="5:7" x14ac:dyDescent="0.25">
      <c r="E549" s="1087"/>
      <c r="F549" s="550"/>
      <c r="G549" s="550"/>
    </row>
    <row r="550" spans="5:7" x14ac:dyDescent="0.25">
      <c r="E550" s="1087"/>
      <c r="F550" s="550"/>
      <c r="G550" s="550"/>
    </row>
    <row r="551" spans="5:7" x14ac:dyDescent="0.25">
      <c r="E551" s="1087"/>
      <c r="F551" s="550"/>
      <c r="G551" s="550"/>
    </row>
    <row r="552" spans="5:7" x14ac:dyDescent="0.25">
      <c r="E552" s="1087"/>
      <c r="F552" s="550"/>
      <c r="G552" s="550"/>
    </row>
    <row r="553" spans="5:7" x14ac:dyDescent="0.25">
      <c r="E553" s="1087"/>
      <c r="F553" s="550"/>
      <c r="G553" s="550"/>
    </row>
    <row r="554" spans="5:7" x14ac:dyDescent="0.25">
      <c r="E554" s="1087"/>
      <c r="F554" s="550"/>
      <c r="G554" s="550"/>
    </row>
    <row r="555" spans="5:7" x14ac:dyDescent="0.25">
      <c r="E555" s="1087"/>
      <c r="F555" s="550"/>
      <c r="G555" s="550"/>
    </row>
    <row r="556" spans="5:7" x14ac:dyDescent="0.25">
      <c r="E556" s="1087"/>
      <c r="F556" s="550"/>
      <c r="G556" s="550"/>
    </row>
    <row r="557" spans="5:7" x14ac:dyDescent="0.25">
      <c r="E557" s="1087"/>
      <c r="F557" s="550"/>
      <c r="G557" s="550"/>
    </row>
    <row r="558" spans="5:7" x14ac:dyDescent="0.25">
      <c r="E558" s="1087"/>
      <c r="F558" s="550"/>
      <c r="G558" s="550"/>
    </row>
    <row r="559" spans="5:7" x14ac:dyDescent="0.25">
      <c r="E559" s="1087"/>
      <c r="F559" s="550"/>
      <c r="G559" s="550"/>
    </row>
    <row r="560" spans="5:7" x14ac:dyDescent="0.25">
      <c r="E560" s="1087"/>
      <c r="F560" s="550"/>
      <c r="G560" s="550"/>
    </row>
    <row r="561" spans="5:7" x14ac:dyDescent="0.25">
      <c r="E561" s="1087"/>
      <c r="F561" s="550"/>
      <c r="G561" s="550"/>
    </row>
    <row r="562" spans="5:7" x14ac:dyDescent="0.25">
      <c r="E562" s="1087"/>
      <c r="F562" s="550"/>
      <c r="G562" s="550"/>
    </row>
    <row r="563" spans="5:7" x14ac:dyDescent="0.25">
      <c r="E563" s="1087"/>
      <c r="F563" s="550"/>
      <c r="G563" s="550"/>
    </row>
    <row r="564" spans="5:7" x14ac:dyDescent="0.25">
      <c r="E564" s="1087"/>
      <c r="F564" s="550"/>
      <c r="G564" s="550"/>
    </row>
    <row r="565" spans="5:7" x14ac:dyDescent="0.25">
      <c r="E565" s="1087"/>
      <c r="F565" s="550"/>
      <c r="G565" s="550"/>
    </row>
    <row r="566" spans="5:7" x14ac:dyDescent="0.25">
      <c r="E566" s="1087"/>
      <c r="F566" s="550"/>
      <c r="G566" s="550"/>
    </row>
    <row r="567" spans="5:7" x14ac:dyDescent="0.25">
      <c r="E567" s="1087"/>
      <c r="F567" s="550"/>
      <c r="G567" s="550"/>
    </row>
    <row r="568" spans="5:7" x14ac:dyDescent="0.25">
      <c r="E568" s="1087"/>
      <c r="F568" s="550"/>
      <c r="G568" s="550"/>
    </row>
    <row r="569" spans="5:7" x14ac:dyDescent="0.25">
      <c r="E569" s="1087"/>
      <c r="F569" s="550"/>
      <c r="G569" s="550"/>
    </row>
    <row r="570" spans="5:7" x14ac:dyDescent="0.25">
      <c r="E570" s="1087"/>
      <c r="F570" s="550"/>
      <c r="G570" s="550"/>
    </row>
    <row r="571" spans="5:7" x14ac:dyDescent="0.25">
      <c r="E571" s="1087"/>
      <c r="F571" s="550"/>
      <c r="G571" s="550"/>
    </row>
    <row r="572" spans="5:7" x14ac:dyDescent="0.25">
      <c r="E572" s="1087"/>
      <c r="F572" s="550"/>
      <c r="G572" s="550"/>
    </row>
    <row r="573" spans="5:7" x14ac:dyDescent="0.25">
      <c r="E573" s="1087"/>
      <c r="F573" s="550"/>
      <c r="G573" s="550"/>
    </row>
    <row r="574" spans="5:7" x14ac:dyDescent="0.25">
      <c r="E574" s="1087"/>
      <c r="F574" s="550"/>
      <c r="G574" s="550"/>
    </row>
    <row r="575" spans="5:7" x14ac:dyDescent="0.25">
      <c r="E575" s="1087"/>
      <c r="F575" s="550"/>
      <c r="G575" s="550"/>
    </row>
    <row r="576" spans="5:7" x14ac:dyDescent="0.25">
      <c r="E576" s="1087"/>
      <c r="F576" s="550"/>
      <c r="G576" s="550"/>
    </row>
    <row r="577" spans="5:7" x14ac:dyDescent="0.25">
      <c r="E577" s="1087"/>
      <c r="F577" s="550"/>
      <c r="G577" s="550"/>
    </row>
    <row r="578" spans="5:7" x14ac:dyDescent="0.25">
      <c r="E578" s="1087"/>
      <c r="F578" s="550"/>
      <c r="G578" s="550"/>
    </row>
    <row r="579" spans="5:7" x14ac:dyDescent="0.25">
      <c r="E579" s="1087"/>
      <c r="F579" s="550"/>
      <c r="G579" s="550"/>
    </row>
    <row r="580" spans="5:7" x14ac:dyDescent="0.25">
      <c r="E580" s="1087"/>
      <c r="F580" s="550"/>
      <c r="G580" s="550"/>
    </row>
    <row r="581" spans="5:7" x14ac:dyDescent="0.25">
      <c r="E581" s="1087"/>
      <c r="F581" s="550"/>
      <c r="G581" s="550"/>
    </row>
    <row r="582" spans="5:7" x14ac:dyDescent="0.25">
      <c r="E582" s="1087"/>
      <c r="F582" s="550"/>
      <c r="G582" s="550"/>
    </row>
    <row r="583" spans="5:7" x14ac:dyDescent="0.25">
      <c r="E583" s="1087"/>
      <c r="F583" s="550"/>
      <c r="G583" s="550"/>
    </row>
    <row r="584" spans="5:7" x14ac:dyDescent="0.25">
      <c r="E584" s="1087"/>
      <c r="F584" s="550"/>
      <c r="G584" s="550"/>
    </row>
    <row r="585" spans="5:7" x14ac:dyDescent="0.25">
      <c r="E585" s="1087"/>
      <c r="F585" s="550"/>
      <c r="G585" s="550"/>
    </row>
    <row r="586" spans="5:7" x14ac:dyDescent="0.25">
      <c r="E586" s="1087"/>
      <c r="F586" s="550"/>
      <c r="G586" s="550"/>
    </row>
    <row r="587" spans="5:7" x14ac:dyDescent="0.25">
      <c r="E587" s="1087"/>
      <c r="F587" s="550"/>
      <c r="G587" s="550"/>
    </row>
    <row r="588" spans="5:7" x14ac:dyDescent="0.25">
      <c r="E588" s="1087"/>
      <c r="F588" s="550"/>
      <c r="G588" s="550"/>
    </row>
    <row r="589" spans="5:7" x14ac:dyDescent="0.25">
      <c r="E589" s="1087"/>
      <c r="F589" s="550"/>
      <c r="G589" s="550"/>
    </row>
    <row r="590" spans="5:7" x14ac:dyDescent="0.25">
      <c r="E590" s="1087"/>
      <c r="F590" s="550"/>
      <c r="G590" s="550"/>
    </row>
    <row r="591" spans="5:7" x14ac:dyDescent="0.25">
      <c r="E591" s="1087"/>
      <c r="F591" s="550"/>
      <c r="G591" s="550"/>
    </row>
    <row r="592" spans="5:7" x14ac:dyDescent="0.25">
      <c r="E592" s="1087"/>
      <c r="F592" s="550"/>
      <c r="G592" s="550"/>
    </row>
    <row r="593" spans="5:7" x14ac:dyDescent="0.25">
      <c r="E593" s="1087"/>
      <c r="F593" s="550"/>
      <c r="G593" s="550"/>
    </row>
    <row r="594" spans="5:7" x14ac:dyDescent="0.25">
      <c r="E594" s="1087"/>
      <c r="F594" s="550"/>
      <c r="G594" s="550"/>
    </row>
    <row r="595" spans="5:7" x14ac:dyDescent="0.25">
      <c r="E595" s="1087"/>
      <c r="F595" s="550"/>
      <c r="G595" s="550"/>
    </row>
    <row r="596" spans="5:7" x14ac:dyDescent="0.25">
      <c r="E596" s="1087"/>
      <c r="F596" s="550"/>
      <c r="G596" s="550"/>
    </row>
    <row r="597" spans="5:7" x14ac:dyDescent="0.25">
      <c r="E597" s="1087"/>
      <c r="F597" s="550"/>
      <c r="G597" s="550"/>
    </row>
    <row r="598" spans="5:7" x14ac:dyDescent="0.25">
      <c r="E598" s="1087"/>
      <c r="F598" s="550"/>
      <c r="G598" s="550"/>
    </row>
    <row r="599" spans="5:7" x14ac:dyDescent="0.25">
      <c r="E599" s="1087"/>
      <c r="F599" s="550"/>
      <c r="G599" s="550"/>
    </row>
    <row r="600" spans="5:7" x14ac:dyDescent="0.25">
      <c r="E600" s="1087"/>
      <c r="F600" s="550"/>
      <c r="G600" s="550"/>
    </row>
    <row r="601" spans="5:7" x14ac:dyDescent="0.25">
      <c r="E601" s="1087"/>
      <c r="F601" s="550"/>
      <c r="G601" s="550"/>
    </row>
    <row r="602" spans="5:7" x14ac:dyDescent="0.25">
      <c r="E602" s="1087"/>
      <c r="F602" s="550"/>
      <c r="G602" s="550"/>
    </row>
    <row r="603" spans="5:7" x14ac:dyDescent="0.25">
      <c r="E603" s="1087"/>
      <c r="F603" s="550"/>
      <c r="G603" s="550"/>
    </row>
    <row r="604" spans="5:7" x14ac:dyDescent="0.25">
      <c r="E604" s="1087"/>
      <c r="F604" s="550"/>
      <c r="G604" s="550"/>
    </row>
    <row r="605" spans="5:7" x14ac:dyDescent="0.25">
      <c r="E605" s="1087"/>
      <c r="F605" s="550"/>
      <c r="G605" s="550"/>
    </row>
    <row r="606" spans="5:7" x14ac:dyDescent="0.25">
      <c r="E606" s="1087"/>
      <c r="F606" s="550"/>
      <c r="G606" s="550"/>
    </row>
    <row r="607" spans="5:7" x14ac:dyDescent="0.25">
      <c r="E607" s="1087"/>
      <c r="F607" s="550"/>
      <c r="G607" s="550"/>
    </row>
    <row r="608" spans="5:7" x14ac:dyDescent="0.25">
      <c r="E608" s="1087"/>
      <c r="F608" s="550"/>
      <c r="G608" s="550"/>
    </row>
    <row r="609" spans="5:7" x14ac:dyDescent="0.25">
      <c r="E609" s="1087"/>
      <c r="F609" s="550"/>
      <c r="G609" s="550"/>
    </row>
    <row r="610" spans="5:7" x14ac:dyDescent="0.25">
      <c r="E610" s="1087"/>
      <c r="F610" s="550"/>
      <c r="G610" s="550"/>
    </row>
    <row r="611" spans="5:7" x14ac:dyDescent="0.25">
      <c r="E611" s="1087"/>
      <c r="F611" s="550"/>
      <c r="G611" s="550"/>
    </row>
    <row r="612" spans="5:7" x14ac:dyDescent="0.25">
      <c r="E612" s="1087"/>
      <c r="F612" s="550"/>
      <c r="G612" s="550"/>
    </row>
    <row r="613" spans="5:7" x14ac:dyDescent="0.25">
      <c r="E613" s="1087"/>
      <c r="F613" s="550"/>
      <c r="G613" s="550"/>
    </row>
    <row r="614" spans="5:7" x14ac:dyDescent="0.25">
      <c r="E614" s="1087"/>
      <c r="F614" s="550"/>
      <c r="G614" s="550"/>
    </row>
    <row r="615" spans="5:7" x14ac:dyDescent="0.25">
      <c r="E615" s="1087"/>
      <c r="F615" s="550"/>
      <c r="G615" s="550"/>
    </row>
    <row r="616" spans="5:7" x14ac:dyDescent="0.25">
      <c r="E616" s="1087"/>
      <c r="F616" s="550"/>
      <c r="G616" s="550"/>
    </row>
    <row r="617" spans="5:7" x14ac:dyDescent="0.25">
      <c r="E617" s="1087"/>
      <c r="F617" s="550"/>
      <c r="G617" s="550"/>
    </row>
    <row r="618" spans="5:7" x14ac:dyDescent="0.25">
      <c r="E618" s="1087"/>
      <c r="F618" s="550"/>
      <c r="G618" s="550"/>
    </row>
    <row r="619" spans="5:7" x14ac:dyDescent="0.25">
      <c r="E619" s="1087"/>
      <c r="F619" s="550"/>
      <c r="G619" s="550"/>
    </row>
    <row r="620" spans="5:7" x14ac:dyDescent="0.25">
      <c r="E620" s="1087"/>
      <c r="F620" s="550"/>
      <c r="G620" s="550"/>
    </row>
    <row r="621" spans="5:7" x14ac:dyDescent="0.25">
      <c r="E621" s="1087"/>
      <c r="F621" s="550"/>
      <c r="G621" s="550"/>
    </row>
    <row r="622" spans="5:7" x14ac:dyDescent="0.25">
      <c r="E622" s="1087"/>
      <c r="F622" s="550"/>
      <c r="G622" s="550"/>
    </row>
    <row r="623" spans="5:7" x14ac:dyDescent="0.25">
      <c r="E623" s="1087"/>
      <c r="F623" s="550"/>
      <c r="G623" s="550"/>
    </row>
    <row r="624" spans="5:7" x14ac:dyDescent="0.25">
      <c r="E624" s="1087"/>
      <c r="F624" s="550"/>
      <c r="G624" s="550"/>
    </row>
    <row r="625" spans="3:7" x14ac:dyDescent="0.25">
      <c r="E625" s="1087"/>
      <c r="F625" s="550"/>
      <c r="G625" s="550"/>
    </row>
    <row r="626" spans="3:7" x14ac:dyDescent="0.25">
      <c r="E626" s="1087"/>
      <c r="F626" s="550"/>
      <c r="G626" s="550"/>
    </row>
    <row r="627" spans="3:7" x14ac:dyDescent="0.25">
      <c r="E627" s="1087"/>
      <c r="F627" s="550"/>
      <c r="G627" s="550"/>
    </row>
    <row r="628" spans="3:7" x14ac:dyDescent="0.25">
      <c r="E628" s="1087"/>
      <c r="F628" s="550"/>
      <c r="G628" s="550"/>
    </row>
    <row r="629" spans="3:7" x14ac:dyDescent="0.25">
      <c r="E629" s="1087"/>
      <c r="F629" s="550"/>
      <c r="G629" s="550"/>
    </row>
    <row r="630" spans="3:7" x14ac:dyDescent="0.25">
      <c r="E630" s="1087"/>
      <c r="F630" s="550"/>
      <c r="G630" s="550"/>
    </row>
    <row r="631" spans="3:7" x14ac:dyDescent="0.25">
      <c r="E631" s="1087"/>
      <c r="F631" s="550"/>
      <c r="G631" s="550"/>
    </row>
    <row r="632" spans="3:7" x14ac:dyDescent="0.25">
      <c r="E632" s="1087"/>
      <c r="F632" s="550"/>
      <c r="G632" s="550"/>
    </row>
    <row r="633" spans="3:7" x14ac:dyDescent="0.25">
      <c r="E633" s="1087"/>
      <c r="F633" s="550"/>
      <c r="G633" s="550"/>
    </row>
    <row r="634" spans="3:7" x14ac:dyDescent="0.25">
      <c r="E634" s="1087"/>
      <c r="F634" s="550"/>
      <c r="G634" s="550"/>
    </row>
    <row r="635" spans="3:7" x14ac:dyDescent="0.25">
      <c r="E635" s="1087"/>
      <c r="F635" s="550"/>
      <c r="G635" s="550"/>
    </row>
    <row r="636" spans="3:7" x14ac:dyDescent="0.25">
      <c r="E636" s="1087"/>
      <c r="F636" s="550"/>
      <c r="G636" s="550"/>
    </row>
    <row r="637" spans="3:7" x14ac:dyDescent="0.25">
      <c r="E637" s="1087"/>
      <c r="F637" s="550"/>
      <c r="G637" s="550"/>
    </row>
    <row r="638" spans="3:7" ht="13" x14ac:dyDescent="0.3">
      <c r="C638" s="534"/>
      <c r="E638" s="1088"/>
    </row>
    <row r="639" spans="3:7" x14ac:dyDescent="0.25">
      <c r="E639" s="1088">
        <v>20164762.809999999</v>
      </c>
    </row>
  </sheetData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25617-AAAE-48A1-8DFE-C591537FF749}">
  <sheetPr>
    <tabColor theme="9" tint="-0.249977111117893"/>
    <pageSetUpPr fitToPage="1"/>
  </sheetPr>
  <dimension ref="A1:W41"/>
  <sheetViews>
    <sheetView topLeftCell="B25" workbookViewId="0">
      <selection activeCell="O21" sqref="O21"/>
    </sheetView>
  </sheetViews>
  <sheetFormatPr defaultColWidth="9.1796875" defaultRowHeight="12.5" x14ac:dyDescent="0.25"/>
  <cols>
    <col min="1" max="1" width="3.54296875" style="155" customWidth="1"/>
    <col min="2" max="4" width="13.1796875" style="14" customWidth="1"/>
    <col min="5" max="5" width="12.453125" style="14" bestFit="1" customWidth="1"/>
    <col min="6" max="6" width="14.1796875" style="14" bestFit="1" customWidth="1"/>
    <col min="7" max="7" width="10.453125" style="14" customWidth="1"/>
    <col min="8" max="8" width="10.1796875" style="14" customWidth="1"/>
    <col min="9" max="9" width="8.1796875" style="14" customWidth="1"/>
    <col min="10" max="10" width="10.81640625" style="14" bestFit="1" customWidth="1"/>
    <col min="11" max="11" width="11" style="14" bestFit="1" customWidth="1"/>
    <col min="12" max="13" width="12.1796875" style="14" customWidth="1"/>
    <col min="14" max="15" width="9.1796875" style="14"/>
    <col min="16" max="16" width="10.7265625" style="14" customWidth="1"/>
    <col min="17" max="16384" width="9.1796875" style="14"/>
  </cols>
  <sheetData>
    <row r="1" spans="1:23" ht="13.5" x14ac:dyDescent="0.35">
      <c r="A1" s="1396" t="s">
        <v>45</v>
      </c>
      <c r="B1" s="1396"/>
      <c r="C1" s="1396"/>
      <c r="D1" s="1396"/>
      <c r="E1" s="1396"/>
      <c r="F1" s="1396"/>
      <c r="G1" s="1396"/>
      <c r="H1" s="1396"/>
      <c r="I1" s="1396"/>
      <c r="J1" s="1396"/>
      <c r="K1" s="1396"/>
      <c r="L1" s="1396"/>
      <c r="M1" s="1396"/>
      <c r="N1" s="75"/>
      <c r="O1" s="75"/>
      <c r="P1" s="75"/>
      <c r="Q1" s="75"/>
      <c r="R1" s="75"/>
      <c r="S1" s="75"/>
      <c r="T1" s="75"/>
      <c r="U1" s="75"/>
      <c r="V1" s="75"/>
    </row>
    <row r="2" spans="1:23" ht="13.5" x14ac:dyDescent="0.35">
      <c r="A2" s="1396" t="s">
        <v>46</v>
      </c>
      <c r="B2" s="1396"/>
      <c r="C2" s="1396"/>
      <c r="D2" s="1396"/>
      <c r="E2" s="1396"/>
      <c r="F2" s="1396"/>
      <c r="G2" s="1396"/>
      <c r="H2" s="1396"/>
      <c r="I2" s="1396"/>
      <c r="J2" s="1396"/>
      <c r="K2" s="1396"/>
      <c r="L2" s="1396"/>
      <c r="M2" s="1396"/>
      <c r="N2" s="75"/>
      <c r="O2" s="75"/>
      <c r="P2" s="75"/>
      <c r="Q2" s="75"/>
      <c r="R2" s="75"/>
      <c r="S2" s="75"/>
      <c r="T2" s="75"/>
      <c r="U2" s="75"/>
      <c r="V2" s="75"/>
    </row>
    <row r="3" spans="1:23" ht="13.5" x14ac:dyDescent="0.35">
      <c r="A3" s="1396" t="s">
        <v>47</v>
      </c>
      <c r="B3" s="1396"/>
      <c r="C3" s="1396"/>
      <c r="D3" s="1396"/>
      <c r="E3" s="1396"/>
      <c r="F3" s="1396"/>
      <c r="G3" s="1396"/>
      <c r="H3" s="1396"/>
      <c r="I3" s="1396"/>
      <c r="J3" s="1396"/>
      <c r="K3" s="1396"/>
      <c r="L3" s="1396"/>
      <c r="M3" s="1396"/>
      <c r="N3" s="75"/>
      <c r="O3" s="75"/>
      <c r="P3" s="75"/>
      <c r="Q3" s="75"/>
      <c r="R3" s="75"/>
      <c r="S3" s="75"/>
      <c r="T3" s="75"/>
      <c r="U3" s="75"/>
      <c r="V3" s="75"/>
    </row>
    <row r="4" spans="1:23" ht="13.5" x14ac:dyDescent="0.35">
      <c r="A4" s="1396" t="s">
        <v>48</v>
      </c>
      <c r="B4" s="1396"/>
      <c r="C4" s="1396"/>
      <c r="D4" s="1396"/>
      <c r="E4" s="1396"/>
      <c r="F4" s="1396"/>
      <c r="G4" s="1396"/>
      <c r="H4" s="1396"/>
      <c r="I4" s="1396"/>
      <c r="J4" s="1396"/>
      <c r="K4" s="1396"/>
      <c r="L4" s="1396"/>
      <c r="M4" s="1396"/>
      <c r="N4" s="75"/>
      <c r="O4" s="75"/>
      <c r="P4" s="75"/>
      <c r="Q4" s="75"/>
      <c r="R4" s="75"/>
      <c r="S4" s="75"/>
      <c r="T4" s="75"/>
      <c r="U4" s="75"/>
      <c r="V4" s="75"/>
    </row>
    <row r="5" spans="1:23" ht="14" thickBot="1" x14ac:dyDescent="0.4">
      <c r="A5" s="151"/>
      <c r="B5" s="12"/>
      <c r="C5" s="12"/>
      <c r="D5" s="12"/>
      <c r="E5" s="440"/>
      <c r="F5" s="440"/>
      <c r="G5" s="440"/>
      <c r="H5" s="440"/>
      <c r="I5" s="440"/>
      <c r="J5" s="440"/>
      <c r="K5" s="440"/>
      <c r="L5" s="440"/>
      <c r="M5" s="440"/>
      <c r="N5" s="424"/>
      <c r="O5" s="424"/>
      <c r="P5" s="424"/>
      <c r="Q5" s="424"/>
      <c r="R5" s="424"/>
      <c r="S5" s="424"/>
      <c r="T5" s="424"/>
      <c r="U5" s="424"/>
      <c r="V5" s="424"/>
    </row>
    <row r="6" spans="1:23" ht="21.75" customHeight="1" x14ac:dyDescent="0.35">
      <c r="A6" s="152"/>
      <c r="B6" s="77" t="s">
        <v>54</v>
      </c>
      <c r="C6" s="77"/>
      <c r="D6" s="78" t="s">
        <v>6</v>
      </c>
      <c r="E6" s="94">
        <f>'P1 Info &amp; Certification'!L20</f>
        <v>45108</v>
      </c>
      <c r="F6" s="96"/>
      <c r="G6" s="96"/>
      <c r="H6" s="96"/>
      <c r="I6" s="96"/>
      <c r="J6" s="96"/>
      <c r="K6" s="148"/>
      <c r="L6" s="95" t="str">
        <f>'P1 Info &amp; Certification'!M20</f>
        <v>To</v>
      </c>
      <c r="M6" s="443">
        <f>'P1 Info &amp; Certification'!N20</f>
        <v>45473</v>
      </c>
      <c r="N6" s="147"/>
      <c r="O6" s="429"/>
      <c r="P6" s="13"/>
      <c r="Q6" s="426"/>
      <c r="R6" s="428"/>
      <c r="S6" s="147"/>
      <c r="T6" s="147"/>
      <c r="U6" s="428"/>
      <c r="V6" s="146"/>
      <c r="W6" s="146"/>
    </row>
    <row r="7" spans="1:23" ht="13" x14ac:dyDescent="0.3">
      <c r="A7" s="153"/>
      <c r="B7" s="458"/>
      <c r="C7" s="458"/>
      <c r="D7" s="458"/>
      <c r="E7" s="13"/>
      <c r="F7" s="13"/>
      <c r="G7" s="13"/>
      <c r="H7" s="13"/>
      <c r="I7" s="13"/>
      <c r="J7" s="13"/>
      <c r="K7" s="13"/>
      <c r="L7" s="13"/>
      <c r="M7" s="81"/>
      <c r="N7" s="13"/>
      <c r="O7" s="13"/>
      <c r="P7" s="13"/>
      <c r="Q7" s="13"/>
      <c r="R7" s="13"/>
      <c r="S7" s="13"/>
      <c r="T7" s="13"/>
      <c r="U7" s="13"/>
      <c r="V7" s="146"/>
      <c r="W7" s="146"/>
    </row>
    <row r="8" spans="1:23" ht="22.5" customHeight="1" thickBot="1" x14ac:dyDescent="0.3">
      <c r="A8" s="154"/>
      <c r="B8" s="84" t="s">
        <v>59</v>
      </c>
      <c r="C8" s="1397" t="str">
        <f>'P1 Info &amp; Certification'!E12</f>
        <v>COMMUNITY HEALTH CENTER, INC.</v>
      </c>
      <c r="D8" s="1397"/>
      <c r="E8" s="1397"/>
      <c r="F8" s="1397"/>
      <c r="G8" s="1397"/>
      <c r="H8" s="1397"/>
      <c r="I8" s="1397"/>
      <c r="J8" s="1397"/>
      <c r="K8" s="1397"/>
      <c r="L8" s="1397"/>
      <c r="M8" s="464"/>
      <c r="N8" s="427"/>
      <c r="O8" s="427"/>
      <c r="P8" s="427"/>
      <c r="Q8" s="427"/>
      <c r="R8" s="427"/>
      <c r="S8" s="427"/>
      <c r="T8" s="427"/>
      <c r="U8" s="427"/>
      <c r="V8" s="146"/>
      <c r="W8" s="146"/>
    </row>
    <row r="9" spans="1:23" ht="13" x14ac:dyDescent="0.25">
      <c r="A9" s="471"/>
      <c r="B9" s="472"/>
      <c r="C9" s="472"/>
      <c r="D9" s="472"/>
      <c r="E9" s="472"/>
      <c r="F9" s="472"/>
      <c r="G9" s="472"/>
      <c r="H9" s="472"/>
      <c r="I9" s="472"/>
      <c r="J9" s="472"/>
      <c r="K9" s="472"/>
      <c r="L9" s="472"/>
      <c r="M9" s="472"/>
      <c r="N9" s="423"/>
      <c r="O9" s="423"/>
      <c r="P9" s="423"/>
      <c r="Q9" s="423"/>
      <c r="R9" s="423"/>
      <c r="S9" s="423"/>
      <c r="T9" s="423"/>
      <c r="U9" s="423"/>
      <c r="V9" s="146"/>
      <c r="W9" s="146"/>
    </row>
    <row r="10" spans="1:23" x14ac:dyDescent="0.25">
      <c r="A10" s="15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</row>
    <row r="11" spans="1:23" ht="13.5" thickBot="1" x14ac:dyDescent="0.35">
      <c r="A11" s="15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296" t="s">
        <v>349</v>
      </c>
    </row>
    <row r="12" spans="1:23" ht="28.5" customHeight="1" x14ac:dyDescent="0.35">
      <c r="A12" s="1465" t="s">
        <v>322</v>
      </c>
      <c r="B12" s="1466"/>
      <c r="C12" s="1466"/>
      <c r="D12" s="1466"/>
      <c r="E12" s="1466"/>
      <c r="F12" s="1466"/>
      <c r="G12" s="1466"/>
      <c r="H12" s="1466"/>
      <c r="I12" s="1466"/>
      <c r="J12" s="1466"/>
      <c r="K12" s="1466"/>
      <c r="L12" s="1466"/>
      <c r="M12" s="1468"/>
    </row>
    <row r="13" spans="1:23" ht="13" x14ac:dyDescent="0.3">
      <c r="A13" s="1477" t="s">
        <v>322</v>
      </c>
      <c r="B13" s="1478"/>
      <c r="C13" s="1478"/>
      <c r="D13" s="1493"/>
      <c r="E13" s="366"/>
      <c r="F13" s="366"/>
      <c r="G13" s="434" t="s">
        <v>310</v>
      </c>
      <c r="H13" s="435"/>
      <c r="I13" s="434" t="s">
        <v>313</v>
      </c>
      <c r="J13" s="435"/>
      <c r="K13" s="413"/>
      <c r="L13" s="1469" t="s">
        <v>316</v>
      </c>
      <c r="M13" s="1470"/>
    </row>
    <row r="14" spans="1:23" ht="13" x14ac:dyDescent="0.3">
      <c r="A14" s="1479"/>
      <c r="B14" s="1480"/>
      <c r="C14" s="1480"/>
      <c r="D14" s="1480"/>
      <c r="E14" s="364" t="s">
        <v>308</v>
      </c>
      <c r="F14" s="364" t="s">
        <v>1</v>
      </c>
      <c r="G14" s="364"/>
      <c r="H14" s="364"/>
      <c r="I14" s="364"/>
      <c r="J14" s="364"/>
      <c r="K14" s="414"/>
      <c r="L14" s="169" t="s">
        <v>272</v>
      </c>
      <c r="M14" s="204" t="s">
        <v>317</v>
      </c>
    </row>
    <row r="15" spans="1:23" ht="12.75" customHeight="1" x14ac:dyDescent="0.3">
      <c r="A15" s="1481"/>
      <c r="B15" s="1461"/>
      <c r="C15" s="1461"/>
      <c r="D15" s="1461"/>
      <c r="E15" s="367" t="s">
        <v>309</v>
      </c>
      <c r="F15" s="367" t="s">
        <v>266</v>
      </c>
      <c r="G15" s="367" t="s">
        <v>311</v>
      </c>
      <c r="H15" s="367" t="s">
        <v>312</v>
      </c>
      <c r="I15" s="367" t="s">
        <v>315</v>
      </c>
      <c r="J15" s="367" t="s">
        <v>314</v>
      </c>
      <c r="K15" s="415" t="s">
        <v>254</v>
      </c>
      <c r="L15" s="170" t="s">
        <v>205</v>
      </c>
      <c r="M15" s="205" t="s">
        <v>318</v>
      </c>
    </row>
    <row r="16" spans="1:23" ht="12.75" customHeight="1" x14ac:dyDescent="0.3">
      <c r="A16" s="452"/>
      <c r="B16" s="447"/>
      <c r="C16" s="447"/>
      <c r="D16" s="447"/>
      <c r="E16" s="417" t="s">
        <v>60</v>
      </c>
      <c r="F16" s="417" t="s">
        <v>61</v>
      </c>
      <c r="G16" s="417" t="s">
        <v>62</v>
      </c>
      <c r="H16" s="417" t="s">
        <v>63</v>
      </c>
      <c r="I16" s="417" t="s">
        <v>64</v>
      </c>
      <c r="J16" s="417" t="s">
        <v>65</v>
      </c>
      <c r="K16" s="418" t="s">
        <v>66</v>
      </c>
      <c r="L16" s="419" t="s">
        <v>319</v>
      </c>
      <c r="M16" s="420" t="s">
        <v>320</v>
      </c>
    </row>
    <row r="17" spans="1:14" ht="12.75" customHeight="1" x14ac:dyDescent="0.3">
      <c r="A17" s="298"/>
      <c r="B17" s="1458"/>
      <c r="C17" s="1459"/>
      <c r="D17" s="1459"/>
      <c r="E17" s="365">
        <v>4</v>
      </c>
      <c r="F17" s="365">
        <v>500000</v>
      </c>
      <c r="G17" s="365">
        <v>150000</v>
      </c>
      <c r="H17" s="365">
        <v>100000</v>
      </c>
      <c r="I17" s="365">
        <v>2</v>
      </c>
      <c r="J17" s="365">
        <v>1</v>
      </c>
      <c r="K17" s="365">
        <v>10000</v>
      </c>
      <c r="L17" s="337">
        <v>8320</v>
      </c>
      <c r="M17" s="341">
        <f>L17/2080</f>
        <v>4</v>
      </c>
    </row>
    <row r="18" spans="1:14" ht="19.5" customHeight="1" x14ac:dyDescent="0.3">
      <c r="A18" s="207" t="s">
        <v>83</v>
      </c>
      <c r="B18" s="1487" t="s">
        <v>303</v>
      </c>
      <c r="C18" s="1488"/>
      <c r="D18" s="1489"/>
      <c r="E18" s="338"/>
      <c r="F18" s="338"/>
      <c r="G18" s="338"/>
      <c r="H18" s="338"/>
      <c r="I18" s="338"/>
      <c r="J18" s="338"/>
      <c r="K18" s="338"/>
      <c r="L18" s="390"/>
      <c r="M18" s="391"/>
    </row>
    <row r="19" spans="1:14" ht="19.5" customHeight="1" x14ac:dyDescent="0.25">
      <c r="A19" s="253" t="s">
        <v>49</v>
      </c>
      <c r="B19" s="1500" t="s">
        <v>229</v>
      </c>
      <c r="C19" s="1501"/>
      <c r="D19" s="1502"/>
      <c r="E19" s="340">
        <v>47</v>
      </c>
      <c r="F19" s="340">
        <f>'Form B-1 Detail'!F66</f>
        <v>8589636</v>
      </c>
      <c r="G19" s="984">
        <v>326432</v>
      </c>
      <c r="H19" s="984">
        <v>10954</v>
      </c>
      <c r="I19" s="984">
        <v>4</v>
      </c>
      <c r="J19" s="984">
        <v>5</v>
      </c>
      <c r="K19" s="476">
        <f>'Form B-1 Detail'!G66</f>
        <v>134142</v>
      </c>
      <c r="L19" s="476">
        <f>'Form B-1 Detail'!H66</f>
        <v>90631</v>
      </c>
      <c r="M19" s="343">
        <f t="shared" ref="M19:M25" si="0">ROUND(L19/2080,2)</f>
        <v>43.57</v>
      </c>
    </row>
    <row r="20" spans="1:14" ht="19.5" customHeight="1" x14ac:dyDescent="0.25">
      <c r="A20" s="253" t="s">
        <v>50</v>
      </c>
      <c r="B20" s="1500" t="s">
        <v>206</v>
      </c>
      <c r="C20" s="1501"/>
      <c r="D20" s="1502"/>
      <c r="E20" s="340">
        <v>15</v>
      </c>
      <c r="F20" s="340">
        <f>'Form B-1 Detail'!F106</f>
        <v>1355176</v>
      </c>
      <c r="G20" s="984">
        <v>163148</v>
      </c>
      <c r="H20" s="984">
        <v>10993</v>
      </c>
      <c r="I20" s="984">
        <v>0</v>
      </c>
      <c r="J20" s="984">
        <v>3</v>
      </c>
      <c r="K20" s="477">
        <f>'Form B-1 Detail'!G106</f>
        <v>30962</v>
      </c>
      <c r="L20" s="477">
        <f>'Form B-1 Detail'!H106</f>
        <v>19918</v>
      </c>
      <c r="M20" s="343">
        <f t="shared" si="0"/>
        <v>9.58</v>
      </c>
    </row>
    <row r="21" spans="1:14" ht="19.5" customHeight="1" x14ac:dyDescent="0.25">
      <c r="A21" s="253" t="s">
        <v>82</v>
      </c>
      <c r="B21" s="1500" t="s">
        <v>287</v>
      </c>
      <c r="C21" s="1501"/>
      <c r="D21" s="1502"/>
      <c r="E21" s="340">
        <v>215</v>
      </c>
      <c r="F21" s="340">
        <f>+'Form B-1 Detail'!F407</f>
        <v>14632713</v>
      </c>
      <c r="G21" s="984">
        <v>176222</v>
      </c>
      <c r="H21" s="984">
        <v>292</v>
      </c>
      <c r="I21" s="984">
        <v>6</v>
      </c>
      <c r="J21" s="984">
        <v>42</v>
      </c>
      <c r="K21" s="476">
        <f>+'Form B-1 Detail'!G407</f>
        <v>182552</v>
      </c>
      <c r="L21" s="476">
        <f>+'Form B-1 Detail'!H407</f>
        <v>297656</v>
      </c>
      <c r="M21" s="343">
        <f t="shared" si="0"/>
        <v>143.1</v>
      </c>
    </row>
    <row r="22" spans="1:14" ht="19.5" customHeight="1" x14ac:dyDescent="0.25">
      <c r="A22" s="253" t="s">
        <v>51</v>
      </c>
      <c r="B22" s="1500" t="s">
        <v>207</v>
      </c>
      <c r="C22" s="1501"/>
      <c r="D22" s="1502"/>
      <c r="E22" s="340">
        <v>37</v>
      </c>
      <c r="F22" s="340"/>
      <c r="G22" s="340"/>
      <c r="H22" s="340"/>
      <c r="I22" s="340"/>
      <c r="J22" s="340"/>
      <c r="K22" s="477">
        <v>1</v>
      </c>
      <c r="L22" s="477">
        <f>'Form B-1 Detail'!H486</f>
        <v>0</v>
      </c>
      <c r="M22" s="343">
        <f t="shared" si="0"/>
        <v>0</v>
      </c>
    </row>
    <row r="23" spans="1:14" ht="19.5" customHeight="1" x14ac:dyDescent="0.25">
      <c r="A23" s="253" t="s">
        <v>156</v>
      </c>
      <c r="B23" s="1500" t="s">
        <v>323</v>
      </c>
      <c r="C23" s="1501"/>
      <c r="D23" s="1502"/>
      <c r="E23" s="340"/>
      <c r="F23" s="340"/>
      <c r="G23" s="340"/>
      <c r="H23" s="340"/>
      <c r="I23" s="340"/>
      <c r="J23" s="340"/>
      <c r="K23" s="477"/>
      <c r="L23" s="394"/>
      <c r="M23" s="343">
        <f t="shared" si="0"/>
        <v>0</v>
      </c>
    </row>
    <row r="24" spans="1:14" ht="19.5" customHeight="1" x14ac:dyDescent="0.25">
      <c r="A24" s="253" t="s">
        <v>55</v>
      </c>
      <c r="B24" s="1500" t="s">
        <v>324</v>
      </c>
      <c r="C24" s="1501"/>
      <c r="D24" s="1502"/>
      <c r="E24" s="340"/>
      <c r="F24" s="340"/>
      <c r="G24" s="340"/>
      <c r="H24" s="340"/>
      <c r="I24" s="340"/>
      <c r="J24" s="340"/>
      <c r="K24" s="477"/>
      <c r="L24" s="394"/>
      <c r="M24" s="343">
        <f t="shared" si="0"/>
        <v>0</v>
      </c>
    </row>
    <row r="25" spans="1:14" ht="19.5" customHeight="1" x14ac:dyDescent="0.25">
      <c r="A25" s="253" t="s">
        <v>56</v>
      </c>
      <c r="B25" s="1500" t="s">
        <v>358</v>
      </c>
      <c r="C25" s="1501"/>
      <c r="D25" s="1502"/>
      <c r="E25" s="340">
        <v>356</v>
      </c>
      <c r="F25" s="340">
        <f>'Form B-1 Detail'!F740</f>
        <v>12097011.910783837</v>
      </c>
      <c r="G25" s="984">
        <v>257825</v>
      </c>
      <c r="H25" s="984">
        <v>37</v>
      </c>
      <c r="I25" s="984"/>
      <c r="J25" s="984"/>
      <c r="K25" s="477">
        <f>'Form B-1 Detail'!G740</f>
        <v>9448</v>
      </c>
      <c r="L25" s="477">
        <f>'Form B-1 Detail'!H740</f>
        <v>433009.4015429999</v>
      </c>
      <c r="M25" s="343">
        <f t="shared" si="0"/>
        <v>208.18</v>
      </c>
    </row>
    <row r="26" spans="1:14" ht="24.75" customHeight="1" thickBot="1" x14ac:dyDescent="0.35">
      <c r="A26" s="253"/>
      <c r="B26" s="1474" t="s">
        <v>307</v>
      </c>
      <c r="C26" s="1475"/>
      <c r="D26" s="1476"/>
      <c r="E26" s="352">
        <f>SUM(E19:E25)</f>
        <v>670</v>
      </c>
      <c r="F26" s="352">
        <f>SUM(F19:F25)</f>
        <v>36674536.910783835</v>
      </c>
      <c r="G26" s="359"/>
      <c r="H26" s="359"/>
      <c r="I26" s="352">
        <f>SUM(I19:I25)</f>
        <v>10</v>
      </c>
      <c r="J26" s="352">
        <f>SUM(J19:J25)</f>
        <v>50</v>
      </c>
      <c r="K26" s="352">
        <f>SUM(K19:K25)</f>
        <v>357105</v>
      </c>
      <c r="L26" s="352">
        <f>SUM(L19:L25)</f>
        <v>841214.4015429999</v>
      </c>
      <c r="M26" s="344">
        <f>SUM(M19:M25)</f>
        <v>404.43</v>
      </c>
    </row>
    <row r="27" spans="1:14" ht="19.5" customHeight="1" thickTop="1" x14ac:dyDescent="0.25">
      <c r="A27" s="253"/>
      <c r="B27" s="1497"/>
      <c r="C27" s="1497"/>
      <c r="D27" s="1497"/>
      <c r="E27" s="487"/>
      <c r="F27" s="487"/>
      <c r="G27" s="487"/>
      <c r="H27" s="487"/>
      <c r="I27" s="487"/>
      <c r="J27" s="487"/>
      <c r="K27" s="294"/>
      <c r="L27" s="295"/>
      <c r="M27" s="300"/>
      <c r="N27" s="146"/>
    </row>
    <row r="28" spans="1:14" ht="19.5" customHeight="1" x14ac:dyDescent="0.3">
      <c r="A28" s="207" t="s">
        <v>84</v>
      </c>
      <c r="B28" s="1487" t="s">
        <v>301</v>
      </c>
      <c r="C28" s="1488"/>
      <c r="D28" s="1489"/>
      <c r="E28" s="338"/>
      <c r="F28" s="338"/>
      <c r="G28" s="338"/>
      <c r="H28" s="338"/>
      <c r="I28" s="338"/>
      <c r="J28" s="338"/>
      <c r="K28" s="338"/>
      <c r="L28" s="390"/>
      <c r="M28" s="391"/>
    </row>
    <row r="29" spans="1:14" ht="19.5" customHeight="1" x14ac:dyDescent="0.25">
      <c r="A29" s="253" t="s">
        <v>49</v>
      </c>
      <c r="B29" s="1500" t="s">
        <v>208</v>
      </c>
      <c r="C29" s="1501"/>
      <c r="D29" s="1502"/>
      <c r="E29" s="392">
        <v>20</v>
      </c>
      <c r="F29" s="392">
        <f>'Form B-2 Detail'!E39</f>
        <v>2489756.1884837979</v>
      </c>
      <c r="G29" s="1003">
        <v>203194</v>
      </c>
      <c r="H29" s="1003">
        <v>1439</v>
      </c>
      <c r="I29" s="1003">
        <v>1</v>
      </c>
      <c r="J29" s="1003">
        <v>2</v>
      </c>
      <c r="K29" s="480">
        <f>'Form B-2 Detail'!F39</f>
        <v>29821</v>
      </c>
      <c r="L29" s="480">
        <f>'Form B-2 Detail'!G39</f>
        <v>28668.75</v>
      </c>
      <c r="M29" s="393">
        <f>ROUND(L29/2080,2)</f>
        <v>13.78</v>
      </c>
    </row>
    <row r="30" spans="1:14" ht="19.5" customHeight="1" x14ac:dyDescent="0.25">
      <c r="A30" s="253" t="s">
        <v>50</v>
      </c>
      <c r="B30" s="1500" t="s">
        <v>209</v>
      </c>
      <c r="C30" s="1501"/>
      <c r="D30" s="1502"/>
      <c r="E30" s="394">
        <v>24</v>
      </c>
      <c r="F30" s="394">
        <f>'Form B-2 Detail'!E68</f>
        <v>1023041.1463775205</v>
      </c>
      <c r="G30" s="649">
        <v>111080</v>
      </c>
      <c r="H30" s="649">
        <v>7758</v>
      </c>
      <c r="I30" s="649">
        <v>2</v>
      </c>
      <c r="J30" s="649">
        <v>5</v>
      </c>
      <c r="K30" s="477">
        <f>'Form B-2 Detail'!F68</f>
        <v>16849</v>
      </c>
      <c r="L30" s="477">
        <f>'Form B-2 Detail'!G68</f>
        <v>21513.16</v>
      </c>
      <c r="M30" s="393">
        <f>ROUND(L30/2080,2)</f>
        <v>10.34</v>
      </c>
    </row>
    <row r="31" spans="1:14" ht="19.5" customHeight="1" x14ac:dyDescent="0.25">
      <c r="A31" s="253" t="s">
        <v>82</v>
      </c>
      <c r="B31" s="1500" t="s">
        <v>326</v>
      </c>
      <c r="C31" s="1501"/>
      <c r="D31" s="1502"/>
      <c r="E31" s="394">
        <v>33</v>
      </c>
      <c r="F31" s="394">
        <f>'Form B-2 Detail'!E80</f>
        <v>1302496.0172211039</v>
      </c>
      <c r="G31" s="394"/>
      <c r="H31" s="394"/>
      <c r="I31" s="394">
        <v>0</v>
      </c>
      <c r="J31" s="394">
        <v>0</v>
      </c>
      <c r="K31" s="477">
        <f>'Form B-2 Detail'!F80</f>
        <v>0</v>
      </c>
      <c r="L31" s="477">
        <f>'Form B-2 Detail'!G80</f>
        <v>46888.743999999999</v>
      </c>
      <c r="M31" s="393">
        <f>ROUND(L31/2080,2)</f>
        <v>22.54</v>
      </c>
    </row>
    <row r="32" spans="1:14" ht="24.75" customHeight="1" thickBot="1" x14ac:dyDescent="0.35">
      <c r="A32" s="293"/>
      <c r="B32" s="1482" t="s">
        <v>305</v>
      </c>
      <c r="C32" s="1483"/>
      <c r="D32" s="1484"/>
      <c r="E32" s="473">
        <f>SUM(E29:E31)</f>
        <v>77</v>
      </c>
      <c r="F32" s="473">
        <f>SUM(F29:F31)</f>
        <v>4815293.352082422</v>
      </c>
      <c r="G32" s="359"/>
      <c r="H32" s="359"/>
      <c r="I32" s="473">
        <f>SUM(I29:I31)</f>
        <v>3</v>
      </c>
      <c r="J32" s="473">
        <f>SUM(J29:J31)</f>
        <v>7</v>
      </c>
      <c r="K32" s="473">
        <f>SUM(K29:K31)</f>
        <v>46670</v>
      </c>
      <c r="L32" s="473">
        <f>SUM(L29:L31)</f>
        <v>97070.65400000001</v>
      </c>
      <c r="M32" s="395">
        <f>SUM(M29:M31)</f>
        <v>46.66</v>
      </c>
    </row>
    <row r="33" spans="1:13" s="146" customFormat="1" ht="19.5" customHeight="1" thickTop="1" x14ac:dyDescent="0.3">
      <c r="A33" s="293"/>
      <c r="B33" s="375"/>
      <c r="C33" s="375"/>
      <c r="D33" s="375"/>
      <c r="E33" s="295"/>
      <c r="F33" s="295"/>
      <c r="G33" s="295"/>
      <c r="H33" s="295"/>
      <c r="I33" s="295"/>
      <c r="J33" s="295"/>
      <c r="K33" s="294"/>
      <c r="L33" s="295"/>
      <c r="M33" s="396"/>
    </row>
    <row r="34" spans="1:13" ht="19.5" customHeight="1" x14ac:dyDescent="0.3">
      <c r="A34" s="207" t="s">
        <v>91</v>
      </c>
      <c r="B34" s="1487" t="s">
        <v>302</v>
      </c>
      <c r="C34" s="1488"/>
      <c r="D34" s="1489"/>
      <c r="E34" s="338"/>
      <c r="F34" s="338"/>
      <c r="G34" s="338"/>
      <c r="H34" s="338"/>
      <c r="I34" s="338"/>
      <c r="J34" s="338"/>
      <c r="K34" s="338"/>
      <c r="L34" s="390"/>
      <c r="M34" s="391"/>
    </row>
    <row r="35" spans="1:13" ht="19.5" customHeight="1" x14ac:dyDescent="0.25">
      <c r="A35" s="253" t="s">
        <v>49</v>
      </c>
      <c r="B35" s="1500" t="s">
        <v>321</v>
      </c>
      <c r="C35" s="1501"/>
      <c r="D35" s="1502"/>
      <c r="E35" s="345">
        <v>7</v>
      </c>
      <c r="F35" s="345">
        <f>+'Form B-3 Detail'!E363</f>
        <v>695333.64412253909</v>
      </c>
      <c r="G35" s="1004">
        <v>343082</v>
      </c>
      <c r="H35" s="1004">
        <v>5516</v>
      </c>
      <c r="I35" s="1004">
        <v>0</v>
      </c>
      <c r="J35" s="1004">
        <v>0</v>
      </c>
      <c r="K35" s="345">
        <f>+'Form B-3 Detail'!F363</f>
        <v>37837</v>
      </c>
      <c r="L35" s="345">
        <f>+'Form B-3 Detail'!G363</f>
        <v>113763.61089599998</v>
      </c>
      <c r="M35" s="346">
        <f>ROUND(L35/2080,2)</f>
        <v>54.69</v>
      </c>
    </row>
    <row r="36" spans="1:13" ht="19.5" customHeight="1" x14ac:dyDescent="0.25">
      <c r="A36" s="253" t="s">
        <v>50</v>
      </c>
      <c r="B36" s="1500" t="s">
        <v>210</v>
      </c>
      <c r="C36" s="1501"/>
      <c r="D36" s="1502"/>
      <c r="E36" s="340">
        <v>51</v>
      </c>
      <c r="F36" s="340">
        <f>+'Form B-3 Detail'!E76</f>
        <v>3040378.8911833675</v>
      </c>
      <c r="G36" s="1004">
        <v>266950</v>
      </c>
      <c r="H36" s="1004">
        <v>10396</v>
      </c>
      <c r="I36" s="984">
        <v>3</v>
      </c>
      <c r="J36" s="984">
        <v>7</v>
      </c>
      <c r="K36" s="477">
        <f>'Form B-3 Detail'!F76</f>
        <v>27658</v>
      </c>
      <c r="L36" s="477">
        <f>'Form B-3 Detail'!G76</f>
        <v>67113.11</v>
      </c>
      <c r="M36" s="346">
        <f>ROUND(L36/2080,2)</f>
        <v>32.270000000000003</v>
      </c>
    </row>
    <row r="37" spans="1:13" ht="19.5" customHeight="1" x14ac:dyDescent="0.25">
      <c r="A37" s="253" t="s">
        <v>82</v>
      </c>
      <c r="B37" s="173" t="s">
        <v>325</v>
      </c>
      <c r="C37" s="425"/>
      <c r="D37" s="174"/>
      <c r="E37" s="340">
        <v>243</v>
      </c>
      <c r="F37" s="340">
        <f>'Form B-3 Detail'!E269</f>
        <v>13702530.80093069</v>
      </c>
      <c r="G37" s="984">
        <v>101391</v>
      </c>
      <c r="H37" s="984">
        <v>3436</v>
      </c>
      <c r="I37" s="984">
        <f>29+9</f>
        <v>38</v>
      </c>
      <c r="J37" s="984">
        <v>21</v>
      </c>
      <c r="K37" s="477">
        <f>'Form B-3 Detail'!F269</f>
        <v>188889</v>
      </c>
      <c r="L37" s="477">
        <f>'Form B-3 Detail'!G269</f>
        <v>375803.35</v>
      </c>
      <c r="M37" s="346">
        <f>ROUND(L37/2080,2)</f>
        <v>180.67</v>
      </c>
    </row>
    <row r="38" spans="1:13" ht="19.5" customHeight="1" x14ac:dyDescent="0.25">
      <c r="A38" s="253" t="s">
        <v>51</v>
      </c>
      <c r="B38" s="448" t="s">
        <v>327</v>
      </c>
      <c r="C38" s="449"/>
      <c r="D38" s="450"/>
      <c r="E38" s="340">
        <v>26</v>
      </c>
      <c r="F38" s="340">
        <f>+'Form B-3 Detail'!E352</f>
        <v>3290083.9248017427</v>
      </c>
      <c r="G38" s="984">
        <v>197483</v>
      </c>
      <c r="H38" s="984">
        <v>19927</v>
      </c>
      <c r="I38" s="984">
        <v>6</v>
      </c>
      <c r="J38" s="984">
        <v>3</v>
      </c>
      <c r="K38" s="340">
        <f>+'Form B-3 Detail'!F352</f>
        <v>0</v>
      </c>
      <c r="L38" s="340">
        <f>+'Form B-3 Detail'!G352</f>
        <v>45537.421071999997</v>
      </c>
      <c r="M38" s="346">
        <f>ROUND(L38/2080,2)</f>
        <v>21.89</v>
      </c>
    </row>
    <row r="39" spans="1:13" ht="19.5" customHeight="1" x14ac:dyDescent="0.25">
      <c r="A39" s="398" t="s">
        <v>156</v>
      </c>
      <c r="B39" s="173" t="s">
        <v>350</v>
      </c>
      <c r="C39" s="425"/>
      <c r="D39" s="174"/>
      <c r="E39" s="394">
        <f>8+43</f>
        <v>51</v>
      </c>
      <c r="F39" s="394">
        <f>+'Form B-3 Detail'!E322</f>
        <v>2756384.1293882886</v>
      </c>
      <c r="G39" s="649">
        <v>427789</v>
      </c>
      <c r="H39" s="649">
        <v>1870</v>
      </c>
      <c r="I39" s="649">
        <v>1</v>
      </c>
      <c r="J39" s="649">
        <v>8</v>
      </c>
      <c r="K39" s="394">
        <f>+'Form B-3 Detail'!F322</f>
        <v>0</v>
      </c>
      <c r="L39" s="394">
        <f>+'Form B-3 Detail'!G322</f>
        <v>62831.909823999988</v>
      </c>
      <c r="M39" s="393">
        <f>ROUND(L39/2080,2)</f>
        <v>30.21</v>
      </c>
    </row>
    <row r="40" spans="1:13" ht="24.75" customHeight="1" thickBot="1" x14ac:dyDescent="0.35">
      <c r="A40" s="399"/>
      <c r="B40" s="1482" t="s">
        <v>306</v>
      </c>
      <c r="C40" s="1483"/>
      <c r="D40" s="1484"/>
      <c r="E40" s="473">
        <f>SUM(E35:E39)</f>
        <v>378</v>
      </c>
      <c r="F40" s="473">
        <f>SUM(F35:F39)</f>
        <v>23484711.390426628</v>
      </c>
      <c r="G40" s="359"/>
      <c r="H40" s="359"/>
      <c r="I40" s="473">
        <f>SUM(I35:I39)</f>
        <v>48</v>
      </c>
      <c r="J40" s="473">
        <f>SUM(J35:J39)</f>
        <v>39</v>
      </c>
      <c r="K40" s="473">
        <f>SUM(K35:K39)</f>
        <v>254384</v>
      </c>
      <c r="L40" s="473">
        <f>SUM(L35:L39)</f>
        <v>665049.40179199982</v>
      </c>
      <c r="M40" s="395">
        <f>SUM(M35:M39)</f>
        <v>319.72999999999996</v>
      </c>
    </row>
    <row r="41" spans="1:13" ht="19.5" customHeight="1" thickTop="1" thickBot="1" x14ac:dyDescent="0.35">
      <c r="A41" s="400"/>
      <c r="B41" s="401"/>
      <c r="C41" s="401"/>
      <c r="D41" s="401"/>
      <c r="E41" s="312"/>
      <c r="F41" s="312"/>
      <c r="G41" s="312"/>
      <c r="H41" s="312"/>
      <c r="I41" s="312"/>
      <c r="J41" s="312"/>
      <c r="K41" s="311"/>
      <c r="L41" s="312"/>
      <c r="M41" s="402"/>
    </row>
  </sheetData>
  <sheetProtection password="E1AE" sheet="1" formatColumns="0" formatRows="0"/>
  <mergeCells count="28">
    <mergeCell ref="A1:M1"/>
    <mergeCell ref="A2:M2"/>
    <mergeCell ref="A3:M3"/>
    <mergeCell ref="A4:M4"/>
    <mergeCell ref="C8:L8"/>
    <mergeCell ref="A12:M12"/>
    <mergeCell ref="A13:D15"/>
    <mergeCell ref="L13:M13"/>
    <mergeCell ref="B17:D17"/>
    <mergeCell ref="B18:D18"/>
    <mergeCell ref="B19:D19"/>
    <mergeCell ref="B20:D20"/>
    <mergeCell ref="B21:D21"/>
    <mergeCell ref="B22:D22"/>
    <mergeCell ref="B25:D25"/>
    <mergeCell ref="B26:D26"/>
    <mergeCell ref="B27:D27"/>
    <mergeCell ref="B28:D28"/>
    <mergeCell ref="B24:D24"/>
    <mergeCell ref="B40:D40"/>
    <mergeCell ref="B23:D23"/>
    <mergeCell ref="B34:D34"/>
    <mergeCell ref="B35:D35"/>
    <mergeCell ref="B36:D36"/>
    <mergeCell ref="B29:D29"/>
    <mergeCell ref="B30:D30"/>
    <mergeCell ref="B31:D31"/>
    <mergeCell ref="B32:D32"/>
  </mergeCells>
  <printOptions horizontalCentered="1" verticalCentered="1"/>
  <pageMargins left="0.25" right="0.25" top="0.25" bottom="0.4" header="0.5" footer="0.25"/>
  <pageSetup scale="80" orientation="landscape" r:id="rId1"/>
  <headerFooter alignWithMargins="0">
    <oddFooter>&amp;LDSS-16 10-24-2016&amp;RPage 12</oddFooter>
  </headerFooter>
  <rowBreaks count="1" manualBreakCount="1">
    <brk id="32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55E0B-D2B1-43AD-BC21-F80C9CB68150}">
  <sheetPr>
    <pageSetUpPr fitToPage="1"/>
  </sheetPr>
  <dimension ref="A1:AD39"/>
  <sheetViews>
    <sheetView topLeftCell="A4" zoomScaleNormal="100" workbookViewId="0">
      <selection activeCell="R18" sqref="R18"/>
    </sheetView>
  </sheetViews>
  <sheetFormatPr defaultColWidth="9.7265625" defaultRowHeight="13" x14ac:dyDescent="0.3"/>
  <cols>
    <col min="1" max="1" width="9.7265625" style="12" customWidth="1"/>
    <col min="2" max="2" width="2.7265625" style="12" customWidth="1"/>
    <col min="3" max="5" width="9.7265625" style="12"/>
    <col min="6" max="6" width="1.7265625" style="12" customWidth="1"/>
    <col min="7" max="7" width="11.26953125" style="12" customWidth="1"/>
    <col min="8" max="8" width="0.81640625" style="12" customWidth="1"/>
    <col min="9" max="9" width="10.81640625" style="12" customWidth="1"/>
    <col min="10" max="10" width="12" style="12" customWidth="1"/>
    <col min="11" max="11" width="1.7265625" style="12" customWidth="1"/>
    <col min="12" max="12" width="10.1796875" style="12" bestFit="1" customWidth="1"/>
    <col min="13" max="13" width="12.1796875" style="12" customWidth="1"/>
    <col min="14" max="14" width="12" style="12" customWidth="1"/>
    <col min="15" max="16384" width="9.7265625" style="12"/>
  </cols>
  <sheetData>
    <row r="1" spans="1:15" ht="13.5" x14ac:dyDescent="0.35">
      <c r="A1" s="1396" t="s">
        <v>45</v>
      </c>
      <c r="B1" s="1396"/>
      <c r="C1" s="1396"/>
      <c r="D1" s="1396"/>
      <c r="E1" s="1396"/>
      <c r="F1" s="1396"/>
      <c r="G1" s="1396"/>
      <c r="H1" s="1396"/>
      <c r="I1" s="1396"/>
      <c r="J1" s="1396"/>
      <c r="K1" s="1396"/>
      <c r="L1" s="1396"/>
      <c r="M1" s="1396"/>
      <c r="N1" s="1396"/>
      <c r="O1" s="75"/>
    </row>
    <row r="2" spans="1:15" ht="13.5" x14ac:dyDescent="0.35">
      <c r="A2" s="1396" t="s">
        <v>46</v>
      </c>
      <c r="B2" s="1396"/>
      <c r="C2" s="1396"/>
      <c r="D2" s="1396"/>
      <c r="E2" s="1396"/>
      <c r="F2" s="1396"/>
      <c r="G2" s="1396"/>
      <c r="H2" s="1396"/>
      <c r="I2" s="1396"/>
      <c r="J2" s="1396"/>
      <c r="K2" s="1396"/>
      <c r="L2" s="1396"/>
      <c r="M2" s="1396"/>
      <c r="N2" s="1396"/>
      <c r="O2" s="75"/>
    </row>
    <row r="3" spans="1:15" ht="13.5" x14ac:dyDescent="0.35">
      <c r="A3" s="1396" t="s">
        <v>47</v>
      </c>
      <c r="B3" s="1396"/>
      <c r="C3" s="1396"/>
      <c r="D3" s="1396"/>
      <c r="E3" s="1396"/>
      <c r="F3" s="1396"/>
      <c r="G3" s="1396"/>
      <c r="H3" s="1396"/>
      <c r="I3" s="1396"/>
      <c r="J3" s="1396"/>
      <c r="K3" s="1396"/>
      <c r="L3" s="1396"/>
      <c r="M3" s="1396"/>
      <c r="N3" s="1396"/>
      <c r="O3" s="75"/>
    </row>
    <row r="4" spans="1:15" ht="13.5" x14ac:dyDescent="0.35">
      <c r="A4" s="1396" t="s">
        <v>48</v>
      </c>
      <c r="B4" s="1396"/>
      <c r="C4" s="1396"/>
      <c r="D4" s="1396"/>
      <c r="E4" s="1396"/>
      <c r="F4" s="1396"/>
      <c r="G4" s="1396"/>
      <c r="H4" s="1396"/>
      <c r="I4" s="1396"/>
      <c r="J4" s="1396"/>
      <c r="K4" s="1396"/>
      <c r="L4" s="1396"/>
      <c r="M4" s="1396"/>
      <c r="N4" s="1396"/>
      <c r="O4" s="75"/>
    </row>
    <row r="5" spans="1:15" ht="14" thickBot="1" x14ac:dyDescent="0.4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27.75" customHeight="1" x14ac:dyDescent="0.3">
      <c r="A6" s="93" t="s">
        <v>54</v>
      </c>
      <c r="B6" s="77"/>
      <c r="C6" s="77"/>
      <c r="D6" s="78" t="s">
        <v>6</v>
      </c>
      <c r="E6" s="1517">
        <f>'P1 Info &amp; Certification'!L20</f>
        <v>45108</v>
      </c>
      <c r="F6" s="1517"/>
      <c r="G6" s="1517"/>
      <c r="H6" s="82"/>
      <c r="I6" s="79"/>
      <c r="J6" s="78" t="s">
        <v>7</v>
      </c>
      <c r="K6" s="77"/>
      <c r="L6" s="1517">
        <f>'P1 Info &amp; Certification'!N20</f>
        <v>45473</v>
      </c>
      <c r="M6" s="1517"/>
      <c r="N6" s="80"/>
      <c r="O6" s="32"/>
    </row>
    <row r="7" spans="1:15" x14ac:dyDescent="0.3">
      <c r="A7" s="123"/>
      <c r="B7" s="3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81"/>
      <c r="O7" s="13"/>
    </row>
    <row r="8" spans="1:15" ht="26.25" customHeight="1" x14ac:dyDescent="0.3">
      <c r="A8" s="124" t="s">
        <v>59</v>
      </c>
      <c r="B8" s="90"/>
      <c r="C8" s="90"/>
      <c r="D8" s="1511" t="str">
        <f>'P1 Info &amp; Certification'!E12</f>
        <v>COMMUNITY HEALTH CENTER, INC.</v>
      </c>
      <c r="E8" s="1511"/>
      <c r="F8" s="1511"/>
      <c r="G8" s="1511"/>
      <c r="H8" s="1511"/>
      <c r="I8" s="1511"/>
      <c r="J8" s="1511"/>
      <c r="K8" s="1511"/>
      <c r="L8" s="1511"/>
      <c r="M8" s="1511"/>
      <c r="N8" s="1512"/>
    </row>
    <row r="9" spans="1:15" ht="16" customHeight="1" thickBot="1" x14ac:dyDescent="0.35">
      <c r="A9" s="1513"/>
      <c r="B9" s="1514"/>
      <c r="C9" s="1514"/>
      <c r="D9" s="1514"/>
      <c r="E9" s="1514"/>
      <c r="F9" s="1514"/>
      <c r="G9" s="1514"/>
      <c r="H9" s="1514"/>
      <c r="I9" s="1514"/>
      <c r="J9" s="1514"/>
      <c r="K9" s="1514"/>
      <c r="L9" s="1514"/>
      <c r="M9" s="1514"/>
      <c r="N9" s="1515"/>
      <c r="O9" s="13"/>
    </row>
    <row r="10" spans="1:15" ht="15.5" x14ac:dyDescent="0.35">
      <c r="A10" s="47"/>
      <c r="B10" s="4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88" t="s">
        <v>202</v>
      </c>
      <c r="O10" s="13"/>
    </row>
    <row r="11" spans="1:15" ht="14.5" thickBot="1" x14ac:dyDescent="0.35">
      <c r="A11" s="157"/>
      <c r="B11" s="4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s="15" customFormat="1" ht="30.75" customHeight="1" thickBot="1" x14ac:dyDescent="0.35">
      <c r="A12" s="1428" t="s">
        <v>130</v>
      </c>
      <c r="B12" s="1429"/>
      <c r="C12" s="1429"/>
      <c r="D12" s="1429"/>
      <c r="E12" s="1429"/>
      <c r="F12" s="1429"/>
      <c r="G12" s="1429"/>
      <c r="H12" s="1429"/>
      <c r="I12" s="1429"/>
      <c r="J12" s="1429"/>
      <c r="K12" s="1429"/>
      <c r="L12" s="1429"/>
      <c r="M12" s="1429"/>
      <c r="N12" s="1430"/>
      <c r="O12" s="158"/>
    </row>
    <row r="13" spans="1:15" ht="21.75" customHeight="1" x14ac:dyDescent="0.3">
      <c r="A13" s="177" t="s">
        <v>83</v>
      </c>
      <c r="B13" s="159"/>
      <c r="C13" s="1417" t="s">
        <v>230</v>
      </c>
      <c r="D13" s="1417"/>
      <c r="E13" s="1417"/>
      <c r="F13" s="1417"/>
      <c r="G13" s="1417"/>
      <c r="H13" s="1417"/>
      <c r="I13" s="1417"/>
      <c r="J13" s="1417"/>
      <c r="K13" s="1417"/>
      <c r="L13" s="1518">
        <f>'P5 Form A-3 - Mental Health'!J45</f>
        <v>132154819.81143388</v>
      </c>
      <c r="M13" s="1518"/>
      <c r="N13" s="1519"/>
      <c r="O13" s="13"/>
    </row>
    <row r="14" spans="1:15" ht="21.75" customHeight="1" x14ac:dyDescent="0.3">
      <c r="A14" s="177" t="s">
        <v>84</v>
      </c>
      <c r="B14" s="159"/>
      <c r="C14" s="1417" t="s">
        <v>231</v>
      </c>
      <c r="D14" s="1417"/>
      <c r="E14" s="1417"/>
      <c r="F14" s="1417"/>
      <c r="G14" s="1417"/>
      <c r="H14" s="1417"/>
      <c r="I14" s="1417"/>
      <c r="J14" s="1417"/>
      <c r="K14" s="1417"/>
      <c r="L14" s="1420">
        <f>'P6 Form A-4 - Non-Allow Other'!J36</f>
        <v>829933.55163026811</v>
      </c>
      <c r="M14" s="1420"/>
      <c r="N14" s="1421"/>
      <c r="O14" s="13"/>
    </row>
    <row r="15" spans="1:15" ht="21.75" customHeight="1" x14ac:dyDescent="0.3">
      <c r="A15" s="177" t="s">
        <v>91</v>
      </c>
      <c r="B15" s="159"/>
      <c r="C15" s="1417" t="s">
        <v>132</v>
      </c>
      <c r="D15" s="1417"/>
      <c r="E15" s="1417"/>
      <c r="F15" s="1417"/>
      <c r="G15" s="1417"/>
      <c r="H15" s="1417"/>
      <c r="I15" s="1417"/>
      <c r="J15" s="1417"/>
      <c r="K15" s="1417"/>
      <c r="L15" s="1420">
        <f>SUM(L13:N14)</f>
        <v>132984753.36306415</v>
      </c>
      <c r="M15" s="1420"/>
      <c r="N15" s="1421"/>
      <c r="O15" s="13"/>
    </row>
    <row r="16" spans="1:15" ht="21.75" customHeight="1" x14ac:dyDescent="0.3">
      <c r="A16" s="177" t="s">
        <v>92</v>
      </c>
      <c r="B16" s="159"/>
      <c r="C16" s="1417" t="s">
        <v>133</v>
      </c>
      <c r="D16" s="1417"/>
      <c r="E16" s="1417"/>
      <c r="F16" s="1417"/>
      <c r="G16" s="1417"/>
      <c r="H16" s="1417"/>
      <c r="I16" s="1417"/>
      <c r="J16" s="1417"/>
      <c r="K16" s="1417"/>
      <c r="L16" s="1507">
        <f>ROUND(L13/L15,4)</f>
        <v>0.99380000000000002</v>
      </c>
      <c r="M16" s="1507"/>
      <c r="N16" s="1508"/>
      <c r="O16" s="13"/>
    </row>
    <row r="17" spans="1:30" ht="21.75" customHeight="1" x14ac:dyDescent="0.3">
      <c r="A17" s="177" t="s">
        <v>75</v>
      </c>
      <c r="B17" s="159"/>
      <c r="C17" s="1417" t="s">
        <v>232</v>
      </c>
      <c r="D17" s="1417"/>
      <c r="E17" s="1417"/>
      <c r="F17" s="1417"/>
      <c r="G17" s="1417"/>
      <c r="H17" s="1417"/>
      <c r="I17" s="1417"/>
      <c r="J17" s="1417"/>
      <c r="K17" s="1417"/>
      <c r="L17" s="1420">
        <f>'P7 Form A-5 - OH '!J50</f>
        <v>46994662.246935926</v>
      </c>
      <c r="M17" s="1420"/>
      <c r="N17" s="1421"/>
      <c r="O17" s="13"/>
    </row>
    <row r="18" spans="1:30" ht="21.75" customHeight="1" x14ac:dyDescent="0.3">
      <c r="A18" s="177" t="s">
        <v>102</v>
      </c>
      <c r="B18" s="159"/>
      <c r="C18" s="1417" t="s">
        <v>134</v>
      </c>
      <c r="D18" s="1417"/>
      <c r="E18" s="1417"/>
      <c r="F18" s="1417"/>
      <c r="G18" s="1417"/>
      <c r="H18" s="1417"/>
      <c r="I18" s="1417"/>
      <c r="J18" s="1417"/>
      <c r="K18" s="1417"/>
      <c r="L18" s="1420">
        <f>ROUND(L16*L17,0)</f>
        <v>46703295</v>
      </c>
      <c r="M18" s="1420"/>
      <c r="N18" s="1421"/>
      <c r="O18" s="13"/>
    </row>
    <row r="19" spans="1:30" ht="21.75" customHeight="1" x14ac:dyDescent="0.3">
      <c r="A19" s="177" t="s">
        <v>103</v>
      </c>
      <c r="B19" s="159"/>
      <c r="C19" s="1417" t="s">
        <v>135</v>
      </c>
      <c r="D19" s="1417"/>
      <c r="E19" s="1417"/>
      <c r="F19" s="1417"/>
      <c r="G19" s="1417"/>
      <c r="H19" s="1417"/>
      <c r="I19" s="1417"/>
      <c r="J19" s="1417"/>
      <c r="K19" s="1417"/>
      <c r="L19" s="1420">
        <f>L13+L18</f>
        <v>178858114.81143388</v>
      </c>
      <c r="M19" s="1420"/>
      <c r="N19" s="1421"/>
      <c r="O19" s="13"/>
    </row>
    <row r="20" spans="1:30" ht="21.75" customHeight="1" x14ac:dyDescent="0.3">
      <c r="A20" s="177" t="s">
        <v>115</v>
      </c>
      <c r="B20" s="159"/>
      <c r="C20" s="1417" t="s">
        <v>233</v>
      </c>
      <c r="D20" s="1417"/>
      <c r="E20" s="1417"/>
      <c r="F20" s="1417"/>
      <c r="G20" s="1417"/>
      <c r="H20" s="1417"/>
      <c r="I20" s="1417"/>
      <c r="J20" s="1417"/>
      <c r="K20" s="1417"/>
      <c r="L20" s="1420">
        <f>ROUND(L19*0.3,0)</f>
        <v>53657434</v>
      </c>
      <c r="M20" s="1420"/>
      <c r="N20" s="1421"/>
      <c r="O20" s="13"/>
    </row>
    <row r="21" spans="1:30" ht="21.75" customHeight="1" x14ac:dyDescent="0.3">
      <c r="A21" s="177" t="s">
        <v>126</v>
      </c>
      <c r="B21" s="159"/>
      <c r="C21" s="1417" t="s">
        <v>354</v>
      </c>
      <c r="D21" s="1417"/>
      <c r="E21" s="1417"/>
      <c r="F21" s="1417"/>
      <c r="G21" s="1417"/>
      <c r="H21" s="1417"/>
      <c r="I21" s="1417"/>
      <c r="J21" s="1417"/>
      <c r="K21" s="1417"/>
      <c r="L21" s="1420">
        <f>IF(L20-L18&gt;0,0,L20-L18)</f>
        <v>0</v>
      </c>
      <c r="M21" s="1420"/>
      <c r="N21" s="1421"/>
      <c r="O21" s="13"/>
      <c r="S21" s="1424"/>
      <c r="T21" s="1424"/>
      <c r="U21" s="1424"/>
    </row>
    <row r="22" spans="1:30" ht="21.75" customHeight="1" x14ac:dyDescent="0.3">
      <c r="A22" s="177" t="s">
        <v>127</v>
      </c>
      <c r="B22" s="159"/>
      <c r="C22" s="1417" t="s">
        <v>136</v>
      </c>
      <c r="D22" s="1417"/>
      <c r="E22" s="1417"/>
      <c r="F22" s="1417"/>
      <c r="G22" s="1417"/>
      <c r="H22" s="1417"/>
      <c r="I22" s="1417"/>
      <c r="J22" s="1417"/>
      <c r="K22" s="1417"/>
      <c r="L22" s="1420">
        <f>L18+L21</f>
        <v>46703295</v>
      </c>
      <c r="M22" s="1420"/>
      <c r="N22" s="1421"/>
      <c r="O22" s="13"/>
    </row>
    <row r="23" spans="1:30" ht="21.75" customHeight="1" x14ac:dyDescent="0.3">
      <c r="A23" s="177" t="s">
        <v>131</v>
      </c>
      <c r="B23" s="159"/>
      <c r="C23" s="1417" t="s">
        <v>137</v>
      </c>
      <c r="D23" s="1417"/>
      <c r="E23" s="1417"/>
      <c r="F23" s="1417"/>
      <c r="G23" s="1417"/>
      <c r="H23" s="1417"/>
      <c r="I23" s="1417"/>
      <c r="J23" s="1417"/>
      <c r="K23" s="1417"/>
      <c r="L23" s="1509"/>
      <c r="M23" s="1509"/>
      <c r="N23" s="1510"/>
      <c r="O23" s="13"/>
    </row>
    <row r="24" spans="1:30" ht="18" customHeight="1" x14ac:dyDescent="0.3">
      <c r="A24" s="177"/>
      <c r="B24" s="163"/>
      <c r="C24" s="164" t="s">
        <v>49</v>
      </c>
      <c r="D24" s="1417" t="s">
        <v>234</v>
      </c>
      <c r="E24" s="1417"/>
      <c r="F24" s="1417"/>
      <c r="G24" s="1417"/>
      <c r="H24" s="1417"/>
      <c r="I24" s="1417"/>
      <c r="J24" s="1417"/>
      <c r="K24" s="159"/>
      <c r="L24" s="1420">
        <f>'P3 Form A-1 Health Care'!J52</f>
        <v>85082557.975559801</v>
      </c>
      <c r="M24" s="1420"/>
      <c r="N24" s="1421"/>
      <c r="O24" s="13"/>
    </row>
    <row r="25" spans="1:30" ht="18" customHeight="1" x14ac:dyDescent="0.3">
      <c r="A25" s="178"/>
      <c r="B25" s="163"/>
      <c r="C25" s="164" t="s">
        <v>50</v>
      </c>
      <c r="D25" s="1417" t="s">
        <v>235</v>
      </c>
      <c r="E25" s="1417"/>
      <c r="F25" s="1417"/>
      <c r="G25" s="1417"/>
      <c r="H25" s="1417"/>
      <c r="I25" s="1417"/>
      <c r="J25" s="1417"/>
      <c r="K25" s="160"/>
      <c r="L25" s="1420">
        <f>'P4 Form A-2 - Dental'!J49</f>
        <v>8999117.7207000162</v>
      </c>
      <c r="M25" s="1420"/>
      <c r="N25" s="1421"/>
      <c r="O25" s="13"/>
    </row>
    <row r="26" spans="1:30" ht="18" customHeight="1" x14ac:dyDescent="0.3">
      <c r="A26" s="179"/>
      <c r="B26" s="163"/>
      <c r="C26" s="164" t="s">
        <v>82</v>
      </c>
      <c r="D26" s="1417" t="s">
        <v>236</v>
      </c>
      <c r="E26" s="1417"/>
      <c r="F26" s="1417"/>
      <c r="G26" s="1417"/>
      <c r="H26" s="1417"/>
      <c r="I26" s="1417"/>
      <c r="J26" s="1417"/>
      <c r="K26" s="384"/>
      <c r="L26" s="1420">
        <f>'P5 Form A-3 - Mental Health'!J44</f>
        <v>38073144.115174055</v>
      </c>
      <c r="M26" s="1420"/>
      <c r="N26" s="1421"/>
      <c r="O26" s="13"/>
    </row>
    <row r="27" spans="1:30" ht="18" customHeight="1" x14ac:dyDescent="0.3">
      <c r="A27" s="180"/>
      <c r="B27" s="163"/>
      <c r="C27" s="164" t="s">
        <v>51</v>
      </c>
      <c r="D27" s="1417" t="s">
        <v>237</v>
      </c>
      <c r="E27" s="1417"/>
      <c r="F27" s="1417"/>
      <c r="G27" s="1417"/>
      <c r="H27" s="1417"/>
      <c r="I27" s="1417"/>
      <c r="J27" s="1417"/>
      <c r="K27" s="161"/>
      <c r="L27" s="1420">
        <f>SUM(L24:N26)</f>
        <v>132154819.81143387</v>
      </c>
      <c r="M27" s="1420"/>
      <c r="N27" s="1421"/>
      <c r="O27" s="13"/>
    </row>
    <row r="28" spans="1:30" s="166" customFormat="1" ht="19.5" customHeight="1" x14ac:dyDescent="0.3">
      <c r="A28" s="177" t="s">
        <v>138</v>
      </c>
      <c r="B28" s="385"/>
      <c r="C28" s="1417" t="s">
        <v>139</v>
      </c>
      <c r="D28" s="1417"/>
      <c r="E28" s="1417"/>
      <c r="F28" s="1417"/>
      <c r="G28" s="1417"/>
      <c r="H28" s="1417"/>
      <c r="I28" s="1417"/>
      <c r="J28" s="1417"/>
      <c r="K28" s="1417"/>
      <c r="L28" s="1505"/>
      <c r="M28" s="1505"/>
      <c r="N28" s="1506"/>
      <c r="O28" s="158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s="168" customFormat="1" ht="17.25" customHeight="1" x14ac:dyDescent="0.3">
      <c r="A29" s="177"/>
      <c r="B29" s="163"/>
      <c r="C29" s="164" t="s">
        <v>49</v>
      </c>
      <c r="D29" s="1417" t="s">
        <v>140</v>
      </c>
      <c r="E29" s="1417"/>
      <c r="F29" s="1417"/>
      <c r="G29" s="1417"/>
      <c r="H29" s="1417"/>
      <c r="I29" s="1417"/>
      <c r="J29" s="1417"/>
      <c r="K29" s="385"/>
      <c r="L29" s="1507">
        <f>ROUND(L24/L27,4)</f>
        <v>0.64380000000000004</v>
      </c>
      <c r="M29" s="1507"/>
      <c r="N29" s="1508"/>
      <c r="O29" s="13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s="168" customFormat="1" ht="17.25" customHeight="1" x14ac:dyDescent="0.3">
      <c r="A30" s="178"/>
      <c r="B30" s="163"/>
      <c r="C30" s="164" t="s">
        <v>50</v>
      </c>
      <c r="D30" s="1417" t="s">
        <v>141</v>
      </c>
      <c r="E30" s="1417"/>
      <c r="F30" s="1417"/>
      <c r="G30" s="1417"/>
      <c r="H30" s="1417"/>
      <c r="I30" s="1417"/>
      <c r="J30" s="1417"/>
      <c r="K30" s="160"/>
      <c r="L30" s="1507">
        <f>ROUND(L25/L27,4)</f>
        <v>6.8099999999999994E-2</v>
      </c>
      <c r="M30" s="1507"/>
      <c r="N30" s="1508"/>
      <c r="O30" s="13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s="168" customFormat="1" ht="17.25" customHeight="1" x14ac:dyDescent="0.3">
      <c r="A31" s="179"/>
      <c r="B31" s="163"/>
      <c r="C31" s="164" t="s">
        <v>82</v>
      </c>
      <c r="D31" s="1417" t="s">
        <v>142</v>
      </c>
      <c r="E31" s="1417"/>
      <c r="F31" s="1417"/>
      <c r="G31" s="1417"/>
      <c r="H31" s="1417"/>
      <c r="I31" s="1417"/>
      <c r="J31" s="1417"/>
      <c r="K31" s="384"/>
      <c r="L31" s="1507">
        <f>ROUND(L26/L27,4)</f>
        <v>0.28810000000000002</v>
      </c>
      <c r="M31" s="1507"/>
      <c r="N31" s="1508"/>
      <c r="O31" s="13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168" customFormat="1" ht="28.5" customHeight="1" x14ac:dyDescent="0.3">
      <c r="A32" s="177" t="s">
        <v>143</v>
      </c>
      <c r="B32" s="385"/>
      <c r="C32" s="1417" t="s">
        <v>144</v>
      </c>
      <c r="D32" s="1417"/>
      <c r="E32" s="1417"/>
      <c r="F32" s="1417"/>
      <c r="G32" s="1417"/>
      <c r="H32" s="1417"/>
      <c r="I32" s="1417"/>
      <c r="J32" s="1417"/>
      <c r="K32" s="1417"/>
      <c r="L32" s="1505"/>
      <c r="M32" s="1505"/>
      <c r="N32" s="1506"/>
      <c r="O32" s="13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168" customFormat="1" ht="17.25" customHeight="1" x14ac:dyDescent="0.3">
      <c r="A33" s="177"/>
      <c r="B33" s="163"/>
      <c r="C33" s="164" t="s">
        <v>49</v>
      </c>
      <c r="D33" s="1417" t="s">
        <v>145</v>
      </c>
      <c r="E33" s="1417"/>
      <c r="F33" s="1417"/>
      <c r="G33" s="1417"/>
      <c r="H33" s="1417"/>
      <c r="I33" s="1417"/>
      <c r="J33" s="1417"/>
      <c r="K33" s="385"/>
      <c r="L33" s="1420">
        <f>ROUND(L22*L29,0)</f>
        <v>30067581</v>
      </c>
      <c r="M33" s="1420"/>
      <c r="N33" s="1421"/>
      <c r="O33" s="13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168" customFormat="1" ht="18" customHeight="1" x14ac:dyDescent="0.3">
      <c r="A34" s="178"/>
      <c r="B34" s="163"/>
      <c r="C34" s="164" t="s">
        <v>50</v>
      </c>
      <c r="D34" s="1417" t="s">
        <v>146</v>
      </c>
      <c r="E34" s="1417"/>
      <c r="F34" s="1417"/>
      <c r="G34" s="1417"/>
      <c r="H34" s="1417"/>
      <c r="I34" s="1417"/>
      <c r="J34" s="1417"/>
      <c r="K34" s="160"/>
      <c r="L34" s="1420">
        <f>ROUND(L22*L30,0)</f>
        <v>3180494</v>
      </c>
      <c r="M34" s="1420"/>
      <c r="N34" s="1421"/>
      <c r="O34" s="13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168" customFormat="1" ht="21" customHeight="1" x14ac:dyDescent="0.3">
      <c r="A35" s="179"/>
      <c r="B35" s="163"/>
      <c r="C35" s="164" t="s">
        <v>82</v>
      </c>
      <c r="D35" s="1417" t="s">
        <v>147</v>
      </c>
      <c r="E35" s="1417"/>
      <c r="F35" s="1417"/>
      <c r="G35" s="1417"/>
      <c r="H35" s="1417"/>
      <c r="I35" s="1417"/>
      <c r="J35" s="1417"/>
      <c r="K35" s="384"/>
      <c r="L35" s="1420">
        <f>ROUND(L22*L31,0)</f>
        <v>13455219</v>
      </c>
      <c r="M35" s="1420"/>
      <c r="N35" s="1421"/>
      <c r="O35" s="13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168" customFormat="1" ht="28.5" customHeight="1" thickBot="1" x14ac:dyDescent="0.35">
      <c r="A36" s="403"/>
      <c r="B36" s="404"/>
      <c r="C36" s="164" t="s">
        <v>51</v>
      </c>
      <c r="D36" s="1516" t="s">
        <v>238</v>
      </c>
      <c r="E36" s="1516"/>
      <c r="F36" s="1516"/>
      <c r="G36" s="1516"/>
      <c r="H36" s="1516"/>
      <c r="I36" s="1516"/>
      <c r="J36" s="1516"/>
      <c r="K36" s="404"/>
      <c r="L36" s="1503">
        <f>SUM(L33:N35)</f>
        <v>46703294</v>
      </c>
      <c r="M36" s="1503"/>
      <c r="N36" s="1504"/>
      <c r="O36" s="13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168" customFormat="1" ht="28.5" customHeight="1" thickTop="1" thickBot="1" x14ac:dyDescent="0.35">
      <c r="A37" s="405"/>
      <c r="B37" s="406"/>
      <c r="C37" s="406"/>
      <c r="D37" s="406"/>
      <c r="E37" s="406"/>
      <c r="F37" s="406"/>
      <c r="G37" s="406"/>
      <c r="H37" s="407"/>
      <c r="I37" s="406"/>
      <c r="J37" s="406"/>
      <c r="K37" s="406"/>
      <c r="L37" s="408"/>
      <c r="M37" s="408"/>
      <c r="N37" s="409"/>
      <c r="O37" s="13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168" customFormat="1" ht="28.5" customHeight="1" x14ac:dyDescent="0.3">
      <c r="A38" s="404"/>
      <c r="B38" s="404"/>
      <c r="C38" s="404"/>
      <c r="D38" s="404"/>
      <c r="E38" s="404"/>
      <c r="F38" s="404"/>
      <c r="G38" s="404"/>
      <c r="H38" s="410"/>
      <c r="I38" s="404"/>
      <c r="J38" s="404"/>
      <c r="K38" s="404"/>
      <c r="L38" s="404"/>
      <c r="M38" s="404"/>
      <c r="N38" s="404"/>
      <c r="O38" s="13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168" customFormat="1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</sheetData>
  <sheetProtection password="E1AE" sheet="1"/>
  <mergeCells count="58">
    <mergeCell ref="E6:G6"/>
    <mergeCell ref="L6:M6"/>
    <mergeCell ref="L13:N13"/>
    <mergeCell ref="C20:K20"/>
    <mergeCell ref="C21:K21"/>
    <mergeCell ref="C18:K18"/>
    <mergeCell ref="C19:K19"/>
    <mergeCell ref="C16:K16"/>
    <mergeCell ref="C17:K17"/>
    <mergeCell ref="L17:N17"/>
    <mergeCell ref="D36:J36"/>
    <mergeCell ref="D34:J34"/>
    <mergeCell ref="D35:J35"/>
    <mergeCell ref="D33:J33"/>
    <mergeCell ref="D26:J26"/>
    <mergeCell ref="D27:J27"/>
    <mergeCell ref="D31:J31"/>
    <mergeCell ref="C32:K32"/>
    <mergeCell ref="D24:J24"/>
    <mergeCell ref="D25:J25"/>
    <mergeCell ref="C22:K22"/>
    <mergeCell ref="C28:K28"/>
    <mergeCell ref="D29:J29"/>
    <mergeCell ref="D30:J30"/>
    <mergeCell ref="C23:K23"/>
    <mergeCell ref="A4:N4"/>
    <mergeCell ref="A12:N12"/>
    <mergeCell ref="C14:K14"/>
    <mergeCell ref="C13:K13"/>
    <mergeCell ref="L14:N14"/>
    <mergeCell ref="L16:N16"/>
    <mergeCell ref="C15:K15"/>
    <mergeCell ref="L15:N15"/>
    <mergeCell ref="D8:N8"/>
    <mergeCell ref="A9:N9"/>
    <mergeCell ref="S21:U21"/>
    <mergeCell ref="L18:N18"/>
    <mergeCell ref="L19:N19"/>
    <mergeCell ref="L20:N20"/>
    <mergeCell ref="L21:N21"/>
    <mergeCell ref="L32:N32"/>
    <mergeCell ref="L33:N33"/>
    <mergeCell ref="L22:N22"/>
    <mergeCell ref="L23:N23"/>
    <mergeCell ref="L24:N24"/>
    <mergeCell ref="L25:N25"/>
    <mergeCell ref="L26:N26"/>
    <mergeCell ref="L27:N27"/>
    <mergeCell ref="L34:N34"/>
    <mergeCell ref="L35:N35"/>
    <mergeCell ref="L36:N36"/>
    <mergeCell ref="A1:N1"/>
    <mergeCell ref="A2:N2"/>
    <mergeCell ref="A3:N3"/>
    <mergeCell ref="L28:N28"/>
    <mergeCell ref="L29:N29"/>
    <mergeCell ref="L30:N30"/>
    <mergeCell ref="L31:N31"/>
  </mergeCells>
  <printOptions horizontalCentered="1" verticalCentered="1"/>
  <pageMargins left="0.25" right="0.25" top="0.5" bottom="0" header="0.5" footer="0.25"/>
  <pageSetup scale="91" fitToHeight="0" orientation="portrait" r:id="rId1"/>
  <headerFooter alignWithMargins="0">
    <oddFooter>&amp;LDSS-16 10-24-2016&amp;RPage 13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AC9D2-9D1B-45E2-B585-E859D3C86614}">
  <sheetPr>
    <tabColor rgb="FF92D050"/>
  </sheetPr>
  <dimension ref="A1:R46"/>
  <sheetViews>
    <sheetView workbookViewId="0">
      <selection activeCell="K11" sqref="K11"/>
    </sheetView>
  </sheetViews>
  <sheetFormatPr defaultColWidth="9.1796875" defaultRowHeight="12.5" x14ac:dyDescent="0.25"/>
  <cols>
    <col min="1" max="1" width="3.54296875" style="155" customWidth="1"/>
    <col min="2" max="2" width="16.453125" style="14" customWidth="1"/>
    <col min="3" max="3" width="28.453125" style="14" customWidth="1"/>
    <col min="4" max="4" width="17" style="14" customWidth="1"/>
    <col min="5" max="5" width="16.453125" style="14" customWidth="1"/>
    <col min="6" max="6" width="17.453125" style="14" customWidth="1"/>
    <col min="7" max="7" width="17.7265625" style="14" customWidth="1"/>
    <col min="8" max="8" width="16.26953125" style="14" customWidth="1"/>
    <col min="9" max="10" width="9.1796875" style="14"/>
    <col min="11" max="11" width="30.7265625" style="14" customWidth="1"/>
    <col min="12" max="16384" width="9.1796875" style="14"/>
  </cols>
  <sheetData>
    <row r="1" spans="1:18" ht="13.5" x14ac:dyDescent="0.35">
      <c r="A1" s="1396" t="s">
        <v>45</v>
      </c>
      <c r="B1" s="1396"/>
      <c r="C1" s="1396"/>
      <c r="D1" s="1396"/>
      <c r="E1" s="1396"/>
      <c r="F1" s="1396"/>
      <c r="G1" s="1396"/>
      <c r="H1" s="1396"/>
      <c r="I1" s="75"/>
      <c r="J1" s="75"/>
      <c r="K1" s="75"/>
      <c r="L1" s="75"/>
      <c r="M1" s="75"/>
      <c r="N1" s="75"/>
      <c r="O1" s="75"/>
      <c r="P1" s="75"/>
      <c r="Q1" s="75"/>
    </row>
    <row r="2" spans="1:18" ht="13.5" x14ac:dyDescent="0.35">
      <c r="A2" s="1396" t="s">
        <v>46</v>
      </c>
      <c r="B2" s="1396"/>
      <c r="C2" s="1396"/>
      <c r="D2" s="1396"/>
      <c r="E2" s="1396"/>
      <c r="F2" s="1396"/>
      <c r="G2" s="1396"/>
      <c r="H2" s="1396"/>
      <c r="I2" s="75"/>
      <c r="J2" s="75"/>
      <c r="K2" s="75"/>
      <c r="L2" s="75"/>
      <c r="M2" s="75"/>
      <c r="N2" s="75"/>
      <c r="O2" s="75"/>
      <c r="P2" s="75"/>
      <c r="Q2" s="75"/>
    </row>
    <row r="3" spans="1:18" ht="13.5" x14ac:dyDescent="0.35">
      <c r="A3" s="1396" t="s">
        <v>47</v>
      </c>
      <c r="B3" s="1396"/>
      <c r="C3" s="1396"/>
      <c r="D3" s="1396"/>
      <c r="E3" s="1396"/>
      <c r="F3" s="1396"/>
      <c r="G3" s="1396"/>
      <c r="H3" s="1396"/>
      <c r="I3" s="75"/>
      <c r="J3" s="75"/>
      <c r="K3" s="75"/>
      <c r="L3" s="75"/>
      <c r="M3" s="75"/>
      <c r="N3" s="75"/>
      <c r="O3" s="75"/>
      <c r="P3" s="75"/>
      <c r="Q3" s="75"/>
    </row>
    <row r="4" spans="1:18" ht="13.5" x14ac:dyDescent="0.35">
      <c r="A4" s="1396" t="s">
        <v>48</v>
      </c>
      <c r="B4" s="1396"/>
      <c r="C4" s="1396"/>
      <c r="D4" s="1396"/>
      <c r="E4" s="1396"/>
      <c r="F4" s="1396"/>
      <c r="G4" s="1396"/>
      <c r="H4" s="1396"/>
      <c r="I4" s="75"/>
      <c r="J4" s="75"/>
      <c r="K4" s="75"/>
      <c r="L4" s="75"/>
      <c r="M4" s="75"/>
      <c r="N4" s="75"/>
      <c r="O4" s="75"/>
      <c r="P4" s="75"/>
      <c r="Q4" s="75"/>
    </row>
    <row r="5" spans="1:18" ht="14" thickBot="1" x14ac:dyDescent="0.4">
      <c r="A5" s="151"/>
      <c r="B5" s="12"/>
      <c r="C5" s="12"/>
      <c r="D5" s="12"/>
      <c r="E5" s="440"/>
      <c r="F5" s="440"/>
      <c r="G5" s="440"/>
      <c r="H5" s="440"/>
      <c r="I5" s="85"/>
      <c r="J5" s="85"/>
      <c r="K5" s="85"/>
      <c r="L5" s="85"/>
      <c r="M5" s="85"/>
      <c r="N5" s="85"/>
      <c r="O5" s="85"/>
      <c r="P5" s="85"/>
      <c r="Q5" s="85"/>
    </row>
    <row r="6" spans="1:18" ht="21.75" customHeight="1" x14ac:dyDescent="0.35">
      <c r="A6" s="152"/>
      <c r="B6" s="77" t="s">
        <v>54</v>
      </c>
      <c r="C6" s="77"/>
      <c r="D6" s="78" t="s">
        <v>6</v>
      </c>
      <c r="E6" s="94">
        <f>'P1 Info &amp; Certification'!L20</f>
        <v>45108</v>
      </c>
      <c r="F6" s="148"/>
      <c r="G6" s="95" t="str">
        <f>'P1 Info &amp; Certification'!M20</f>
        <v>To</v>
      </c>
      <c r="H6" s="443">
        <f>'P1 Info &amp; Certification'!N20</f>
        <v>45473</v>
      </c>
      <c r="I6" s="147"/>
      <c r="J6" s="89"/>
      <c r="K6" s="13"/>
      <c r="L6" s="88"/>
      <c r="M6" s="32"/>
      <c r="N6" s="147"/>
      <c r="O6" s="147"/>
      <c r="P6" s="32"/>
      <c r="Q6" s="146"/>
      <c r="R6" s="146"/>
    </row>
    <row r="7" spans="1:18" ht="8.25" customHeight="1" x14ac:dyDescent="0.3">
      <c r="A7" s="153"/>
      <c r="B7" s="458"/>
      <c r="C7" s="458"/>
      <c r="D7" s="458"/>
      <c r="E7" s="13"/>
      <c r="F7" s="13"/>
      <c r="G7" s="13"/>
      <c r="H7" s="81"/>
      <c r="I7" s="13"/>
      <c r="J7" s="13"/>
      <c r="K7" s="13"/>
      <c r="L7" s="13"/>
      <c r="M7" s="13"/>
      <c r="N7" s="13"/>
      <c r="O7" s="13"/>
      <c r="P7" s="13"/>
      <c r="Q7" s="146"/>
      <c r="R7" s="146"/>
    </row>
    <row r="8" spans="1:18" ht="16.5" customHeight="1" thickBot="1" x14ac:dyDescent="0.3">
      <c r="A8" s="154"/>
      <c r="B8" s="84" t="s">
        <v>59</v>
      </c>
      <c r="C8" s="489" t="str">
        <f>'P1 Info &amp; Certification'!E12</f>
        <v>COMMUNITY HEALTH CENTER, INC.</v>
      </c>
      <c r="D8" s="210"/>
      <c r="E8" s="490"/>
      <c r="F8" s="490"/>
      <c r="G8" s="490"/>
      <c r="H8" s="491"/>
      <c r="I8" s="145"/>
      <c r="J8" s="145"/>
      <c r="K8" s="145"/>
      <c r="L8" s="145"/>
      <c r="M8" s="145"/>
      <c r="N8" s="145"/>
      <c r="O8" s="145"/>
      <c r="P8" s="145"/>
      <c r="Q8" s="146"/>
      <c r="R8" s="146"/>
    </row>
    <row r="9" spans="1:18" ht="7.5" customHeight="1" x14ac:dyDescent="0.25">
      <c r="A9" s="471"/>
      <c r="B9" s="472"/>
      <c r="C9" s="472"/>
      <c r="D9" s="472"/>
      <c r="E9" s="472"/>
      <c r="F9" s="472"/>
      <c r="G9" s="472"/>
      <c r="H9" s="472"/>
      <c r="I9" s="43"/>
      <c r="J9" s="43"/>
      <c r="K9" s="43"/>
      <c r="L9" s="43"/>
      <c r="M9" s="43"/>
      <c r="N9" s="43"/>
      <c r="O9" s="43"/>
      <c r="P9" s="43"/>
      <c r="Q9" s="146"/>
      <c r="R9" s="146"/>
    </row>
    <row r="10" spans="1:18" ht="13.5" thickBot="1" x14ac:dyDescent="0.35">
      <c r="G10" s="1520" t="s">
        <v>153</v>
      </c>
      <c r="H10" s="1520"/>
    </row>
    <row r="11" spans="1:18" x14ac:dyDescent="0.25">
      <c r="A11" s="201"/>
      <c r="B11" s="202"/>
      <c r="C11" s="202"/>
      <c r="D11" s="202"/>
      <c r="E11" s="202"/>
      <c r="F11" s="202"/>
      <c r="G11" s="202"/>
      <c r="H11" s="203"/>
    </row>
    <row r="12" spans="1:18" ht="12.75" customHeight="1" x14ac:dyDescent="0.3">
      <c r="A12" s="1522" t="s">
        <v>152</v>
      </c>
      <c r="B12" s="1488"/>
      <c r="C12" s="1489"/>
      <c r="D12" s="143" t="s">
        <v>60</v>
      </c>
      <c r="E12" s="143" t="s">
        <v>61</v>
      </c>
      <c r="F12" s="143" t="s">
        <v>62</v>
      </c>
      <c r="G12" s="144" t="s">
        <v>63</v>
      </c>
      <c r="H12" s="206" t="s">
        <v>64</v>
      </c>
    </row>
    <row r="13" spans="1:18" ht="39.75" customHeight="1" x14ac:dyDescent="0.3">
      <c r="A13" s="207" t="s">
        <v>83</v>
      </c>
      <c r="B13" s="1488" t="s">
        <v>243</v>
      </c>
      <c r="C13" s="1488"/>
      <c r="D13" s="171" t="s">
        <v>154</v>
      </c>
      <c r="E13" s="172" t="s">
        <v>24</v>
      </c>
      <c r="F13" s="172" t="s">
        <v>43</v>
      </c>
      <c r="G13" s="172" t="s">
        <v>14</v>
      </c>
      <c r="H13" s="251" t="s">
        <v>155</v>
      </c>
    </row>
    <row r="14" spans="1:18" x14ac:dyDescent="0.25">
      <c r="A14" s="492" t="s">
        <v>49</v>
      </c>
      <c r="B14" s="1413" t="s">
        <v>157</v>
      </c>
      <c r="C14" s="1413"/>
      <c r="D14" s="349">
        <v>41868995</v>
      </c>
      <c r="E14" s="349">
        <v>5488895</v>
      </c>
      <c r="F14" s="349">
        <v>32591290</v>
      </c>
      <c r="G14" s="349"/>
      <c r="H14" s="350">
        <f>SUM(D14:G14)</f>
        <v>79949180</v>
      </c>
    </row>
    <row r="15" spans="1:18" x14ac:dyDescent="0.25">
      <c r="A15" s="492" t="s">
        <v>50</v>
      </c>
      <c r="B15" s="1413" t="s">
        <v>158</v>
      </c>
      <c r="C15" s="1413"/>
      <c r="D15" s="349">
        <v>8409437</v>
      </c>
      <c r="E15" s="349">
        <v>949207</v>
      </c>
      <c r="F15" s="349">
        <v>9087413</v>
      </c>
      <c r="G15" s="349"/>
      <c r="H15" s="350">
        <f>SUM(D15:G15)</f>
        <v>18446057</v>
      </c>
    </row>
    <row r="16" spans="1:18" x14ac:dyDescent="0.25">
      <c r="A16" s="492" t="s">
        <v>82</v>
      </c>
      <c r="B16" s="1413" t="s">
        <v>159</v>
      </c>
      <c r="C16" s="1413"/>
      <c r="D16" s="349">
        <v>5867838</v>
      </c>
      <c r="E16" s="349">
        <v>5353</v>
      </c>
      <c r="F16" s="349">
        <v>1309755</v>
      </c>
      <c r="G16" s="349"/>
      <c r="H16" s="350">
        <f>SUM(D16:G16)</f>
        <v>7182946</v>
      </c>
    </row>
    <row r="17" spans="1:8" x14ac:dyDescent="0.25">
      <c r="A17" s="492" t="s">
        <v>51</v>
      </c>
      <c r="B17" s="493" t="s">
        <v>242</v>
      </c>
      <c r="C17" s="493"/>
      <c r="D17" s="349">
        <v>2841590</v>
      </c>
      <c r="E17" s="349">
        <v>686779</v>
      </c>
      <c r="F17" s="349">
        <v>1040889</v>
      </c>
      <c r="G17" s="349"/>
      <c r="H17" s="350">
        <f>SUM(D17:G17)</f>
        <v>4569258</v>
      </c>
    </row>
    <row r="18" spans="1:8" x14ac:dyDescent="0.25">
      <c r="A18" s="492" t="s">
        <v>156</v>
      </c>
      <c r="B18" s="494" t="s">
        <v>169</v>
      </c>
      <c r="C18" s="493"/>
      <c r="D18" s="349">
        <v>1276120</v>
      </c>
      <c r="E18" s="349">
        <v>43399</v>
      </c>
      <c r="F18" s="351">
        <v>353436</v>
      </c>
      <c r="G18" s="349"/>
      <c r="H18" s="350">
        <f>SUM(D18:G18)</f>
        <v>1672955</v>
      </c>
    </row>
    <row r="19" spans="1:8" ht="13" thickBot="1" x14ac:dyDescent="0.3">
      <c r="A19" s="252" t="s">
        <v>55</v>
      </c>
      <c r="B19" s="363" t="s">
        <v>355</v>
      </c>
      <c r="C19" s="174"/>
      <c r="D19" s="352">
        <f>SUM(D14:D18)</f>
        <v>60263980</v>
      </c>
      <c r="E19" s="352">
        <f>SUM(E14:E18)</f>
        <v>7173633</v>
      </c>
      <c r="F19" s="352">
        <f>SUM(F14:F18)</f>
        <v>44382783</v>
      </c>
      <c r="G19" s="352">
        <f>SUM(G14:G18)</f>
        <v>0</v>
      </c>
      <c r="H19" s="353">
        <f>SUM(H14:H18)</f>
        <v>111820396</v>
      </c>
    </row>
    <row r="20" spans="1:8" ht="6.75" customHeight="1" thickTop="1" x14ac:dyDescent="0.25">
      <c r="A20" s="253"/>
      <c r="B20" s="150"/>
      <c r="C20" s="150"/>
      <c r="D20" s="354"/>
      <c r="E20" s="355"/>
      <c r="F20" s="355"/>
      <c r="G20" s="355"/>
      <c r="H20" s="350"/>
    </row>
    <row r="21" spans="1:8" s="149" customFormat="1" ht="16.5" customHeight="1" x14ac:dyDescent="0.3">
      <c r="A21" s="207" t="s">
        <v>84</v>
      </c>
      <c r="B21" s="1488" t="s">
        <v>244</v>
      </c>
      <c r="C21" s="1489"/>
      <c r="D21" s="355"/>
      <c r="E21" s="355"/>
      <c r="F21" s="355"/>
      <c r="G21" s="355"/>
      <c r="H21" s="350"/>
    </row>
    <row r="22" spans="1:8" x14ac:dyDescent="0.25">
      <c r="A22" s="492" t="s">
        <v>49</v>
      </c>
      <c r="B22" s="493" t="s">
        <v>855</v>
      </c>
      <c r="C22" s="493"/>
      <c r="D22" s="349"/>
      <c r="E22" s="349"/>
      <c r="F22" s="349"/>
      <c r="G22" s="881">
        <v>0</v>
      </c>
      <c r="H22" s="350">
        <f t="shared" ref="H22:H31" si="0">SUM(D22:G22)</f>
        <v>0</v>
      </c>
    </row>
    <row r="23" spans="1:8" x14ac:dyDescent="0.25">
      <c r="A23" s="492" t="s">
        <v>50</v>
      </c>
      <c r="B23" s="1413" t="s">
        <v>166</v>
      </c>
      <c r="C23" s="1413"/>
      <c r="D23" s="349">
        <v>9842733</v>
      </c>
      <c r="E23" s="349">
        <v>1664201</v>
      </c>
      <c r="F23" s="349">
        <v>6171600</v>
      </c>
      <c r="G23" s="349">
        <v>10868727</v>
      </c>
      <c r="H23" s="350">
        <f t="shared" si="0"/>
        <v>28547261</v>
      </c>
    </row>
    <row r="24" spans="1:8" x14ac:dyDescent="0.25">
      <c r="A24" s="492" t="s">
        <v>82</v>
      </c>
      <c r="B24" s="495" t="s">
        <v>167</v>
      </c>
      <c r="C24" s="493"/>
      <c r="D24" s="349"/>
      <c r="E24" s="349"/>
      <c r="F24" s="349"/>
      <c r="G24" s="880">
        <v>899205</v>
      </c>
      <c r="H24" s="350">
        <f t="shared" si="0"/>
        <v>899205</v>
      </c>
    </row>
    <row r="25" spans="1:8" x14ac:dyDescent="0.25">
      <c r="A25" s="492" t="s">
        <v>51</v>
      </c>
      <c r="B25" s="495" t="s">
        <v>168</v>
      </c>
      <c r="C25" s="496"/>
      <c r="D25" s="880">
        <v>4334030</v>
      </c>
      <c r="E25" s="349"/>
      <c r="F25" s="349"/>
      <c r="G25" s="880">
        <v>289146</v>
      </c>
      <c r="H25" s="350">
        <f t="shared" si="0"/>
        <v>4623176</v>
      </c>
    </row>
    <row r="26" spans="1:8" x14ac:dyDescent="0.25">
      <c r="A26" s="492" t="s">
        <v>156</v>
      </c>
      <c r="B26" s="495" t="s">
        <v>935</v>
      </c>
      <c r="C26" s="497"/>
      <c r="D26" s="349">
        <v>178302</v>
      </c>
      <c r="E26" s="349"/>
      <c r="F26" s="349"/>
      <c r="G26" s="349">
        <v>0</v>
      </c>
      <c r="H26" s="350">
        <f t="shared" si="0"/>
        <v>178302</v>
      </c>
    </row>
    <row r="27" spans="1:8" x14ac:dyDescent="0.25">
      <c r="A27" s="492" t="s">
        <v>55</v>
      </c>
      <c r="B27" s="495" t="s">
        <v>169</v>
      </c>
      <c r="C27" s="498" t="s">
        <v>1093</v>
      </c>
      <c r="D27" s="349">
        <v>24094776</v>
      </c>
      <c r="E27" s="349">
        <v>482708</v>
      </c>
      <c r="F27" s="349">
        <v>0</v>
      </c>
      <c r="G27" s="349">
        <v>0</v>
      </c>
      <c r="H27" s="350">
        <f t="shared" si="0"/>
        <v>24577484</v>
      </c>
    </row>
    <row r="28" spans="1:8" s="149" customFormat="1" ht="13" x14ac:dyDescent="0.3">
      <c r="A28" s="492" t="s">
        <v>56</v>
      </c>
      <c r="B28" s="495" t="s">
        <v>169</v>
      </c>
      <c r="C28" s="498" t="s">
        <v>477</v>
      </c>
      <c r="D28" s="349"/>
      <c r="E28" s="349"/>
      <c r="F28" s="349"/>
      <c r="G28" s="879">
        <v>883294</v>
      </c>
      <c r="H28" s="350">
        <f t="shared" si="0"/>
        <v>883294</v>
      </c>
    </row>
    <row r="29" spans="1:8" s="149" customFormat="1" ht="13" x14ac:dyDescent="0.3">
      <c r="A29" s="492" t="s">
        <v>161</v>
      </c>
      <c r="B29" s="495" t="s">
        <v>169</v>
      </c>
      <c r="C29" s="498" t="s">
        <v>14</v>
      </c>
      <c r="D29" s="349"/>
      <c r="E29" s="349"/>
      <c r="F29" s="349"/>
      <c r="G29" s="349">
        <v>4609622</v>
      </c>
      <c r="H29" s="350">
        <f t="shared" si="0"/>
        <v>4609622</v>
      </c>
    </row>
    <row r="30" spans="1:8" s="149" customFormat="1" ht="13" x14ac:dyDescent="0.3">
      <c r="A30" s="492" t="s">
        <v>162</v>
      </c>
      <c r="B30" s="495" t="s">
        <v>169</v>
      </c>
      <c r="C30" s="498" t="s">
        <v>478</v>
      </c>
      <c r="D30" s="349"/>
      <c r="E30" s="349"/>
      <c r="F30" s="349"/>
      <c r="G30" s="349">
        <v>207687</v>
      </c>
      <c r="H30" s="350">
        <f t="shared" si="0"/>
        <v>207687</v>
      </c>
    </row>
    <row r="31" spans="1:8" s="149" customFormat="1" ht="13" x14ac:dyDescent="0.3">
      <c r="A31" s="492" t="s">
        <v>163</v>
      </c>
      <c r="B31" s="495" t="s">
        <v>169</v>
      </c>
      <c r="C31" s="498" t="s">
        <v>649</v>
      </c>
      <c r="D31" s="349"/>
      <c r="E31" s="349"/>
      <c r="F31" s="349"/>
      <c r="G31" s="349">
        <v>2648790</v>
      </c>
      <c r="H31" s="350">
        <f t="shared" si="0"/>
        <v>2648790</v>
      </c>
    </row>
    <row r="32" spans="1:8" s="149" customFormat="1" ht="13.5" thickBot="1" x14ac:dyDescent="0.35">
      <c r="A32" s="252" t="s">
        <v>164</v>
      </c>
      <c r="B32" s="173" t="s">
        <v>356</v>
      </c>
      <c r="C32" s="174"/>
      <c r="D32" s="352">
        <f>SUM(D22:D31)</f>
        <v>38449841</v>
      </c>
      <c r="E32" s="352">
        <f>SUM(E22:E31)</f>
        <v>2146909</v>
      </c>
      <c r="F32" s="352">
        <f>SUM(F22:F31)</f>
        <v>6171600</v>
      </c>
      <c r="G32" s="352">
        <f>SUM(G22:G31)</f>
        <v>20406471</v>
      </c>
      <c r="H32" s="353">
        <f>SUM(H22:H31)</f>
        <v>67174821</v>
      </c>
    </row>
    <row r="33" spans="1:8" s="149" customFormat="1" ht="5.25" customHeight="1" thickTop="1" x14ac:dyDescent="0.3">
      <c r="A33" s="253"/>
      <c r="B33" s="1523"/>
      <c r="C33" s="1523"/>
      <c r="D33" s="356"/>
      <c r="E33" s="356"/>
      <c r="F33" s="357"/>
      <c r="G33" s="356"/>
      <c r="H33" s="358"/>
    </row>
    <row r="34" spans="1:8" ht="42" customHeight="1" x14ac:dyDescent="0.3">
      <c r="A34" s="207" t="s">
        <v>91</v>
      </c>
      <c r="B34" s="1488" t="s">
        <v>245</v>
      </c>
      <c r="C34" s="1489"/>
      <c r="D34" s="355"/>
      <c r="E34" s="355"/>
      <c r="F34" s="355"/>
      <c r="G34" s="355"/>
      <c r="H34" s="350"/>
    </row>
    <row r="35" spans="1:8" x14ac:dyDescent="0.25">
      <c r="A35" s="492" t="s">
        <v>49</v>
      </c>
      <c r="B35" s="495" t="s">
        <v>169</v>
      </c>
      <c r="C35" s="498"/>
      <c r="D35" s="349"/>
      <c r="E35" s="349"/>
      <c r="F35" s="349"/>
      <c r="G35" s="349"/>
      <c r="H35" s="350">
        <f t="shared" ref="H35:H40" si="1">SUM(D35:G35)</f>
        <v>0</v>
      </c>
    </row>
    <row r="36" spans="1:8" x14ac:dyDescent="0.25">
      <c r="A36" s="492" t="s">
        <v>50</v>
      </c>
      <c r="B36" s="495" t="s">
        <v>169</v>
      </c>
      <c r="C36" s="498"/>
      <c r="D36" s="349"/>
      <c r="E36" s="349"/>
      <c r="F36" s="349"/>
      <c r="G36" s="349"/>
      <c r="H36" s="350">
        <f t="shared" si="1"/>
        <v>0</v>
      </c>
    </row>
    <row r="37" spans="1:8" x14ac:dyDescent="0.25">
      <c r="A37" s="492" t="s">
        <v>82</v>
      </c>
      <c r="B37" s="495" t="s">
        <v>169</v>
      </c>
      <c r="C37" s="924"/>
      <c r="D37" s="349"/>
      <c r="E37" s="349"/>
      <c r="F37" s="349"/>
      <c r="G37" s="349"/>
      <c r="H37" s="350">
        <f t="shared" si="1"/>
        <v>0</v>
      </c>
    </row>
    <row r="38" spans="1:8" x14ac:dyDescent="0.25">
      <c r="A38" s="492" t="s">
        <v>51</v>
      </c>
      <c r="B38" s="495" t="s">
        <v>169</v>
      </c>
      <c r="C38" s="498"/>
      <c r="D38" s="349"/>
      <c r="E38" s="349"/>
      <c r="F38" s="349"/>
      <c r="G38" s="349"/>
      <c r="H38" s="350">
        <f t="shared" si="1"/>
        <v>0</v>
      </c>
    </row>
    <row r="39" spans="1:8" x14ac:dyDescent="0.25">
      <c r="A39" s="492" t="s">
        <v>156</v>
      </c>
      <c r="B39" s="495" t="s">
        <v>169</v>
      </c>
      <c r="C39" s="498"/>
      <c r="D39" s="349"/>
      <c r="E39" s="349"/>
      <c r="F39" s="349"/>
      <c r="G39" s="349"/>
      <c r="H39" s="350">
        <f t="shared" si="1"/>
        <v>0</v>
      </c>
    </row>
    <row r="40" spans="1:8" x14ac:dyDescent="0.25">
      <c r="A40" s="492" t="s">
        <v>55</v>
      </c>
      <c r="B40" s="495" t="s">
        <v>169</v>
      </c>
      <c r="C40" s="498"/>
      <c r="D40" s="349"/>
      <c r="E40" s="349"/>
      <c r="F40" s="349"/>
      <c r="G40" s="349"/>
      <c r="H40" s="350">
        <f t="shared" si="1"/>
        <v>0</v>
      </c>
    </row>
    <row r="41" spans="1:8" ht="13" thickBot="1" x14ac:dyDescent="0.3">
      <c r="A41" s="252" t="s">
        <v>56</v>
      </c>
      <c r="B41" s="173" t="s">
        <v>170</v>
      </c>
      <c r="C41" s="174"/>
      <c r="D41" s="352">
        <f>SUM(D35:D40)</f>
        <v>0</v>
      </c>
      <c r="E41" s="352">
        <f>SUM(E35:E40)</f>
        <v>0</v>
      </c>
      <c r="F41" s="352">
        <f>SUM(F35:F40)</f>
        <v>0</v>
      </c>
      <c r="G41" s="352">
        <f>SUM(G35:G40)</f>
        <v>0</v>
      </c>
      <c r="H41" s="353">
        <f>SUM(H35:H40)</f>
        <v>0</v>
      </c>
    </row>
    <row r="42" spans="1:8" ht="21" customHeight="1" thickTop="1" thickBot="1" x14ac:dyDescent="0.35">
      <c r="A42" s="208" t="s">
        <v>92</v>
      </c>
      <c r="B42" s="1521" t="s">
        <v>357</v>
      </c>
      <c r="C42" s="1521"/>
      <c r="D42" s="359">
        <f>D41+D32+D19</f>
        <v>98713821</v>
      </c>
      <c r="E42" s="359">
        <f>E41+E32+E19</f>
        <v>9320542</v>
      </c>
      <c r="F42" s="359">
        <f>F41+F32+F19</f>
        <v>50554383</v>
      </c>
      <c r="G42" s="359">
        <f>G41+G32+G19</f>
        <v>20406471</v>
      </c>
      <c r="H42" s="360">
        <f>H41+H32+H19</f>
        <v>178995217</v>
      </c>
    </row>
    <row r="43" spans="1:8" ht="13.5" thickTop="1" thickBot="1" x14ac:dyDescent="0.3">
      <c r="A43" s="209"/>
      <c r="B43" s="210"/>
      <c r="C43" s="210"/>
      <c r="D43" s="210"/>
      <c r="E43" s="210"/>
      <c r="F43" s="210"/>
      <c r="G43" s="210"/>
      <c r="H43" s="211"/>
    </row>
    <row r="44" spans="1:8" x14ac:dyDescent="0.25">
      <c r="A44" s="156"/>
      <c r="B44" s="146"/>
      <c r="C44" s="146"/>
      <c r="D44" s="146"/>
      <c r="E44" s="146"/>
      <c r="F44" s="146"/>
      <c r="G44" s="146"/>
      <c r="H44" s="146"/>
    </row>
    <row r="45" spans="1:8" x14ac:dyDescent="0.25">
      <c r="A45" s="156"/>
      <c r="B45" s="146"/>
      <c r="C45" s="146"/>
      <c r="D45" s="146"/>
      <c r="E45" s="146"/>
      <c r="F45" s="146"/>
      <c r="G45" s="146"/>
      <c r="H45" s="146"/>
    </row>
    <row r="46" spans="1:8" x14ac:dyDescent="0.25">
      <c r="A46" s="156"/>
      <c r="B46" s="146"/>
      <c r="C46" s="146"/>
      <c r="D46" s="146"/>
      <c r="E46" s="146"/>
      <c r="F46" s="146"/>
      <c r="G46" s="146"/>
      <c r="H46" s="146"/>
    </row>
  </sheetData>
  <sheetProtection password="E1AE" sheet="1" formatColumns="0" formatRows="0"/>
  <mergeCells count="15">
    <mergeCell ref="B42:C42"/>
    <mergeCell ref="A12:C12"/>
    <mergeCell ref="B33:C33"/>
    <mergeCell ref="B34:C34"/>
    <mergeCell ref="B16:C16"/>
    <mergeCell ref="B21:C21"/>
    <mergeCell ref="B23:C23"/>
    <mergeCell ref="B13:C13"/>
    <mergeCell ref="B14:C14"/>
    <mergeCell ref="B15:C15"/>
    <mergeCell ref="A1:H1"/>
    <mergeCell ref="A2:H2"/>
    <mergeCell ref="A3:H3"/>
    <mergeCell ref="A4:H4"/>
    <mergeCell ref="G10:H10"/>
  </mergeCells>
  <printOptions horizontalCentered="1" verticalCentered="1"/>
  <pageMargins left="0" right="0" top="0.25" bottom="0.25" header="0.5" footer="0.25"/>
  <pageSetup scale="90" orientation="landscape" r:id="rId1"/>
  <headerFooter alignWithMargins="0">
    <oddFooter>&amp;LDSS-16 10-24-2016&amp;RPage 15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3BDD9-4E87-4B4C-9500-EB32CFB2E878}">
  <dimension ref="A1:V35"/>
  <sheetViews>
    <sheetView topLeftCell="A4" zoomScale="85" zoomScaleNormal="85" workbookViewId="0">
      <selection activeCell="V25" sqref="V25"/>
    </sheetView>
  </sheetViews>
  <sheetFormatPr defaultColWidth="9.7265625" defaultRowHeight="13" x14ac:dyDescent="0.3"/>
  <cols>
    <col min="1" max="1" width="9.7265625" style="12" customWidth="1"/>
    <col min="2" max="2" width="2.7265625" style="12" customWidth="1"/>
    <col min="3" max="3" width="9.7265625" style="12"/>
    <col min="4" max="4" width="7.54296875" style="12" customWidth="1"/>
    <col min="5" max="5" width="9.7265625" style="12"/>
    <col min="6" max="6" width="1.7265625" style="12" customWidth="1"/>
    <col min="7" max="7" width="11.26953125" style="12" customWidth="1"/>
    <col min="8" max="8" width="0.81640625" style="12" customWidth="1"/>
    <col min="9" max="9" width="5.1796875" style="12" customWidth="1"/>
    <col min="10" max="10" width="9.7265625" style="12"/>
    <col min="11" max="11" width="1.7265625" style="12" customWidth="1"/>
    <col min="12" max="12" width="10.1796875" style="12" bestFit="1" customWidth="1"/>
    <col min="13" max="13" width="12.54296875" style="12" customWidth="1"/>
    <col min="14" max="14" width="12.1796875" style="12" customWidth="1"/>
    <col min="15" max="15" width="10.81640625" style="12" customWidth="1"/>
    <col min="16" max="16384" width="9.7265625" style="12"/>
  </cols>
  <sheetData>
    <row r="1" spans="1:16" ht="13.5" x14ac:dyDescent="0.35">
      <c r="A1" s="1396" t="s">
        <v>45</v>
      </c>
      <c r="B1" s="1396"/>
      <c r="C1" s="1396"/>
      <c r="D1" s="1396"/>
      <c r="E1" s="1396"/>
      <c r="F1" s="1396"/>
      <c r="G1" s="1396"/>
      <c r="H1" s="1396"/>
      <c r="I1" s="1396"/>
      <c r="J1" s="1396"/>
      <c r="K1" s="1396"/>
      <c r="L1" s="1396"/>
      <c r="M1" s="1396"/>
      <c r="N1" s="1396"/>
      <c r="O1" s="1396"/>
      <c r="P1" s="75"/>
    </row>
    <row r="2" spans="1:16" ht="13.5" x14ac:dyDescent="0.35">
      <c r="A2" s="1396" t="s">
        <v>46</v>
      </c>
      <c r="B2" s="1396"/>
      <c r="C2" s="1396"/>
      <c r="D2" s="1396"/>
      <c r="E2" s="1396"/>
      <c r="F2" s="1396"/>
      <c r="G2" s="1396"/>
      <c r="H2" s="1396"/>
      <c r="I2" s="1396"/>
      <c r="J2" s="1396"/>
      <c r="K2" s="1396"/>
      <c r="L2" s="1396"/>
      <c r="M2" s="1396"/>
      <c r="N2" s="1396"/>
      <c r="O2" s="1396"/>
      <c r="P2" s="75"/>
    </row>
    <row r="3" spans="1:16" ht="13.5" x14ac:dyDescent="0.35">
      <c r="A3" s="1396" t="s">
        <v>47</v>
      </c>
      <c r="B3" s="1396"/>
      <c r="C3" s="1396"/>
      <c r="D3" s="1396"/>
      <c r="E3" s="1396"/>
      <c r="F3" s="1396"/>
      <c r="G3" s="1396"/>
      <c r="H3" s="1396"/>
      <c r="I3" s="1396"/>
      <c r="J3" s="1396"/>
      <c r="K3" s="1396"/>
      <c r="L3" s="1396"/>
      <c r="M3" s="1396"/>
      <c r="N3" s="1396"/>
      <c r="O3" s="1396"/>
      <c r="P3" s="75"/>
    </row>
    <row r="4" spans="1:16" ht="13.5" x14ac:dyDescent="0.35">
      <c r="A4" s="1396" t="s">
        <v>48</v>
      </c>
      <c r="B4" s="1396"/>
      <c r="C4" s="1396"/>
      <c r="D4" s="1396"/>
      <c r="E4" s="1396"/>
      <c r="F4" s="1396"/>
      <c r="G4" s="1396"/>
      <c r="H4" s="1396"/>
      <c r="I4" s="1396"/>
      <c r="J4" s="1396"/>
      <c r="K4" s="1396"/>
      <c r="L4" s="1396"/>
      <c r="M4" s="1396"/>
      <c r="N4" s="1396"/>
      <c r="O4" s="1396"/>
      <c r="P4" s="75"/>
    </row>
    <row r="5" spans="1:16" ht="14" thickBot="1" x14ac:dyDescent="0.4"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38"/>
    </row>
    <row r="6" spans="1:16" ht="27.75" customHeight="1" x14ac:dyDescent="0.3">
      <c r="A6" s="93" t="s">
        <v>54</v>
      </c>
      <c r="B6" s="77"/>
      <c r="C6" s="77"/>
      <c r="D6" s="78" t="s">
        <v>6</v>
      </c>
      <c r="E6" s="1517">
        <f>'P1 Info &amp; Certification'!L20</f>
        <v>45108</v>
      </c>
      <c r="F6" s="1517"/>
      <c r="G6" s="1517"/>
      <c r="H6" s="82"/>
      <c r="I6" s="79"/>
      <c r="J6" s="78" t="s">
        <v>7</v>
      </c>
      <c r="K6" s="77"/>
      <c r="L6" s="1517">
        <f>'P1 Info &amp; Certification'!N20</f>
        <v>45473</v>
      </c>
      <c r="M6" s="1517"/>
      <c r="N6" s="1517"/>
      <c r="O6" s="80"/>
      <c r="P6" s="439"/>
    </row>
    <row r="7" spans="1:16" x14ac:dyDescent="0.3">
      <c r="A7" s="123"/>
      <c r="B7" s="458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81"/>
      <c r="P7" s="13"/>
    </row>
    <row r="8" spans="1:16" ht="26.25" customHeight="1" x14ac:dyDescent="0.3">
      <c r="A8" s="124" t="s">
        <v>59</v>
      </c>
      <c r="B8" s="90"/>
      <c r="C8" s="90"/>
      <c r="D8" s="1535" t="str">
        <f>'P1 Info &amp; Certification'!E12</f>
        <v>COMMUNITY HEALTH CENTER, INC.</v>
      </c>
      <c r="E8" s="1535"/>
      <c r="F8" s="1535"/>
      <c r="G8" s="1535"/>
      <c r="H8" s="1535"/>
      <c r="I8" s="1535"/>
      <c r="J8" s="1535"/>
      <c r="K8" s="1535"/>
      <c r="L8" s="1535"/>
      <c r="M8" s="1535"/>
      <c r="N8" s="1535"/>
      <c r="O8" s="1536"/>
    </row>
    <row r="9" spans="1:16" ht="16" customHeight="1" thickBot="1" x14ac:dyDescent="0.35">
      <c r="A9" s="1537"/>
      <c r="B9" s="1538"/>
      <c r="C9" s="1538"/>
      <c r="D9" s="1538"/>
      <c r="E9" s="1538"/>
      <c r="F9" s="1538"/>
      <c r="G9" s="1538"/>
      <c r="H9" s="1538"/>
      <c r="I9" s="1538"/>
      <c r="J9" s="1538"/>
      <c r="K9" s="1538"/>
      <c r="L9" s="1538"/>
      <c r="M9" s="1538"/>
      <c r="N9" s="1538"/>
      <c r="O9" s="1539"/>
      <c r="P9" s="13"/>
    </row>
    <row r="10" spans="1:16" ht="15.5" x14ac:dyDescent="0.35">
      <c r="A10" s="47"/>
      <c r="B10" s="4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456" t="s">
        <v>246</v>
      </c>
      <c r="P10" s="13"/>
    </row>
    <row r="11" spans="1:16" ht="14.5" thickBot="1" x14ac:dyDescent="0.35">
      <c r="A11" s="157"/>
      <c r="B11" s="4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s="15" customFormat="1" ht="30.75" customHeight="1" thickBot="1" x14ac:dyDescent="0.35">
      <c r="A12" s="1540" t="s">
        <v>247</v>
      </c>
      <c r="B12" s="1541"/>
      <c r="C12" s="1541"/>
      <c r="D12" s="1541"/>
      <c r="E12" s="1541"/>
      <c r="F12" s="1541"/>
      <c r="G12" s="1541"/>
      <c r="H12" s="1541"/>
      <c r="I12" s="1541"/>
      <c r="J12" s="1541"/>
      <c r="K12" s="1541"/>
      <c r="L12" s="1541"/>
      <c r="M12" s="1541"/>
      <c r="N12" s="1542"/>
      <c r="O12" s="1530"/>
      <c r="P12" s="158"/>
    </row>
    <row r="13" spans="1:16" s="15" customFormat="1" ht="39" customHeight="1" thickBot="1" x14ac:dyDescent="0.35">
      <c r="A13" s="175" t="s">
        <v>83</v>
      </c>
      <c r="B13" s="459"/>
      <c r="C13" s="1527" t="s">
        <v>165</v>
      </c>
      <c r="D13" s="1527"/>
      <c r="E13" s="1527"/>
      <c r="F13" s="1527"/>
      <c r="G13" s="1527"/>
      <c r="H13" s="1527"/>
      <c r="I13" s="1527"/>
      <c r="J13" s="1527"/>
      <c r="K13" s="1528"/>
      <c r="L13" s="1529" t="s">
        <v>171</v>
      </c>
      <c r="M13" s="1530"/>
      <c r="N13" s="1532"/>
      <c r="O13" s="1533"/>
      <c r="P13" s="158"/>
    </row>
    <row r="14" spans="1:16" ht="21.75" customHeight="1" x14ac:dyDescent="0.3">
      <c r="A14" s="499"/>
      <c r="B14" s="500" t="s">
        <v>49</v>
      </c>
      <c r="C14" s="1524" t="s">
        <v>172</v>
      </c>
      <c r="D14" s="1524"/>
      <c r="E14" s="1524"/>
      <c r="F14" s="1524"/>
      <c r="G14" s="1524"/>
      <c r="H14" s="1524"/>
      <c r="I14" s="1524"/>
      <c r="J14" s="1524"/>
      <c r="K14" s="1524"/>
      <c r="L14" s="1534"/>
      <c r="M14" s="1534"/>
      <c r="N14" s="1525"/>
      <c r="O14" s="1526"/>
      <c r="P14" s="13"/>
    </row>
    <row r="15" spans="1:16" ht="21.75" customHeight="1" x14ac:dyDescent="0.3">
      <c r="A15" s="499"/>
      <c r="B15" s="500" t="s">
        <v>50</v>
      </c>
      <c r="C15" s="1524" t="s">
        <v>24</v>
      </c>
      <c r="D15" s="1524"/>
      <c r="E15" s="1524"/>
      <c r="F15" s="1524"/>
      <c r="G15" s="1524"/>
      <c r="H15" s="1524"/>
      <c r="I15" s="1524"/>
      <c r="J15" s="1524"/>
      <c r="K15" s="1524"/>
      <c r="L15" s="1534"/>
      <c r="M15" s="1534"/>
      <c r="N15" s="1525"/>
      <c r="O15" s="1526"/>
      <c r="P15" s="13"/>
    </row>
    <row r="16" spans="1:16" ht="21.75" customHeight="1" x14ac:dyDescent="0.3">
      <c r="A16" s="499"/>
      <c r="B16" s="500" t="s">
        <v>82</v>
      </c>
      <c r="C16" s="1524" t="s">
        <v>43</v>
      </c>
      <c r="D16" s="1524"/>
      <c r="E16" s="1524"/>
      <c r="F16" s="1524"/>
      <c r="G16" s="1524"/>
      <c r="H16" s="1524"/>
      <c r="I16" s="1524"/>
      <c r="J16" s="1524"/>
      <c r="K16" s="1524"/>
      <c r="L16" s="1534"/>
      <c r="M16" s="1534"/>
      <c r="N16" s="1525"/>
      <c r="O16" s="1526"/>
      <c r="P16" s="13"/>
    </row>
    <row r="17" spans="1:22" ht="21.75" customHeight="1" x14ac:dyDescent="0.3">
      <c r="A17" s="499"/>
      <c r="B17" s="500" t="s">
        <v>51</v>
      </c>
      <c r="C17" s="1524" t="s">
        <v>169</v>
      </c>
      <c r="D17" s="1524"/>
      <c r="E17" s="1531"/>
      <c r="F17" s="1531"/>
      <c r="G17" s="1531"/>
      <c r="H17" s="1531"/>
      <c r="I17" s="1531"/>
      <c r="J17" s="1531"/>
      <c r="K17" s="501"/>
      <c r="L17" s="1534"/>
      <c r="M17" s="1534"/>
      <c r="N17" s="1525"/>
      <c r="O17" s="1526"/>
      <c r="P17" s="13"/>
    </row>
    <row r="18" spans="1:22" ht="21.75" customHeight="1" x14ac:dyDescent="0.3">
      <c r="A18" s="499"/>
      <c r="B18" s="502"/>
      <c r="C18" s="1524" t="s">
        <v>169</v>
      </c>
      <c r="D18" s="1524"/>
      <c r="E18" s="1531"/>
      <c r="F18" s="1531"/>
      <c r="G18" s="1531"/>
      <c r="H18" s="1531"/>
      <c r="I18" s="1531"/>
      <c r="J18" s="1531"/>
      <c r="K18" s="501"/>
      <c r="L18" s="1534"/>
      <c r="M18" s="1534"/>
      <c r="N18" s="1525"/>
      <c r="O18" s="1526"/>
      <c r="P18" s="13"/>
    </row>
    <row r="19" spans="1:22" ht="21.75" customHeight="1" x14ac:dyDescent="0.3">
      <c r="A19" s="499"/>
      <c r="B19" s="503"/>
      <c r="C19" s="1524" t="s">
        <v>169</v>
      </c>
      <c r="D19" s="1524"/>
      <c r="E19" s="1531"/>
      <c r="F19" s="1531"/>
      <c r="G19" s="1531"/>
      <c r="H19" s="1531"/>
      <c r="I19" s="1531"/>
      <c r="J19" s="1531"/>
      <c r="K19" s="501"/>
      <c r="L19" s="1534"/>
      <c r="M19" s="1534"/>
      <c r="N19" s="1525"/>
      <c r="O19" s="1526"/>
      <c r="P19" s="13"/>
    </row>
    <row r="20" spans="1:22" ht="21.75" customHeight="1" x14ac:dyDescent="0.3">
      <c r="A20" s="499"/>
      <c r="B20" s="503"/>
      <c r="C20" s="1524" t="s">
        <v>169</v>
      </c>
      <c r="D20" s="1524"/>
      <c r="E20" s="1550"/>
      <c r="F20" s="1550"/>
      <c r="G20" s="1550"/>
      <c r="H20" s="1550"/>
      <c r="I20" s="1550"/>
      <c r="J20" s="1550"/>
      <c r="K20" s="501"/>
      <c r="L20" s="1548"/>
      <c r="M20" s="1549"/>
      <c r="N20" s="1526"/>
      <c r="O20" s="1547"/>
      <c r="P20" s="13"/>
    </row>
    <row r="21" spans="1:22" ht="21.75" customHeight="1" x14ac:dyDescent="0.3">
      <c r="A21" s="499"/>
      <c r="B21" s="503"/>
      <c r="C21" s="1524" t="s">
        <v>169</v>
      </c>
      <c r="D21" s="1524"/>
      <c r="E21" s="1531"/>
      <c r="F21" s="1531"/>
      <c r="G21" s="1531"/>
      <c r="H21" s="1531"/>
      <c r="I21" s="1531"/>
      <c r="J21" s="1531"/>
      <c r="K21" s="501"/>
      <c r="L21" s="1534"/>
      <c r="M21" s="1534"/>
      <c r="N21" s="1525"/>
      <c r="O21" s="1526"/>
      <c r="P21" s="13"/>
    </row>
    <row r="22" spans="1:22" ht="21.75" customHeight="1" thickBot="1" x14ac:dyDescent="0.35">
      <c r="A22" s="177"/>
      <c r="B22" s="163" t="s">
        <v>156</v>
      </c>
      <c r="C22" s="1417" t="s">
        <v>173</v>
      </c>
      <c r="D22" s="1417"/>
      <c r="E22" s="1417"/>
      <c r="F22" s="1417"/>
      <c r="G22" s="1417"/>
      <c r="H22" s="1417"/>
      <c r="I22" s="1417"/>
      <c r="J22" s="1417"/>
      <c r="K22" s="1417"/>
      <c r="L22" s="1544">
        <f>SUM(L14:M21)</f>
        <v>0</v>
      </c>
      <c r="M22" s="1544"/>
      <c r="N22" s="1545"/>
      <c r="O22" s="1546"/>
      <c r="P22" s="13"/>
      <c r="T22" s="1424"/>
      <c r="U22" s="1424"/>
      <c r="V22" s="1424"/>
    </row>
    <row r="23" spans="1:22" ht="21.75" customHeight="1" thickTop="1" thickBot="1" x14ac:dyDescent="0.35">
      <c r="A23" s="177"/>
      <c r="B23" s="457"/>
      <c r="C23" s="1417"/>
      <c r="D23" s="1417"/>
      <c r="E23" s="1417"/>
      <c r="F23" s="1417"/>
      <c r="G23" s="1417"/>
      <c r="H23" s="1417"/>
      <c r="I23" s="1417"/>
      <c r="J23" s="1417"/>
      <c r="K23" s="1417"/>
      <c r="L23" s="1543"/>
      <c r="M23" s="1543"/>
      <c r="N23" s="1543"/>
      <c r="O23" s="1543"/>
      <c r="P23" s="13"/>
    </row>
    <row r="24" spans="1:22" ht="21.75" customHeight="1" thickBot="1" x14ac:dyDescent="0.35">
      <c r="A24" s="175" t="s">
        <v>84</v>
      </c>
      <c r="B24" s="459"/>
      <c r="C24" s="1527" t="s">
        <v>174</v>
      </c>
      <c r="D24" s="1527"/>
      <c r="E24" s="1527"/>
      <c r="F24" s="1527"/>
      <c r="G24" s="1527"/>
      <c r="H24" s="1527"/>
      <c r="I24" s="1527"/>
      <c r="J24" s="1527"/>
      <c r="K24" s="1528"/>
      <c r="L24" s="1543"/>
      <c r="M24" s="1543"/>
      <c r="N24" s="1543"/>
      <c r="O24" s="1543"/>
      <c r="P24" s="13"/>
    </row>
    <row r="25" spans="1:22" ht="18" customHeight="1" x14ac:dyDescent="0.3">
      <c r="A25" s="499"/>
      <c r="B25" s="500" t="s">
        <v>49</v>
      </c>
      <c r="C25" s="1524" t="s">
        <v>172</v>
      </c>
      <c r="D25" s="1524"/>
      <c r="E25" s="1524"/>
      <c r="F25" s="1524"/>
      <c r="G25" s="1524"/>
      <c r="H25" s="1524"/>
      <c r="I25" s="1524"/>
      <c r="J25" s="1524"/>
      <c r="K25" s="1524"/>
      <c r="L25" s="1534"/>
      <c r="M25" s="1534"/>
      <c r="N25" s="1525"/>
      <c r="O25" s="1526"/>
      <c r="P25" s="13"/>
    </row>
    <row r="26" spans="1:22" ht="18" customHeight="1" x14ac:dyDescent="0.3">
      <c r="A26" s="504"/>
      <c r="B26" s="500" t="s">
        <v>50</v>
      </c>
      <c r="C26" s="1524" t="s">
        <v>24</v>
      </c>
      <c r="D26" s="1524"/>
      <c r="E26" s="1524"/>
      <c r="F26" s="1524"/>
      <c r="G26" s="1524"/>
      <c r="H26" s="1524"/>
      <c r="I26" s="1524"/>
      <c r="J26" s="1524"/>
      <c r="K26" s="1524"/>
      <c r="L26" s="1534"/>
      <c r="M26" s="1534"/>
      <c r="N26" s="1525"/>
      <c r="O26" s="1526"/>
      <c r="P26" s="13"/>
    </row>
    <row r="27" spans="1:22" ht="18" customHeight="1" x14ac:dyDescent="0.3">
      <c r="A27" s="179"/>
      <c r="B27" s="500" t="s">
        <v>82</v>
      </c>
      <c r="C27" s="1524" t="s">
        <v>43</v>
      </c>
      <c r="D27" s="1524"/>
      <c r="E27" s="1524"/>
      <c r="F27" s="1524"/>
      <c r="G27" s="1524"/>
      <c r="H27" s="1524"/>
      <c r="I27" s="1524"/>
      <c r="J27" s="1524"/>
      <c r="K27" s="1524"/>
      <c r="L27" s="1534"/>
      <c r="M27" s="1534"/>
      <c r="N27" s="1525"/>
      <c r="O27" s="1526"/>
      <c r="P27" s="13"/>
    </row>
    <row r="28" spans="1:22" ht="18" customHeight="1" x14ac:dyDescent="0.3">
      <c r="A28" s="505"/>
      <c r="B28" s="500" t="s">
        <v>51</v>
      </c>
      <c r="C28" s="1524" t="s">
        <v>169</v>
      </c>
      <c r="D28" s="1524"/>
      <c r="E28" s="1531"/>
      <c r="F28" s="1531"/>
      <c r="G28" s="1531"/>
      <c r="H28" s="1531"/>
      <c r="I28" s="1531"/>
      <c r="J28" s="1531"/>
      <c r="K28" s="501"/>
      <c r="L28" s="1534"/>
      <c r="M28" s="1534"/>
      <c r="N28" s="1525"/>
      <c r="O28" s="1526"/>
      <c r="P28" s="13"/>
    </row>
    <row r="29" spans="1:22" s="15" customFormat="1" ht="19.5" customHeight="1" x14ac:dyDescent="0.3">
      <c r="A29" s="499"/>
      <c r="B29" s="502"/>
      <c r="C29" s="1524" t="s">
        <v>169</v>
      </c>
      <c r="D29" s="1524"/>
      <c r="E29" s="1531"/>
      <c r="F29" s="1531"/>
      <c r="G29" s="1531"/>
      <c r="H29" s="1531"/>
      <c r="I29" s="1531"/>
      <c r="J29" s="1531"/>
      <c r="K29" s="501"/>
      <c r="L29" s="1534"/>
      <c r="M29" s="1534"/>
      <c r="N29" s="1525"/>
      <c r="O29" s="1526"/>
      <c r="P29" s="158"/>
    </row>
    <row r="30" spans="1:22" ht="17.25" customHeight="1" x14ac:dyDescent="0.3">
      <c r="A30" s="499"/>
      <c r="B30" s="503"/>
      <c r="C30" s="1524" t="s">
        <v>169</v>
      </c>
      <c r="D30" s="1524"/>
      <c r="E30" s="1550"/>
      <c r="F30" s="1550"/>
      <c r="G30" s="1550"/>
      <c r="H30" s="1550"/>
      <c r="I30" s="1550"/>
      <c r="J30" s="1550"/>
      <c r="K30" s="501"/>
      <c r="L30" s="1548"/>
      <c r="M30" s="1549"/>
      <c r="N30" s="1526"/>
      <c r="O30" s="1547"/>
      <c r="P30" s="13"/>
    </row>
    <row r="31" spans="1:22" ht="17.25" customHeight="1" x14ac:dyDescent="0.3">
      <c r="A31" s="504"/>
      <c r="B31" s="503"/>
      <c r="C31" s="1524" t="s">
        <v>169</v>
      </c>
      <c r="D31" s="1524"/>
      <c r="E31" s="1531"/>
      <c r="F31" s="1531"/>
      <c r="G31" s="1531"/>
      <c r="H31" s="1531"/>
      <c r="I31" s="1531"/>
      <c r="J31" s="1531"/>
      <c r="K31" s="501"/>
      <c r="L31" s="1534"/>
      <c r="M31" s="1534"/>
      <c r="N31" s="1525"/>
      <c r="O31" s="1526"/>
      <c r="P31" s="13"/>
    </row>
    <row r="32" spans="1:22" ht="17.25" customHeight="1" x14ac:dyDescent="0.3">
      <c r="A32" s="179"/>
      <c r="B32" s="503"/>
      <c r="C32" s="1524" t="s">
        <v>169</v>
      </c>
      <c r="D32" s="1524"/>
      <c r="E32" s="1531"/>
      <c r="F32" s="1531"/>
      <c r="G32" s="1531"/>
      <c r="H32" s="1531"/>
      <c r="I32" s="1531"/>
      <c r="J32" s="1531"/>
      <c r="K32" s="501"/>
      <c r="L32" s="1534"/>
      <c r="M32" s="1534"/>
      <c r="N32" s="1525"/>
      <c r="O32" s="1526"/>
      <c r="P32" s="13"/>
    </row>
    <row r="33" spans="1:16" ht="28.5" customHeight="1" thickBot="1" x14ac:dyDescent="0.35">
      <c r="A33" s="177"/>
      <c r="B33" s="163" t="s">
        <v>156</v>
      </c>
      <c r="C33" s="1417" t="s">
        <v>173</v>
      </c>
      <c r="D33" s="1417"/>
      <c r="E33" s="1417"/>
      <c r="F33" s="1417"/>
      <c r="G33" s="1417"/>
      <c r="H33" s="1417"/>
      <c r="I33" s="1417"/>
      <c r="J33" s="1417"/>
      <c r="K33" s="1417"/>
      <c r="L33" s="1544">
        <f>SUM(L25:M32)</f>
        <v>0</v>
      </c>
      <c r="M33" s="1544"/>
      <c r="N33" s="1545"/>
      <c r="O33" s="1546"/>
      <c r="P33" s="13"/>
    </row>
    <row r="34" spans="1:16" ht="13.5" thickTop="1" x14ac:dyDescent="0.3">
      <c r="A34" s="8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81"/>
    </row>
    <row r="35" spans="1:16" ht="13.5" thickBot="1" x14ac:dyDescent="0.35">
      <c r="A35" s="181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3"/>
    </row>
  </sheetData>
  <sheetProtection password="E1AE" sheet="1"/>
  <mergeCells count="83">
    <mergeCell ref="N32:O32"/>
    <mergeCell ref="L33:M33"/>
    <mergeCell ref="N33:O33"/>
    <mergeCell ref="E20:J20"/>
    <mergeCell ref="E21:J21"/>
    <mergeCell ref="C25:K25"/>
    <mergeCell ref="C26:K26"/>
    <mergeCell ref="C27:K27"/>
    <mergeCell ref="C28:D28"/>
    <mergeCell ref="E28:J28"/>
    <mergeCell ref="L28:M28"/>
    <mergeCell ref="N28:O28"/>
    <mergeCell ref="L29:M29"/>
    <mergeCell ref="N29:O29"/>
    <mergeCell ref="N24:O24"/>
    <mergeCell ref="L25:M25"/>
    <mergeCell ref="N25:O25"/>
    <mergeCell ref="L26:M26"/>
    <mergeCell ref="N26:O26"/>
    <mergeCell ref="L27:M27"/>
    <mergeCell ref="N18:O18"/>
    <mergeCell ref="L16:M16"/>
    <mergeCell ref="N16:O16"/>
    <mergeCell ref="L19:M19"/>
    <mergeCell ref="N19:O19"/>
    <mergeCell ref="N27:O27"/>
    <mergeCell ref="L20:M20"/>
    <mergeCell ref="N20:O20"/>
    <mergeCell ref="L21:M21"/>
    <mergeCell ref="N21:O21"/>
    <mergeCell ref="C29:D29"/>
    <mergeCell ref="E29:J29"/>
    <mergeCell ref="C30:D30"/>
    <mergeCell ref="E30:J30"/>
    <mergeCell ref="C22:K22"/>
    <mergeCell ref="C19:D19"/>
    <mergeCell ref="C20:D20"/>
    <mergeCell ref="C21:D21"/>
    <mergeCell ref="E19:J19"/>
    <mergeCell ref="C31:D31"/>
    <mergeCell ref="E31:J31"/>
    <mergeCell ref="C32:D32"/>
    <mergeCell ref="E32:J32"/>
    <mergeCell ref="C33:K33"/>
    <mergeCell ref="N30:O30"/>
    <mergeCell ref="L30:M30"/>
    <mergeCell ref="L31:M31"/>
    <mergeCell ref="N31:O31"/>
    <mergeCell ref="L32:M32"/>
    <mergeCell ref="T22:V22"/>
    <mergeCell ref="C23:K23"/>
    <mergeCell ref="C24:K24"/>
    <mergeCell ref="L23:M23"/>
    <mergeCell ref="N23:O23"/>
    <mergeCell ref="L24:M24"/>
    <mergeCell ref="L22:M22"/>
    <mergeCell ref="N22:O22"/>
    <mergeCell ref="D8:O8"/>
    <mergeCell ref="A9:O9"/>
    <mergeCell ref="A12:O12"/>
    <mergeCell ref="C14:K14"/>
    <mergeCell ref="C15:K15"/>
    <mergeCell ref="L15:M15"/>
    <mergeCell ref="C17:D17"/>
    <mergeCell ref="E17:J17"/>
    <mergeCell ref="N13:O13"/>
    <mergeCell ref="L14:M14"/>
    <mergeCell ref="N14:O14"/>
    <mergeCell ref="C18:D18"/>
    <mergeCell ref="E18:J18"/>
    <mergeCell ref="L17:M17"/>
    <mergeCell ref="N17:O17"/>
    <mergeCell ref="L18:M18"/>
    <mergeCell ref="A1:O1"/>
    <mergeCell ref="A2:O2"/>
    <mergeCell ref="A3:O3"/>
    <mergeCell ref="A4:O4"/>
    <mergeCell ref="E6:G6"/>
    <mergeCell ref="C16:K16"/>
    <mergeCell ref="N15:O15"/>
    <mergeCell ref="L6:N6"/>
    <mergeCell ref="C13:K13"/>
    <mergeCell ref="L13:M13"/>
  </mergeCells>
  <printOptions horizontalCentered="1" verticalCentered="1"/>
  <pageMargins left="0.25" right="0.25" top="0.5" bottom="0" header="0.5" footer="0.25"/>
  <pageSetup scale="90" orientation="portrait" r:id="rId1"/>
  <headerFooter alignWithMargins="0">
    <oddFooter xml:space="preserve">&amp;LDSS-16 10-24-2016&amp;RPage16  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621F9-E845-4D97-ACF0-98713CE6D8EA}">
  <dimension ref="A1:V42"/>
  <sheetViews>
    <sheetView zoomScaleNormal="100" workbookViewId="0">
      <selection activeCell="R15" sqref="R15"/>
    </sheetView>
  </sheetViews>
  <sheetFormatPr defaultColWidth="9.7265625" defaultRowHeight="13" x14ac:dyDescent="0.3"/>
  <cols>
    <col min="1" max="1" width="7.54296875" style="12" customWidth="1"/>
    <col min="2" max="2" width="4.453125" style="12" customWidth="1"/>
    <col min="3" max="3" width="9.7265625" style="12"/>
    <col min="4" max="4" width="7.54296875" style="12" customWidth="1"/>
    <col min="5" max="5" width="9.7265625" style="12"/>
    <col min="6" max="6" width="1.7265625" style="12" customWidth="1"/>
    <col min="7" max="7" width="11.26953125" style="12" customWidth="1"/>
    <col min="8" max="8" width="0.81640625" style="12" customWidth="1"/>
    <col min="9" max="9" width="5.1796875" style="12" customWidth="1"/>
    <col min="10" max="10" width="9.7265625" style="12"/>
    <col min="11" max="11" width="1.7265625" style="12" customWidth="1"/>
    <col min="12" max="12" width="10.1796875" style="12" bestFit="1" customWidth="1"/>
    <col min="13" max="13" width="12.54296875" style="12" customWidth="1"/>
    <col min="14" max="14" width="12.1796875" style="12" customWidth="1"/>
    <col min="15" max="15" width="10.81640625" style="12" customWidth="1"/>
    <col min="16" max="16384" width="9.7265625" style="12"/>
  </cols>
  <sheetData>
    <row r="1" spans="1:16" ht="13.5" x14ac:dyDescent="0.35">
      <c r="A1" s="1396" t="s">
        <v>45</v>
      </c>
      <c r="B1" s="1396"/>
      <c r="C1" s="1396"/>
      <c r="D1" s="1396"/>
      <c r="E1" s="1396"/>
      <c r="F1" s="1396"/>
      <c r="G1" s="1396"/>
      <c r="H1" s="1396"/>
      <c r="I1" s="1396"/>
      <c r="J1" s="1396"/>
      <c r="K1" s="1396"/>
      <c r="L1" s="1396"/>
      <c r="M1" s="1396"/>
      <c r="N1" s="1396"/>
      <c r="O1" s="1396"/>
      <c r="P1" s="75"/>
    </row>
    <row r="2" spans="1:16" ht="13.5" x14ac:dyDescent="0.35">
      <c r="A2" s="1396" t="s">
        <v>46</v>
      </c>
      <c r="B2" s="1396"/>
      <c r="C2" s="1396"/>
      <c r="D2" s="1396"/>
      <c r="E2" s="1396"/>
      <c r="F2" s="1396"/>
      <c r="G2" s="1396"/>
      <c r="H2" s="1396"/>
      <c r="I2" s="1396"/>
      <c r="J2" s="1396"/>
      <c r="K2" s="1396"/>
      <c r="L2" s="1396"/>
      <c r="M2" s="1396"/>
      <c r="N2" s="1396"/>
      <c r="O2" s="1396"/>
      <c r="P2" s="75"/>
    </row>
    <row r="3" spans="1:16" ht="13.5" x14ac:dyDescent="0.35">
      <c r="A3" s="1396" t="s">
        <v>47</v>
      </c>
      <c r="B3" s="1396"/>
      <c r="C3" s="1396"/>
      <c r="D3" s="1396"/>
      <c r="E3" s="1396"/>
      <c r="F3" s="1396"/>
      <c r="G3" s="1396"/>
      <c r="H3" s="1396"/>
      <c r="I3" s="1396"/>
      <c r="J3" s="1396"/>
      <c r="K3" s="1396"/>
      <c r="L3" s="1396"/>
      <c r="M3" s="1396"/>
      <c r="N3" s="1396"/>
      <c r="O3" s="1396"/>
      <c r="P3" s="75"/>
    </row>
    <row r="4" spans="1:16" ht="13.5" x14ac:dyDescent="0.35">
      <c r="A4" s="1396" t="s">
        <v>48</v>
      </c>
      <c r="B4" s="1396"/>
      <c r="C4" s="1396"/>
      <c r="D4" s="1396"/>
      <c r="E4" s="1396"/>
      <c r="F4" s="1396"/>
      <c r="G4" s="1396"/>
      <c r="H4" s="1396"/>
      <c r="I4" s="1396"/>
      <c r="J4" s="1396"/>
      <c r="K4" s="1396"/>
      <c r="L4" s="1396"/>
      <c r="M4" s="1396"/>
      <c r="N4" s="1396"/>
      <c r="O4" s="1396"/>
      <c r="P4" s="75"/>
    </row>
    <row r="5" spans="1:16" ht="14" thickBot="1" x14ac:dyDescent="0.4"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85"/>
    </row>
    <row r="6" spans="1:16" ht="27.75" customHeight="1" x14ac:dyDescent="0.3">
      <c r="A6" s="93" t="s">
        <v>54</v>
      </c>
      <c r="B6" s="77"/>
      <c r="C6" s="77"/>
      <c r="D6" s="78" t="s">
        <v>6</v>
      </c>
      <c r="E6" s="1517">
        <f>'P1 Info &amp; Certification'!L20</f>
        <v>45108</v>
      </c>
      <c r="F6" s="1517"/>
      <c r="G6" s="1517"/>
      <c r="H6" s="82"/>
      <c r="I6" s="79"/>
      <c r="J6" s="78" t="s">
        <v>7</v>
      </c>
      <c r="K6" s="77"/>
      <c r="L6" s="1517">
        <f>'P1 Info &amp; Certification'!N20</f>
        <v>45473</v>
      </c>
      <c r="M6" s="1517"/>
      <c r="N6" s="1517"/>
      <c r="O6" s="80"/>
      <c r="P6" s="32"/>
    </row>
    <row r="7" spans="1:16" x14ac:dyDescent="0.3">
      <c r="A7" s="123"/>
      <c r="B7" s="458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81"/>
      <c r="P7" s="13"/>
    </row>
    <row r="8" spans="1:16" ht="21" customHeight="1" x14ac:dyDescent="0.3">
      <c r="A8" s="124" t="s">
        <v>59</v>
      </c>
      <c r="B8" s="90"/>
      <c r="C8" s="90"/>
      <c r="D8" s="1535" t="str">
        <f>'P1 Info &amp; Certification'!E12</f>
        <v>COMMUNITY HEALTH CENTER, INC.</v>
      </c>
      <c r="E8" s="1535"/>
      <c r="F8" s="1535"/>
      <c r="G8" s="1535"/>
      <c r="H8" s="1535"/>
      <c r="I8" s="1535"/>
      <c r="J8" s="1535"/>
      <c r="K8" s="1535"/>
      <c r="L8" s="1535"/>
      <c r="M8" s="1535"/>
      <c r="N8" s="1535"/>
      <c r="O8" s="1536"/>
    </row>
    <row r="9" spans="1:16" ht="8.25" customHeight="1" thickBot="1" x14ac:dyDescent="0.35">
      <c r="A9" s="1537"/>
      <c r="B9" s="1538"/>
      <c r="C9" s="1538"/>
      <c r="D9" s="1538"/>
      <c r="E9" s="1538"/>
      <c r="F9" s="1538"/>
      <c r="G9" s="1538"/>
      <c r="H9" s="1538"/>
      <c r="I9" s="1538"/>
      <c r="J9" s="1538"/>
      <c r="K9" s="1538"/>
      <c r="L9" s="1538"/>
      <c r="M9" s="1538"/>
      <c r="N9" s="1538"/>
      <c r="O9" s="1539"/>
      <c r="P9" s="13"/>
    </row>
    <row r="10" spans="1:16" ht="15.5" x14ac:dyDescent="0.35">
      <c r="A10" s="47"/>
      <c r="B10" s="4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456" t="s">
        <v>248</v>
      </c>
      <c r="P10" s="13"/>
    </row>
    <row r="11" spans="1:16" ht="14.5" thickBot="1" x14ac:dyDescent="0.35">
      <c r="A11" s="157"/>
      <c r="B11" s="4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s="15" customFormat="1" ht="30.75" customHeight="1" thickBot="1" x14ac:dyDescent="0.35">
      <c r="A12" s="1428" t="s">
        <v>175</v>
      </c>
      <c r="B12" s="1429"/>
      <c r="C12" s="1429"/>
      <c r="D12" s="1429"/>
      <c r="E12" s="1429"/>
      <c r="F12" s="1429"/>
      <c r="G12" s="1429"/>
      <c r="H12" s="1429"/>
      <c r="I12" s="1429"/>
      <c r="J12" s="1429"/>
      <c r="K12" s="1429"/>
      <c r="L12" s="1429"/>
      <c r="M12" s="1429"/>
      <c r="N12" s="1429"/>
      <c r="O12" s="1430"/>
      <c r="P12" s="158"/>
    </row>
    <row r="13" spans="1:16" s="15" customFormat="1" ht="16.5" customHeight="1" thickBot="1" x14ac:dyDescent="0.35">
      <c r="A13" s="184" t="s">
        <v>83</v>
      </c>
      <c r="B13" s="1553" t="s">
        <v>201</v>
      </c>
      <c r="C13" s="1527"/>
      <c r="D13" s="1527"/>
      <c r="E13" s="1527"/>
      <c r="F13" s="1527"/>
      <c r="G13" s="1527"/>
      <c r="H13" s="1527"/>
      <c r="I13" s="1527"/>
      <c r="J13" s="1527"/>
      <c r="K13" s="1528"/>
      <c r="L13" s="1551"/>
      <c r="M13" s="1551"/>
      <c r="N13" s="1543"/>
      <c r="O13" s="1552"/>
      <c r="P13" s="158"/>
    </row>
    <row r="14" spans="1:16" ht="21.75" customHeight="1" x14ac:dyDescent="0.3">
      <c r="A14" s="187"/>
      <c r="B14" s="163" t="s">
        <v>49</v>
      </c>
      <c r="C14" s="1417" t="s">
        <v>176</v>
      </c>
      <c r="D14" s="1417"/>
      <c r="E14" s="1417"/>
      <c r="F14" s="1417"/>
      <c r="G14" s="1417"/>
      <c r="H14" s="1417"/>
      <c r="I14" s="1417"/>
      <c r="J14" s="1417"/>
      <c r="K14" s="1417"/>
      <c r="L14" s="1534"/>
      <c r="M14" s="1534"/>
      <c r="N14" s="1554"/>
      <c r="O14" s="1555"/>
      <c r="P14" s="13"/>
    </row>
    <row r="15" spans="1:16" ht="21.75" customHeight="1" x14ac:dyDescent="0.3">
      <c r="A15" s="177"/>
      <c r="B15" s="163" t="s">
        <v>50</v>
      </c>
      <c r="C15" s="1417" t="s">
        <v>177</v>
      </c>
      <c r="D15" s="1417"/>
      <c r="E15" s="1417"/>
      <c r="F15" s="1417"/>
      <c r="G15" s="1417"/>
      <c r="H15" s="1417"/>
      <c r="I15" s="1417"/>
      <c r="J15" s="1417"/>
      <c r="K15" s="1417"/>
      <c r="L15" s="1534"/>
      <c r="M15" s="1534"/>
      <c r="N15" s="1554"/>
      <c r="O15" s="1555"/>
      <c r="P15" s="13"/>
    </row>
    <row r="16" spans="1:16" ht="21.75" customHeight="1" x14ac:dyDescent="0.3">
      <c r="A16" s="177"/>
      <c r="B16" s="163" t="s">
        <v>82</v>
      </c>
      <c r="C16" s="1417" t="s">
        <v>178</v>
      </c>
      <c r="D16" s="1417"/>
      <c r="E16" s="1417"/>
      <c r="F16" s="1417"/>
      <c r="G16" s="1417"/>
      <c r="H16" s="1417"/>
      <c r="I16" s="1417"/>
      <c r="J16" s="1417"/>
      <c r="K16" s="176"/>
      <c r="L16" s="1534"/>
      <c r="M16" s="1534"/>
      <c r="N16" s="1554"/>
      <c r="O16" s="1555"/>
      <c r="P16" s="13"/>
    </row>
    <row r="17" spans="1:22" ht="21.75" customHeight="1" x14ac:dyDescent="0.3">
      <c r="A17" s="177"/>
      <c r="B17" s="163" t="s">
        <v>51</v>
      </c>
      <c r="C17" s="1417" t="s">
        <v>249</v>
      </c>
      <c r="D17" s="1417"/>
      <c r="E17" s="1417"/>
      <c r="F17" s="1417"/>
      <c r="G17" s="1417"/>
      <c r="H17" s="1417"/>
      <c r="I17" s="1417"/>
      <c r="J17" s="1417"/>
      <c r="K17" s="176"/>
      <c r="L17" s="1534"/>
      <c r="M17" s="1534"/>
      <c r="N17" s="1554"/>
      <c r="O17" s="1555"/>
      <c r="P17" s="13"/>
    </row>
    <row r="18" spans="1:22" ht="21.75" customHeight="1" x14ac:dyDescent="0.3">
      <c r="A18" s="177"/>
      <c r="B18" s="163" t="s">
        <v>156</v>
      </c>
      <c r="C18" s="1417" t="s">
        <v>184</v>
      </c>
      <c r="D18" s="1417"/>
      <c r="E18" s="1417"/>
      <c r="F18" s="1417"/>
      <c r="G18" s="1417"/>
      <c r="H18" s="1417"/>
      <c r="I18" s="1417"/>
      <c r="J18" s="1417"/>
      <c r="K18" s="176"/>
      <c r="L18" s="1534"/>
      <c r="M18" s="1534"/>
      <c r="N18" s="1554"/>
      <c r="O18" s="1555"/>
      <c r="P18" s="13"/>
    </row>
    <row r="19" spans="1:22" ht="21.75" customHeight="1" x14ac:dyDescent="0.3">
      <c r="A19" s="177"/>
      <c r="B19" s="163" t="s">
        <v>55</v>
      </c>
      <c r="C19" s="1417" t="s">
        <v>185</v>
      </c>
      <c r="D19" s="1417"/>
      <c r="E19" s="1417"/>
      <c r="F19" s="1417"/>
      <c r="G19" s="1417"/>
      <c r="H19" s="1417"/>
      <c r="I19" s="1417"/>
      <c r="J19" s="1417"/>
      <c r="K19" s="176"/>
      <c r="L19" s="1534"/>
      <c r="M19" s="1534"/>
      <c r="N19" s="507"/>
      <c r="O19" s="508"/>
      <c r="P19" s="13"/>
    </row>
    <row r="20" spans="1:22" ht="51.75" customHeight="1" x14ac:dyDescent="0.3">
      <c r="A20" s="177"/>
      <c r="B20" s="188" t="s">
        <v>56</v>
      </c>
      <c r="C20" s="1417" t="s">
        <v>186</v>
      </c>
      <c r="D20" s="1417"/>
      <c r="E20" s="1417"/>
      <c r="F20" s="1417"/>
      <c r="G20" s="1417"/>
      <c r="H20" s="1417"/>
      <c r="I20" s="1417"/>
      <c r="J20" s="1417"/>
      <c r="K20" s="176"/>
      <c r="L20" s="1534"/>
      <c r="M20" s="1534"/>
      <c r="N20" s="507"/>
      <c r="O20" s="508"/>
      <c r="P20" s="13"/>
    </row>
    <row r="21" spans="1:22" ht="21.75" customHeight="1" x14ac:dyDescent="0.3">
      <c r="A21" s="177"/>
      <c r="B21" s="163" t="s">
        <v>161</v>
      </c>
      <c r="C21" s="1417" t="s">
        <v>187</v>
      </c>
      <c r="D21" s="1417"/>
      <c r="E21" s="1417"/>
      <c r="F21" s="1417"/>
      <c r="G21" s="1417"/>
      <c r="H21" s="1417"/>
      <c r="I21" s="1417"/>
      <c r="J21" s="1417"/>
      <c r="K21" s="176"/>
      <c r="L21" s="1534"/>
      <c r="M21" s="1534"/>
      <c r="N21" s="507"/>
      <c r="O21" s="508"/>
      <c r="P21" s="13"/>
    </row>
    <row r="22" spans="1:22" ht="21.75" customHeight="1" x14ac:dyDescent="0.3">
      <c r="A22" s="177"/>
      <c r="B22" s="163" t="s">
        <v>162</v>
      </c>
      <c r="C22" s="1417" t="s">
        <v>188</v>
      </c>
      <c r="D22" s="1417"/>
      <c r="E22" s="1417"/>
      <c r="F22" s="1417"/>
      <c r="G22" s="1417"/>
      <c r="H22" s="1417"/>
      <c r="I22" s="1417"/>
      <c r="J22" s="1417"/>
      <c r="K22" s="176"/>
      <c r="L22" s="1534"/>
      <c r="M22" s="1534"/>
      <c r="N22" s="507"/>
      <c r="O22" s="508"/>
      <c r="P22" s="13"/>
    </row>
    <row r="23" spans="1:22" ht="21.75" customHeight="1" x14ac:dyDescent="0.3">
      <c r="A23" s="177"/>
      <c r="B23" s="163" t="s">
        <v>163</v>
      </c>
      <c r="C23" s="1417" t="s">
        <v>189</v>
      </c>
      <c r="D23" s="1417"/>
      <c r="E23" s="1417"/>
      <c r="F23" s="1417"/>
      <c r="G23" s="1417"/>
      <c r="H23" s="1417"/>
      <c r="I23" s="1417"/>
      <c r="J23" s="1417"/>
      <c r="K23" s="176"/>
      <c r="L23" s="1534"/>
      <c r="M23" s="1534"/>
      <c r="N23" s="507"/>
      <c r="O23" s="508"/>
      <c r="P23" s="13"/>
    </row>
    <row r="24" spans="1:22" ht="21.75" customHeight="1" x14ac:dyDescent="0.3">
      <c r="A24" s="177"/>
      <c r="B24" s="163" t="s">
        <v>164</v>
      </c>
      <c r="C24" s="1417" t="s">
        <v>165</v>
      </c>
      <c r="D24" s="1417"/>
      <c r="E24" s="1417"/>
      <c r="F24" s="1417"/>
      <c r="G24" s="1417"/>
      <c r="H24" s="1417"/>
      <c r="I24" s="1417"/>
      <c r="J24" s="1417"/>
      <c r="K24" s="176"/>
      <c r="L24" s="1534"/>
      <c r="M24" s="1534"/>
      <c r="N24" s="507"/>
      <c r="O24" s="508"/>
      <c r="P24" s="13"/>
    </row>
    <row r="25" spans="1:22" ht="21.75" customHeight="1" x14ac:dyDescent="0.3">
      <c r="A25" s="177"/>
      <c r="B25" s="163" t="s">
        <v>179</v>
      </c>
      <c r="C25" s="1417" t="s">
        <v>190</v>
      </c>
      <c r="D25" s="1417"/>
      <c r="E25" s="1417"/>
      <c r="F25" s="1417"/>
      <c r="G25" s="1417"/>
      <c r="H25" s="1417"/>
      <c r="I25" s="1417"/>
      <c r="J25" s="1417"/>
      <c r="K25" s="176"/>
      <c r="L25" s="1534"/>
      <c r="M25" s="1534"/>
      <c r="N25" s="507"/>
      <c r="O25" s="508"/>
      <c r="P25" s="13"/>
    </row>
    <row r="26" spans="1:22" ht="21.75" customHeight="1" x14ac:dyDescent="0.3">
      <c r="A26" s="177"/>
      <c r="B26" s="163" t="s">
        <v>180</v>
      </c>
      <c r="C26" s="1417" t="s">
        <v>191</v>
      </c>
      <c r="D26" s="1417"/>
      <c r="E26" s="1417"/>
      <c r="F26" s="1417"/>
      <c r="G26" s="1417"/>
      <c r="H26" s="1417"/>
      <c r="I26" s="1417"/>
      <c r="J26" s="1417"/>
      <c r="K26" s="176"/>
      <c r="L26" s="1534"/>
      <c r="M26" s="1534"/>
      <c r="N26" s="507"/>
      <c r="O26" s="508"/>
      <c r="P26" s="13"/>
    </row>
    <row r="27" spans="1:22" ht="21.75" customHeight="1" x14ac:dyDescent="0.3">
      <c r="A27" s="177"/>
      <c r="B27" s="163" t="s">
        <v>181</v>
      </c>
      <c r="C27" s="1417" t="s">
        <v>167</v>
      </c>
      <c r="D27" s="1417"/>
      <c r="E27" s="1417"/>
      <c r="F27" s="1417"/>
      <c r="G27" s="1417"/>
      <c r="H27" s="1417"/>
      <c r="I27" s="1417"/>
      <c r="J27" s="1417"/>
      <c r="K27" s="176"/>
      <c r="L27" s="1534"/>
      <c r="M27" s="1534"/>
      <c r="N27" s="507"/>
      <c r="O27" s="508"/>
      <c r="P27" s="13"/>
    </row>
    <row r="28" spans="1:22" ht="21.75" customHeight="1" x14ac:dyDescent="0.3">
      <c r="A28" s="177"/>
      <c r="B28" s="163" t="s">
        <v>182</v>
      </c>
      <c r="C28" s="1417" t="s">
        <v>192</v>
      </c>
      <c r="D28" s="1417"/>
      <c r="E28" s="1417"/>
      <c r="F28" s="1417"/>
      <c r="G28" s="1417"/>
      <c r="H28" s="1417"/>
      <c r="I28" s="1417"/>
      <c r="J28" s="1417"/>
      <c r="K28" s="176"/>
      <c r="L28" s="1534"/>
      <c r="M28" s="1534"/>
      <c r="N28" s="507"/>
      <c r="O28" s="508"/>
      <c r="P28" s="13"/>
    </row>
    <row r="29" spans="1:22" ht="21.75" customHeight="1" x14ac:dyDescent="0.3">
      <c r="A29" s="177"/>
      <c r="B29" s="163" t="s">
        <v>183</v>
      </c>
      <c r="C29" s="1417" t="s">
        <v>193</v>
      </c>
      <c r="D29" s="1417"/>
      <c r="E29" s="1417"/>
      <c r="F29" s="1417"/>
      <c r="G29" s="1417"/>
      <c r="H29" s="1417"/>
      <c r="I29" s="1417"/>
      <c r="J29" s="1417"/>
      <c r="K29" s="457"/>
      <c r="L29" s="1543"/>
      <c r="M29" s="1543"/>
      <c r="N29" s="1558">
        <f>SUM(L14:M28)</f>
        <v>0</v>
      </c>
      <c r="O29" s="1559"/>
      <c r="P29" s="13"/>
      <c r="T29" s="1424"/>
      <c r="U29" s="1424"/>
      <c r="V29" s="1424"/>
    </row>
    <row r="30" spans="1:22" ht="6" customHeight="1" thickBot="1" x14ac:dyDescent="0.35">
      <c r="A30" s="177"/>
      <c r="B30" s="457"/>
      <c r="C30" s="185"/>
      <c r="D30" s="185"/>
      <c r="E30" s="185"/>
      <c r="F30" s="185"/>
      <c r="G30" s="185"/>
      <c r="H30" s="185"/>
      <c r="I30" s="185"/>
      <c r="J30" s="185"/>
      <c r="K30" s="185"/>
      <c r="L30" s="1543"/>
      <c r="M30" s="1543"/>
      <c r="N30" s="1543"/>
      <c r="O30" s="1552"/>
      <c r="P30" s="13"/>
    </row>
    <row r="31" spans="1:22" ht="18" customHeight="1" thickBot="1" x14ac:dyDescent="0.35">
      <c r="A31" s="175" t="s">
        <v>84</v>
      </c>
      <c r="B31" s="1553" t="s">
        <v>250</v>
      </c>
      <c r="C31" s="1527"/>
      <c r="D31" s="1527"/>
      <c r="E31" s="1527"/>
      <c r="F31" s="1527"/>
      <c r="G31" s="1527"/>
      <c r="H31" s="1527"/>
      <c r="I31" s="1527"/>
      <c r="J31" s="1527"/>
      <c r="K31" s="1528"/>
      <c r="L31" s="1543"/>
      <c r="M31" s="1543"/>
      <c r="N31" s="1543"/>
      <c r="O31" s="1552"/>
      <c r="P31" s="13"/>
    </row>
    <row r="32" spans="1:22" ht="18" customHeight="1" x14ac:dyDescent="0.3">
      <c r="A32" s="177"/>
      <c r="B32" s="163" t="s">
        <v>49</v>
      </c>
      <c r="C32" s="1417" t="s">
        <v>194</v>
      </c>
      <c r="D32" s="1417"/>
      <c r="E32" s="1417"/>
      <c r="F32" s="1417"/>
      <c r="G32" s="1417"/>
      <c r="H32" s="1417"/>
      <c r="I32" s="1417"/>
      <c r="J32" s="1417"/>
      <c r="K32" s="186"/>
      <c r="L32" s="1534"/>
      <c r="M32" s="1534"/>
      <c r="N32" s="1556"/>
      <c r="O32" s="1557"/>
      <c r="P32" s="13"/>
    </row>
    <row r="33" spans="1:16" ht="18" customHeight="1" x14ac:dyDescent="0.3">
      <c r="A33" s="178"/>
      <c r="B33" s="163" t="s">
        <v>50</v>
      </c>
      <c r="C33" s="1417" t="s">
        <v>195</v>
      </c>
      <c r="D33" s="1417"/>
      <c r="E33" s="1417"/>
      <c r="F33" s="1417"/>
      <c r="G33" s="1417"/>
      <c r="H33" s="1417"/>
      <c r="I33" s="1417"/>
      <c r="J33" s="1417"/>
      <c r="K33" s="176"/>
      <c r="L33" s="1534"/>
      <c r="M33" s="1534"/>
      <c r="N33" s="1560"/>
      <c r="O33" s="1561"/>
      <c r="P33" s="13"/>
    </row>
    <row r="34" spans="1:16" ht="18" customHeight="1" x14ac:dyDescent="0.3">
      <c r="A34" s="506"/>
      <c r="B34" s="163" t="s">
        <v>82</v>
      </c>
      <c r="C34" s="1417" t="s">
        <v>196</v>
      </c>
      <c r="D34" s="1417"/>
      <c r="E34" s="1417"/>
      <c r="F34" s="1417"/>
      <c r="G34" s="1417"/>
      <c r="H34" s="1417"/>
      <c r="I34" s="1417"/>
      <c r="J34" s="1417"/>
      <c r="K34" s="176"/>
      <c r="L34" s="1534"/>
      <c r="M34" s="1534"/>
      <c r="N34" s="1560"/>
      <c r="O34" s="1561"/>
      <c r="P34" s="13"/>
    </row>
    <row r="35" spans="1:16" ht="18" customHeight="1" x14ac:dyDescent="0.3">
      <c r="A35" s="180"/>
      <c r="B35" s="163" t="s">
        <v>51</v>
      </c>
      <c r="C35" s="1417" t="s">
        <v>197</v>
      </c>
      <c r="D35" s="1417"/>
      <c r="E35" s="1417"/>
      <c r="F35" s="1417"/>
      <c r="G35" s="1417"/>
      <c r="H35" s="1417"/>
      <c r="I35" s="1417"/>
      <c r="J35" s="1417"/>
      <c r="K35" s="176"/>
      <c r="L35" s="1534"/>
      <c r="M35" s="1534"/>
      <c r="N35" s="1560"/>
      <c r="O35" s="1561"/>
      <c r="P35" s="13"/>
    </row>
    <row r="36" spans="1:16" s="166" customFormat="1" ht="19.5" customHeight="1" x14ac:dyDescent="0.3">
      <c r="A36" s="177"/>
      <c r="B36" s="163" t="s">
        <v>156</v>
      </c>
      <c r="C36" s="1417" t="s">
        <v>198</v>
      </c>
      <c r="D36" s="1417"/>
      <c r="E36" s="1417"/>
      <c r="F36" s="1417"/>
      <c r="G36" s="1417"/>
      <c r="H36" s="1417"/>
      <c r="I36" s="1417"/>
      <c r="J36" s="1417"/>
      <c r="K36" s="176"/>
      <c r="L36" s="1534"/>
      <c r="M36" s="1534"/>
      <c r="N36" s="1560"/>
      <c r="O36" s="1561"/>
      <c r="P36" s="165"/>
    </row>
    <row r="37" spans="1:16" s="168" customFormat="1" ht="17.25" customHeight="1" x14ac:dyDescent="0.3">
      <c r="A37" s="177"/>
      <c r="B37" s="163" t="s">
        <v>55</v>
      </c>
      <c r="C37" s="1417" t="s">
        <v>199</v>
      </c>
      <c r="D37" s="1417"/>
      <c r="E37" s="1417"/>
      <c r="F37" s="1417"/>
      <c r="G37" s="1417"/>
      <c r="H37" s="1417"/>
      <c r="I37" s="1417"/>
      <c r="J37" s="1417"/>
      <c r="K37" s="176"/>
      <c r="L37" s="1548"/>
      <c r="M37" s="1549"/>
      <c r="N37" s="1562"/>
      <c r="O37" s="1563"/>
      <c r="P37" s="167"/>
    </row>
    <row r="38" spans="1:16" s="168" customFormat="1" ht="21" customHeight="1" x14ac:dyDescent="0.3">
      <c r="A38" s="177"/>
      <c r="B38" s="163" t="s">
        <v>56</v>
      </c>
      <c r="C38" s="1417" t="s">
        <v>160</v>
      </c>
      <c r="D38" s="1417"/>
      <c r="E38" s="1417"/>
      <c r="F38" s="1417"/>
      <c r="G38" s="1417"/>
      <c r="H38" s="1417"/>
      <c r="I38" s="1417"/>
      <c r="J38" s="1417"/>
      <c r="K38" s="457"/>
      <c r="L38" s="1543"/>
      <c r="M38" s="1543"/>
      <c r="N38" s="1564">
        <f>SUM(L32:M37)</f>
        <v>0</v>
      </c>
      <c r="O38" s="1565"/>
      <c r="P38" s="167"/>
    </row>
    <row r="39" spans="1:16" ht="9" customHeight="1" thickBot="1" x14ac:dyDescent="0.35">
      <c r="A39" s="8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361"/>
      <c r="O39" s="362"/>
    </row>
    <row r="40" spans="1:16" ht="31.5" customHeight="1" thickBot="1" x14ac:dyDescent="0.35">
      <c r="A40" s="175" t="s">
        <v>91</v>
      </c>
      <c r="B40" s="1566" t="s">
        <v>200</v>
      </c>
      <c r="C40" s="1567"/>
      <c r="D40" s="1567"/>
      <c r="E40" s="1567"/>
      <c r="F40" s="1567"/>
      <c r="G40" s="1567"/>
      <c r="H40" s="1567"/>
      <c r="I40" s="1567"/>
      <c r="J40" s="1567"/>
      <c r="K40" s="1568"/>
      <c r="L40" s="182"/>
      <c r="M40" s="182"/>
      <c r="N40" s="1544">
        <f>N29+N38</f>
        <v>0</v>
      </c>
      <c r="O40" s="1569"/>
    </row>
    <row r="41" spans="1:16" ht="13.5" thickBot="1" x14ac:dyDescent="0.35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3"/>
    </row>
    <row r="42" spans="1:16" ht="13.5" thickBot="1" x14ac:dyDescent="0.35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3"/>
    </row>
  </sheetData>
  <sheetProtection password="E1AE" sheet="1"/>
  <mergeCells count="79">
    <mergeCell ref="B40:K40"/>
    <mergeCell ref="N40:O40"/>
    <mergeCell ref="L19:M19"/>
    <mergeCell ref="L20:M20"/>
    <mergeCell ref="L21:M21"/>
    <mergeCell ref="L22:M22"/>
    <mergeCell ref="L23:M23"/>
    <mergeCell ref="L24:M24"/>
    <mergeCell ref="C19:J19"/>
    <mergeCell ref="C20:J20"/>
    <mergeCell ref="C21:J21"/>
    <mergeCell ref="C22:J22"/>
    <mergeCell ref="C23:J23"/>
    <mergeCell ref="C24:J24"/>
    <mergeCell ref="L38:M38"/>
    <mergeCell ref="N38:O38"/>
    <mergeCell ref="C35:J35"/>
    <mergeCell ref="C36:J36"/>
    <mergeCell ref="C37:J37"/>
    <mergeCell ref="L37:M37"/>
    <mergeCell ref="N37:O37"/>
    <mergeCell ref="C38:J38"/>
    <mergeCell ref="L35:M35"/>
    <mergeCell ref="N35:O35"/>
    <mergeCell ref="L36:M36"/>
    <mergeCell ref="N36:O36"/>
    <mergeCell ref="N33:O33"/>
    <mergeCell ref="L34:M34"/>
    <mergeCell ref="N34:O34"/>
    <mergeCell ref="C26:J26"/>
    <mergeCell ref="C27:J27"/>
    <mergeCell ref="L26:M26"/>
    <mergeCell ref="L27:M27"/>
    <mergeCell ref="L31:M31"/>
    <mergeCell ref="C34:J34"/>
    <mergeCell ref="C25:J25"/>
    <mergeCell ref="L25:M25"/>
    <mergeCell ref="L28:M28"/>
    <mergeCell ref="L29:M29"/>
    <mergeCell ref="N29:O29"/>
    <mergeCell ref="C28:J28"/>
    <mergeCell ref="T29:V29"/>
    <mergeCell ref="L30:M30"/>
    <mergeCell ref="N30:O30"/>
    <mergeCell ref="C29:J29"/>
    <mergeCell ref="B31:K31"/>
    <mergeCell ref="C33:J33"/>
    <mergeCell ref="N31:O31"/>
    <mergeCell ref="L32:M32"/>
    <mergeCell ref="N32:O32"/>
    <mergeCell ref="L33:M33"/>
    <mergeCell ref="L18:M18"/>
    <mergeCell ref="N18:O18"/>
    <mergeCell ref="C18:J18"/>
    <mergeCell ref="C32:J32"/>
    <mergeCell ref="L16:M16"/>
    <mergeCell ref="N16:O16"/>
    <mergeCell ref="L17:M17"/>
    <mergeCell ref="N17:O17"/>
    <mergeCell ref="C16:J16"/>
    <mergeCell ref="C17:J17"/>
    <mergeCell ref="C14:K14"/>
    <mergeCell ref="L14:M14"/>
    <mergeCell ref="N14:O14"/>
    <mergeCell ref="C15:K15"/>
    <mergeCell ref="L15:M15"/>
    <mergeCell ref="N15:O15"/>
    <mergeCell ref="D8:O8"/>
    <mergeCell ref="A9:O9"/>
    <mergeCell ref="A12:O12"/>
    <mergeCell ref="L13:M13"/>
    <mergeCell ref="N13:O13"/>
    <mergeCell ref="B13:K13"/>
    <mergeCell ref="A1:O1"/>
    <mergeCell ref="A2:O2"/>
    <mergeCell ref="A3:O3"/>
    <mergeCell ref="A4:O4"/>
    <mergeCell ref="E6:G6"/>
    <mergeCell ref="L6:N6"/>
  </mergeCells>
  <printOptions horizontalCentered="1" verticalCentered="1"/>
  <pageMargins left="0.25" right="0.25" top="0.5" bottom="0" header="0.5" footer="0.25"/>
  <pageSetup scale="90" orientation="portrait" r:id="rId1"/>
  <headerFooter alignWithMargins="0">
    <oddFooter>&amp;LDSS-16 10-24-2016&amp;RPage 17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E082C-176F-40EA-B87A-7C07BE192919}">
  <dimension ref="C3:AJ762"/>
  <sheetViews>
    <sheetView workbookViewId="0">
      <selection activeCell="B1" sqref="B1:B65536"/>
    </sheetView>
  </sheetViews>
  <sheetFormatPr defaultColWidth="15.26953125" defaultRowHeight="12.5" x14ac:dyDescent="0.25"/>
  <cols>
    <col min="1" max="2" width="15.26953125" customWidth="1"/>
    <col min="3" max="36" width="15.26953125" style="550" customWidth="1"/>
  </cols>
  <sheetData>
    <row r="3" spans="5:7" ht="15.5" x14ac:dyDescent="0.35">
      <c r="E3" s="1317"/>
      <c r="F3" s="1317"/>
    </row>
    <row r="4" spans="5:7" ht="13" x14ac:dyDescent="0.3">
      <c r="F4" s="551"/>
    </row>
    <row r="5" spans="5:7" x14ac:dyDescent="0.25">
      <c r="E5" s="1076"/>
      <c r="F5" s="1077"/>
    </row>
    <row r="6" spans="5:7" ht="15.5" x14ac:dyDescent="0.35">
      <c r="E6" s="1317"/>
    </row>
    <row r="8" spans="5:7" ht="14.5" x14ac:dyDescent="0.35">
      <c r="E8" s="1302"/>
      <c r="F8" s="1303"/>
      <c r="G8" s="1304"/>
    </row>
    <row r="9" spans="5:7" ht="13" x14ac:dyDescent="0.3">
      <c r="E9" s="552"/>
      <c r="G9" s="662"/>
    </row>
    <row r="10" spans="5:7" ht="13" x14ac:dyDescent="0.3">
      <c r="E10" s="552"/>
      <c r="G10" s="662"/>
    </row>
    <row r="11" spans="5:7" ht="13" x14ac:dyDescent="0.3">
      <c r="E11" s="552"/>
      <c r="G11" s="662"/>
    </row>
    <row r="12" spans="5:7" ht="13" x14ac:dyDescent="0.3">
      <c r="E12" s="552"/>
      <c r="G12" s="662"/>
    </row>
    <row r="13" spans="5:7" ht="13" x14ac:dyDescent="0.3">
      <c r="E13" s="552"/>
      <c r="G13" s="662"/>
    </row>
    <row r="14" spans="5:7" ht="13" x14ac:dyDescent="0.3">
      <c r="E14" s="552"/>
      <c r="G14" s="662"/>
    </row>
    <row r="15" spans="5:7" ht="13" x14ac:dyDescent="0.3">
      <c r="E15" s="552"/>
      <c r="G15" s="662"/>
    </row>
    <row r="16" spans="5:7" ht="13" x14ac:dyDescent="0.3">
      <c r="E16" s="552"/>
      <c r="G16" s="662"/>
    </row>
    <row r="17" spans="5:7" ht="13" x14ac:dyDescent="0.3">
      <c r="E17" s="552"/>
      <c r="G17" s="662"/>
    </row>
    <row r="18" spans="5:7" ht="13" x14ac:dyDescent="0.3">
      <c r="E18" s="552"/>
      <c r="G18" s="662"/>
    </row>
    <row r="19" spans="5:7" ht="13" x14ac:dyDescent="0.3">
      <c r="E19" s="552"/>
      <c r="G19" s="662"/>
    </row>
    <row r="20" spans="5:7" ht="13" x14ac:dyDescent="0.3">
      <c r="E20" s="552"/>
      <c r="G20" s="662"/>
    </row>
    <row r="21" spans="5:7" ht="13" x14ac:dyDescent="0.3">
      <c r="E21" s="552"/>
      <c r="G21" s="662"/>
    </row>
    <row r="22" spans="5:7" ht="13" x14ac:dyDescent="0.3">
      <c r="E22" s="552"/>
      <c r="G22" s="662"/>
    </row>
    <row r="23" spans="5:7" ht="13" x14ac:dyDescent="0.3">
      <c r="E23" s="552"/>
      <c r="G23" s="662"/>
    </row>
    <row r="24" spans="5:7" ht="13" x14ac:dyDescent="0.3">
      <c r="E24" s="552"/>
      <c r="G24" s="662"/>
    </row>
    <row r="25" spans="5:7" ht="13" x14ac:dyDescent="0.3">
      <c r="E25" s="552"/>
      <c r="G25" s="662"/>
    </row>
    <row r="26" spans="5:7" ht="13" x14ac:dyDescent="0.3">
      <c r="E26" s="552"/>
      <c r="G26" s="662"/>
    </row>
    <row r="27" spans="5:7" ht="13" x14ac:dyDescent="0.3">
      <c r="E27" s="552"/>
      <c r="G27" s="662"/>
    </row>
    <row r="28" spans="5:7" ht="13" x14ac:dyDescent="0.3">
      <c r="E28" s="552"/>
      <c r="G28" s="662"/>
    </row>
    <row r="29" spans="5:7" ht="13" x14ac:dyDescent="0.3">
      <c r="E29" s="552"/>
      <c r="G29" s="662"/>
    </row>
    <row r="30" spans="5:7" ht="13" x14ac:dyDescent="0.3">
      <c r="E30" s="552"/>
      <c r="G30" s="662"/>
    </row>
    <row r="31" spans="5:7" ht="13" x14ac:dyDescent="0.3">
      <c r="E31" s="552"/>
      <c r="G31" s="662"/>
    </row>
    <row r="32" spans="5:7" ht="13" x14ac:dyDescent="0.3">
      <c r="E32" s="552"/>
      <c r="G32" s="662"/>
    </row>
    <row r="33" spans="5:7" ht="13" x14ac:dyDescent="0.3">
      <c r="E33" s="552"/>
      <c r="G33" s="662"/>
    </row>
    <row r="34" spans="5:7" ht="13" x14ac:dyDescent="0.3">
      <c r="E34" s="552"/>
      <c r="G34" s="662"/>
    </row>
    <row r="35" spans="5:7" ht="13" x14ac:dyDescent="0.3">
      <c r="E35" s="552"/>
      <c r="G35" s="662"/>
    </row>
    <row r="36" spans="5:7" ht="13" x14ac:dyDescent="0.3">
      <c r="E36" s="552"/>
      <c r="G36" s="662"/>
    </row>
    <row r="37" spans="5:7" ht="13" x14ac:dyDescent="0.3">
      <c r="E37" s="552"/>
      <c r="G37" s="662"/>
    </row>
    <row r="38" spans="5:7" ht="13" x14ac:dyDescent="0.3">
      <c r="E38" s="552"/>
      <c r="G38" s="662"/>
    </row>
    <row r="39" spans="5:7" ht="13" x14ac:dyDescent="0.3">
      <c r="E39" s="552"/>
      <c r="G39" s="662"/>
    </row>
    <row r="40" spans="5:7" ht="13" x14ac:dyDescent="0.3">
      <c r="E40" s="552"/>
      <c r="G40" s="662"/>
    </row>
    <row r="41" spans="5:7" ht="13" x14ac:dyDescent="0.3">
      <c r="E41" s="552"/>
      <c r="G41" s="662"/>
    </row>
    <row r="42" spans="5:7" ht="13" x14ac:dyDescent="0.3">
      <c r="E42" s="552"/>
      <c r="G42" s="662"/>
    </row>
    <row r="43" spans="5:7" ht="13" x14ac:dyDescent="0.3">
      <c r="E43" s="552"/>
      <c r="G43" s="662"/>
    </row>
    <row r="44" spans="5:7" ht="13" x14ac:dyDescent="0.3">
      <c r="E44" s="552"/>
      <c r="G44" s="662"/>
    </row>
    <row r="45" spans="5:7" ht="13" x14ac:dyDescent="0.3">
      <c r="E45" s="552"/>
      <c r="G45" s="662"/>
    </row>
    <row r="46" spans="5:7" ht="13" x14ac:dyDescent="0.3">
      <c r="E46" s="552"/>
      <c r="G46" s="662"/>
    </row>
    <row r="47" spans="5:7" ht="13" x14ac:dyDescent="0.3">
      <c r="E47" s="552"/>
      <c r="G47" s="662"/>
    </row>
    <row r="48" spans="5:7" ht="13" x14ac:dyDescent="0.3">
      <c r="E48" s="552"/>
      <c r="G48" s="662"/>
    </row>
    <row r="49" spans="5:7" ht="13" x14ac:dyDescent="0.3">
      <c r="E49" s="552"/>
      <c r="G49" s="662"/>
    </row>
    <row r="50" spans="5:7" ht="13" x14ac:dyDescent="0.3">
      <c r="E50" s="552"/>
      <c r="F50" s="552"/>
      <c r="G50" s="662"/>
    </row>
    <row r="51" spans="5:7" ht="13" x14ac:dyDescent="0.3">
      <c r="E51" s="552"/>
      <c r="F51" s="552"/>
      <c r="G51" s="662"/>
    </row>
    <row r="52" spans="5:7" ht="13" x14ac:dyDescent="0.3">
      <c r="E52" s="552"/>
      <c r="F52" s="552"/>
      <c r="G52" s="662"/>
    </row>
    <row r="53" spans="5:7" ht="13" x14ac:dyDescent="0.3">
      <c r="E53" s="1267"/>
      <c r="F53" s="552"/>
      <c r="G53" s="662"/>
    </row>
    <row r="54" spans="5:7" ht="13" x14ac:dyDescent="0.3">
      <c r="E54" s="552"/>
      <c r="F54" s="552"/>
      <c r="G54" s="662"/>
    </row>
    <row r="55" spans="5:7" ht="13" x14ac:dyDescent="0.3">
      <c r="E55" s="552"/>
      <c r="F55" s="552"/>
      <c r="G55" s="662"/>
    </row>
    <row r="56" spans="5:7" ht="13" x14ac:dyDescent="0.3">
      <c r="E56" s="552"/>
      <c r="F56" s="552"/>
      <c r="G56" s="662"/>
    </row>
    <row r="57" spans="5:7" ht="13" x14ac:dyDescent="0.3">
      <c r="E57" s="1267"/>
      <c r="F57" s="552"/>
      <c r="G57" s="662"/>
    </row>
    <row r="59" spans="5:7" ht="13" x14ac:dyDescent="0.3">
      <c r="E59" s="552"/>
      <c r="F59" s="552"/>
      <c r="G59" s="676"/>
    </row>
    <row r="60" spans="5:7" ht="13" x14ac:dyDescent="0.3">
      <c r="E60" s="552"/>
      <c r="F60" s="552"/>
      <c r="G60" s="662"/>
    </row>
    <row r="61" spans="5:7" ht="13" x14ac:dyDescent="0.3">
      <c r="E61" s="552"/>
      <c r="F61" s="552"/>
      <c r="G61" s="662"/>
    </row>
    <row r="62" spans="5:7" ht="13" x14ac:dyDescent="0.3">
      <c r="E62" s="552"/>
      <c r="F62" s="552"/>
      <c r="G62" s="662"/>
    </row>
    <row r="63" spans="5:7" ht="13" x14ac:dyDescent="0.3">
      <c r="E63" s="552"/>
      <c r="F63" s="552"/>
      <c r="G63" s="662"/>
    </row>
    <row r="64" spans="5:7" ht="15.5" x14ac:dyDescent="0.35">
      <c r="E64" s="1317"/>
      <c r="F64" s="552"/>
      <c r="G64" s="662"/>
    </row>
    <row r="65" spans="5:7" ht="14.5" x14ac:dyDescent="0.35">
      <c r="E65" s="1302"/>
      <c r="F65" s="1303"/>
      <c r="G65" s="1304"/>
    </row>
    <row r="66" spans="5:7" ht="13" x14ac:dyDescent="0.3">
      <c r="E66" s="552"/>
      <c r="G66" s="662"/>
    </row>
    <row r="67" spans="5:7" ht="13" x14ac:dyDescent="0.3">
      <c r="E67" s="552"/>
      <c r="G67" s="662"/>
    </row>
    <row r="68" spans="5:7" ht="13" x14ac:dyDescent="0.3">
      <c r="E68" s="552"/>
      <c r="G68" s="662"/>
    </row>
    <row r="69" spans="5:7" ht="13" x14ac:dyDescent="0.3">
      <c r="E69" s="552"/>
      <c r="G69" s="662"/>
    </row>
    <row r="70" spans="5:7" ht="13" x14ac:dyDescent="0.3">
      <c r="E70" s="552"/>
      <c r="G70" s="662"/>
    </row>
    <row r="71" spans="5:7" ht="13" x14ac:dyDescent="0.3">
      <c r="E71" s="552"/>
      <c r="G71" s="662"/>
    </row>
    <row r="72" spans="5:7" ht="13" x14ac:dyDescent="0.3">
      <c r="E72" s="552"/>
      <c r="G72" s="662"/>
    </row>
    <row r="73" spans="5:7" ht="13" x14ac:dyDescent="0.3">
      <c r="E73" s="552"/>
      <c r="G73" s="662"/>
    </row>
    <row r="74" spans="5:7" ht="13" x14ac:dyDescent="0.3">
      <c r="E74" s="552"/>
      <c r="G74" s="662"/>
    </row>
    <row r="75" spans="5:7" ht="13" x14ac:dyDescent="0.3">
      <c r="E75" s="552"/>
      <c r="G75" s="662"/>
    </row>
    <row r="76" spans="5:7" ht="13" x14ac:dyDescent="0.3">
      <c r="E76" s="552"/>
      <c r="G76" s="662"/>
    </row>
    <row r="77" spans="5:7" ht="13" x14ac:dyDescent="0.3">
      <c r="E77" s="552"/>
      <c r="G77" s="662"/>
    </row>
    <row r="78" spans="5:7" ht="13" x14ac:dyDescent="0.3">
      <c r="E78" s="552"/>
      <c r="G78" s="662"/>
    </row>
    <row r="79" spans="5:7" ht="13" x14ac:dyDescent="0.3">
      <c r="E79" s="552"/>
      <c r="G79" s="662"/>
    </row>
    <row r="80" spans="5:7" ht="13" x14ac:dyDescent="0.3">
      <c r="E80" s="552"/>
      <c r="G80" s="662"/>
    </row>
    <row r="81" spans="5:7" ht="13" x14ac:dyDescent="0.3">
      <c r="E81" s="552"/>
      <c r="G81" s="662"/>
    </row>
    <row r="82" spans="5:7" ht="13" x14ac:dyDescent="0.3">
      <c r="E82" s="552"/>
      <c r="G82" s="662"/>
    </row>
    <row r="83" spans="5:7" ht="13" x14ac:dyDescent="0.3">
      <c r="E83" s="552"/>
      <c r="G83" s="662"/>
    </row>
    <row r="84" spans="5:7" ht="13" x14ac:dyDescent="0.3">
      <c r="E84" s="552"/>
      <c r="G84" s="662"/>
    </row>
    <row r="85" spans="5:7" ht="13" x14ac:dyDescent="0.3">
      <c r="E85" s="552"/>
      <c r="G85" s="662"/>
    </row>
    <row r="86" spans="5:7" ht="13" x14ac:dyDescent="0.3">
      <c r="E86" s="552"/>
      <c r="G86" s="662"/>
    </row>
    <row r="87" spans="5:7" ht="13" x14ac:dyDescent="0.3">
      <c r="E87" s="552"/>
      <c r="G87" s="662"/>
    </row>
    <row r="88" spans="5:7" ht="13" x14ac:dyDescent="0.3">
      <c r="E88" s="552"/>
      <c r="G88" s="662"/>
    </row>
    <row r="89" spans="5:7" ht="13" x14ac:dyDescent="0.3">
      <c r="E89" s="552"/>
      <c r="G89" s="662"/>
    </row>
    <row r="90" spans="5:7" ht="13" x14ac:dyDescent="0.3">
      <c r="E90" s="552"/>
      <c r="G90" s="662"/>
    </row>
    <row r="91" spans="5:7" ht="13" x14ac:dyDescent="0.3">
      <c r="E91" s="552"/>
      <c r="G91" s="662"/>
    </row>
    <row r="92" spans="5:7" ht="13" x14ac:dyDescent="0.3">
      <c r="E92" s="552"/>
      <c r="G92" s="662"/>
    </row>
    <row r="93" spans="5:7" ht="13" x14ac:dyDescent="0.3">
      <c r="E93" s="552"/>
      <c r="G93" s="662"/>
    </row>
    <row r="94" spans="5:7" ht="13" x14ac:dyDescent="0.3">
      <c r="E94" s="552"/>
      <c r="G94" s="662"/>
    </row>
    <row r="95" spans="5:7" ht="13" x14ac:dyDescent="0.3">
      <c r="E95" s="552"/>
      <c r="G95" s="662"/>
    </row>
    <row r="96" spans="5:7" ht="13" x14ac:dyDescent="0.3">
      <c r="E96" s="552"/>
      <c r="G96" s="662"/>
    </row>
    <row r="97" spans="5:7" ht="13" x14ac:dyDescent="0.3">
      <c r="E97" s="552"/>
      <c r="G97" s="662"/>
    </row>
    <row r="98" spans="5:7" ht="13" x14ac:dyDescent="0.3">
      <c r="E98" s="552"/>
      <c r="G98" s="662"/>
    </row>
    <row r="99" spans="5:7" ht="13" x14ac:dyDescent="0.3">
      <c r="E99" s="552"/>
      <c r="G99" s="662"/>
    </row>
    <row r="100" spans="5:7" ht="13" x14ac:dyDescent="0.3">
      <c r="E100" s="552"/>
      <c r="G100" s="662"/>
    </row>
    <row r="101" spans="5:7" ht="13" x14ac:dyDescent="0.3">
      <c r="E101" s="552"/>
      <c r="G101" s="662"/>
    </row>
    <row r="102" spans="5:7" ht="13" x14ac:dyDescent="0.3">
      <c r="E102" s="552"/>
      <c r="G102" s="662"/>
    </row>
    <row r="103" spans="5:7" ht="13" x14ac:dyDescent="0.3">
      <c r="E103" s="552"/>
      <c r="G103" s="662"/>
    </row>
    <row r="104" spans="5:7" ht="13" x14ac:dyDescent="0.3">
      <c r="E104" s="552"/>
      <c r="G104" s="662"/>
    </row>
    <row r="105" spans="5:7" ht="13" x14ac:dyDescent="0.3">
      <c r="E105" s="552"/>
      <c r="G105" s="662"/>
    </row>
    <row r="106" spans="5:7" ht="13" x14ac:dyDescent="0.3">
      <c r="E106" s="552"/>
      <c r="G106" s="662"/>
    </row>
    <row r="107" spans="5:7" ht="13" x14ac:dyDescent="0.3">
      <c r="E107" s="552"/>
      <c r="G107" s="662"/>
    </row>
    <row r="108" spans="5:7" ht="13" x14ac:dyDescent="0.3">
      <c r="E108" s="552"/>
      <c r="G108" s="662"/>
    </row>
    <row r="109" spans="5:7" ht="13" x14ac:dyDescent="0.3">
      <c r="E109" s="552"/>
      <c r="G109" s="662"/>
    </row>
    <row r="110" spans="5:7" ht="13" x14ac:dyDescent="0.3">
      <c r="E110" s="552"/>
      <c r="G110" s="662"/>
    </row>
    <row r="111" spans="5:7" ht="13" x14ac:dyDescent="0.3">
      <c r="E111" s="552"/>
      <c r="G111" s="662"/>
    </row>
    <row r="112" spans="5:7" ht="13" x14ac:dyDescent="0.3">
      <c r="E112" s="552"/>
      <c r="G112" s="662"/>
    </row>
    <row r="113" spans="5:7" ht="13" x14ac:dyDescent="0.3">
      <c r="E113" s="552"/>
      <c r="G113" s="662"/>
    </row>
    <row r="114" spans="5:7" ht="13" x14ac:dyDescent="0.3">
      <c r="E114" s="552"/>
      <c r="G114" s="662"/>
    </row>
    <row r="115" spans="5:7" ht="13" x14ac:dyDescent="0.3">
      <c r="E115" s="552"/>
      <c r="G115" s="662"/>
    </row>
    <row r="116" spans="5:7" ht="13" x14ac:dyDescent="0.3">
      <c r="E116" s="552"/>
      <c r="G116" s="662"/>
    </row>
    <row r="117" spans="5:7" ht="13" x14ac:dyDescent="0.3">
      <c r="E117" s="552"/>
      <c r="G117" s="662"/>
    </row>
    <row r="118" spans="5:7" ht="13" x14ac:dyDescent="0.3">
      <c r="E118" s="552"/>
      <c r="G118" s="662"/>
    </row>
    <row r="119" spans="5:7" ht="13" x14ac:dyDescent="0.3">
      <c r="E119" s="552"/>
      <c r="G119" s="662"/>
    </row>
    <row r="120" spans="5:7" ht="13" x14ac:dyDescent="0.3">
      <c r="E120" s="552"/>
      <c r="G120" s="662"/>
    </row>
    <row r="121" spans="5:7" ht="13" x14ac:dyDescent="0.3">
      <c r="E121" s="552"/>
      <c r="G121" s="662"/>
    </row>
    <row r="122" spans="5:7" ht="13" x14ac:dyDescent="0.3">
      <c r="E122" s="552"/>
      <c r="G122" s="662"/>
    </row>
    <row r="123" spans="5:7" ht="13" x14ac:dyDescent="0.3">
      <c r="E123" s="552"/>
      <c r="G123" s="662"/>
    </row>
    <row r="124" spans="5:7" ht="13" x14ac:dyDescent="0.3">
      <c r="E124" s="552"/>
      <c r="G124" s="662"/>
    </row>
    <row r="125" spans="5:7" ht="13" x14ac:dyDescent="0.3">
      <c r="E125" s="552"/>
      <c r="G125" s="662"/>
    </row>
    <row r="126" spans="5:7" ht="13" x14ac:dyDescent="0.3">
      <c r="E126" s="552"/>
      <c r="G126" s="662"/>
    </row>
    <row r="127" spans="5:7" ht="13" x14ac:dyDescent="0.3">
      <c r="E127" s="552"/>
      <c r="G127" s="662"/>
    </row>
    <row r="128" spans="5:7" ht="13" x14ac:dyDescent="0.3">
      <c r="E128" s="552"/>
      <c r="G128" s="662"/>
    </row>
    <row r="129" spans="5:7" ht="13" x14ac:dyDescent="0.3">
      <c r="E129" s="552"/>
      <c r="G129" s="662"/>
    </row>
    <row r="130" spans="5:7" ht="13" x14ac:dyDescent="0.3">
      <c r="E130" s="552"/>
      <c r="G130" s="662"/>
    </row>
    <row r="131" spans="5:7" ht="13" x14ac:dyDescent="0.3">
      <c r="E131" s="552"/>
      <c r="G131" s="662"/>
    </row>
    <row r="132" spans="5:7" ht="13" x14ac:dyDescent="0.3">
      <c r="E132" s="552"/>
      <c r="G132" s="662"/>
    </row>
    <row r="133" spans="5:7" ht="13" x14ac:dyDescent="0.3">
      <c r="E133" s="552"/>
      <c r="G133" s="662"/>
    </row>
    <row r="134" spans="5:7" ht="13" x14ac:dyDescent="0.3">
      <c r="E134" s="552"/>
      <c r="G134" s="662"/>
    </row>
    <row r="135" spans="5:7" ht="13" x14ac:dyDescent="0.3">
      <c r="E135" s="552"/>
      <c r="G135" s="662"/>
    </row>
    <row r="136" spans="5:7" ht="13" x14ac:dyDescent="0.3">
      <c r="E136" s="552"/>
      <c r="G136" s="662"/>
    </row>
    <row r="137" spans="5:7" ht="13" x14ac:dyDescent="0.3">
      <c r="E137" s="552"/>
      <c r="G137" s="662"/>
    </row>
    <row r="138" spans="5:7" ht="13" x14ac:dyDescent="0.3">
      <c r="E138" s="552"/>
      <c r="G138" s="662"/>
    </row>
    <row r="139" spans="5:7" ht="13" x14ac:dyDescent="0.3">
      <c r="E139" s="552"/>
      <c r="G139" s="662"/>
    </row>
    <row r="140" spans="5:7" ht="13" x14ac:dyDescent="0.3">
      <c r="E140" s="552"/>
      <c r="G140" s="662"/>
    </row>
    <row r="141" spans="5:7" ht="13" x14ac:dyDescent="0.3">
      <c r="E141" s="552"/>
      <c r="G141" s="662"/>
    </row>
    <row r="142" spans="5:7" ht="13" x14ac:dyDescent="0.3">
      <c r="E142" s="552"/>
      <c r="G142" s="662"/>
    </row>
    <row r="143" spans="5:7" ht="13" x14ac:dyDescent="0.3">
      <c r="E143" s="552"/>
      <c r="G143" s="662"/>
    </row>
    <row r="144" spans="5:7" ht="13" x14ac:dyDescent="0.3">
      <c r="E144" s="552"/>
      <c r="G144" s="662"/>
    </row>
    <row r="145" spans="5:7" ht="13" x14ac:dyDescent="0.3">
      <c r="E145" s="552"/>
      <c r="G145" s="662"/>
    </row>
    <row r="146" spans="5:7" ht="13" x14ac:dyDescent="0.3">
      <c r="E146" s="552"/>
      <c r="G146" s="662"/>
    </row>
    <row r="147" spans="5:7" ht="13" x14ac:dyDescent="0.3">
      <c r="E147" s="552"/>
      <c r="G147" s="662"/>
    </row>
    <row r="148" spans="5:7" ht="13" x14ac:dyDescent="0.3">
      <c r="E148" s="552"/>
      <c r="G148" s="662"/>
    </row>
    <row r="149" spans="5:7" ht="13" x14ac:dyDescent="0.3">
      <c r="E149" s="552"/>
      <c r="G149" s="662"/>
    </row>
    <row r="150" spans="5:7" ht="13" x14ac:dyDescent="0.3">
      <c r="E150" s="552"/>
      <c r="G150" s="662"/>
    </row>
    <row r="151" spans="5:7" ht="13" x14ac:dyDescent="0.3">
      <c r="E151" s="552"/>
      <c r="G151" s="662"/>
    </row>
    <row r="152" spans="5:7" ht="13" x14ac:dyDescent="0.3">
      <c r="E152" s="552"/>
      <c r="G152" s="662"/>
    </row>
    <row r="153" spans="5:7" ht="13" x14ac:dyDescent="0.3">
      <c r="E153" s="552"/>
      <c r="G153" s="662"/>
    </row>
    <row r="154" spans="5:7" ht="13" x14ac:dyDescent="0.3">
      <c r="E154" s="552"/>
      <c r="G154" s="662"/>
    </row>
    <row r="155" spans="5:7" ht="13" x14ac:dyDescent="0.3">
      <c r="E155" s="552"/>
      <c r="G155" s="662"/>
    </row>
    <row r="156" spans="5:7" ht="13" x14ac:dyDescent="0.3">
      <c r="E156" s="552"/>
      <c r="G156" s="662"/>
    </row>
    <row r="157" spans="5:7" ht="13" x14ac:dyDescent="0.3">
      <c r="E157" s="552"/>
      <c r="G157" s="662"/>
    </row>
    <row r="158" spans="5:7" ht="13" x14ac:dyDescent="0.3">
      <c r="E158" s="552"/>
      <c r="G158" s="662"/>
    </row>
    <row r="159" spans="5:7" ht="13" x14ac:dyDescent="0.3">
      <c r="E159" s="552"/>
      <c r="G159" s="662"/>
    </row>
    <row r="160" spans="5:7" ht="13" x14ac:dyDescent="0.3">
      <c r="E160" s="552"/>
      <c r="G160" s="662"/>
    </row>
    <row r="161" spans="5:7" ht="13" x14ac:dyDescent="0.3">
      <c r="E161" s="552"/>
      <c r="G161" s="662"/>
    </row>
    <row r="162" spans="5:7" ht="13" x14ac:dyDescent="0.3">
      <c r="E162" s="552"/>
      <c r="G162" s="662"/>
    </row>
    <row r="163" spans="5:7" ht="13" x14ac:dyDescent="0.3">
      <c r="E163" s="552"/>
      <c r="G163" s="662"/>
    </row>
    <row r="164" spans="5:7" ht="13" x14ac:dyDescent="0.3">
      <c r="E164" s="552"/>
      <c r="G164" s="662"/>
    </row>
    <row r="165" spans="5:7" ht="13" x14ac:dyDescent="0.3">
      <c r="E165" s="552"/>
      <c r="G165" s="662"/>
    </row>
    <row r="166" spans="5:7" ht="13" x14ac:dyDescent="0.3">
      <c r="E166" s="552"/>
      <c r="G166" s="662"/>
    </row>
    <row r="167" spans="5:7" ht="13" x14ac:dyDescent="0.3">
      <c r="E167" s="552"/>
      <c r="G167" s="662"/>
    </row>
    <row r="168" spans="5:7" ht="13" x14ac:dyDescent="0.3">
      <c r="E168" s="552"/>
      <c r="G168" s="662"/>
    </row>
    <row r="169" spans="5:7" ht="13" x14ac:dyDescent="0.3">
      <c r="E169" s="552"/>
      <c r="G169" s="662"/>
    </row>
    <row r="170" spans="5:7" ht="13" x14ac:dyDescent="0.3">
      <c r="E170" s="552"/>
      <c r="G170" s="662"/>
    </row>
    <row r="171" spans="5:7" ht="13" x14ac:dyDescent="0.3">
      <c r="E171" s="552"/>
      <c r="G171" s="662"/>
    </row>
    <row r="172" spans="5:7" ht="13" x14ac:dyDescent="0.3">
      <c r="E172" s="552"/>
      <c r="G172" s="662"/>
    </row>
    <row r="173" spans="5:7" ht="13" x14ac:dyDescent="0.3">
      <c r="E173" s="552"/>
      <c r="G173" s="662"/>
    </row>
    <row r="174" spans="5:7" ht="13" x14ac:dyDescent="0.3">
      <c r="E174" s="552"/>
      <c r="G174" s="662"/>
    </row>
    <row r="175" spans="5:7" ht="13" x14ac:dyDescent="0.3">
      <c r="E175" s="552"/>
      <c r="G175" s="662"/>
    </row>
    <row r="176" spans="5:7" ht="13" x14ac:dyDescent="0.3">
      <c r="E176" s="552"/>
      <c r="G176" s="662"/>
    </row>
    <row r="177" spans="5:7" ht="13" x14ac:dyDescent="0.3">
      <c r="E177" s="552"/>
      <c r="G177" s="662"/>
    </row>
    <row r="178" spans="5:7" ht="13" x14ac:dyDescent="0.3">
      <c r="E178" s="552"/>
      <c r="G178" s="662"/>
    </row>
    <row r="179" spans="5:7" ht="13" x14ac:dyDescent="0.3">
      <c r="E179" s="552"/>
      <c r="G179" s="662"/>
    </row>
    <row r="180" spans="5:7" ht="13" x14ac:dyDescent="0.3">
      <c r="E180" s="552"/>
      <c r="G180" s="662"/>
    </row>
    <row r="181" spans="5:7" ht="13" x14ac:dyDescent="0.3">
      <c r="E181" s="552"/>
      <c r="G181" s="662"/>
    </row>
    <row r="182" spans="5:7" ht="13" x14ac:dyDescent="0.3">
      <c r="E182" s="552"/>
      <c r="G182" s="662"/>
    </row>
    <row r="183" spans="5:7" ht="13" x14ac:dyDescent="0.3">
      <c r="E183" s="552"/>
      <c r="G183" s="662"/>
    </row>
    <row r="184" spans="5:7" ht="13" x14ac:dyDescent="0.3">
      <c r="E184" s="552"/>
      <c r="G184" s="662"/>
    </row>
    <row r="185" spans="5:7" ht="13" x14ac:dyDescent="0.3">
      <c r="E185" s="552"/>
      <c r="G185" s="662"/>
    </row>
    <row r="186" spans="5:7" ht="13" x14ac:dyDescent="0.3">
      <c r="E186" s="552"/>
      <c r="G186" s="662"/>
    </row>
    <row r="187" spans="5:7" ht="13" x14ac:dyDescent="0.3">
      <c r="E187" s="552"/>
      <c r="G187" s="662"/>
    </row>
    <row r="188" spans="5:7" ht="13" x14ac:dyDescent="0.3">
      <c r="E188" s="552"/>
      <c r="G188" s="662"/>
    </row>
    <row r="189" spans="5:7" ht="13" x14ac:dyDescent="0.3">
      <c r="E189" s="552"/>
      <c r="G189" s="662"/>
    </row>
    <row r="190" spans="5:7" ht="13" x14ac:dyDescent="0.3">
      <c r="E190" s="552"/>
      <c r="G190" s="662"/>
    </row>
    <row r="191" spans="5:7" ht="13" x14ac:dyDescent="0.3">
      <c r="E191" s="552"/>
      <c r="G191" s="662"/>
    </row>
    <row r="192" spans="5:7" ht="13" x14ac:dyDescent="0.3">
      <c r="E192" s="552"/>
      <c r="G192" s="662"/>
    </row>
    <row r="193" spans="5:7" ht="13" x14ac:dyDescent="0.3">
      <c r="E193" s="552"/>
      <c r="G193" s="662"/>
    </row>
    <row r="194" spans="5:7" ht="13" x14ac:dyDescent="0.3">
      <c r="E194" s="552"/>
      <c r="G194" s="662"/>
    </row>
    <row r="195" spans="5:7" ht="13" x14ac:dyDescent="0.3">
      <c r="E195" s="552"/>
      <c r="G195" s="662"/>
    </row>
    <row r="196" spans="5:7" ht="13" x14ac:dyDescent="0.3">
      <c r="E196" s="552"/>
      <c r="G196" s="662"/>
    </row>
    <row r="197" spans="5:7" ht="13" x14ac:dyDescent="0.3">
      <c r="E197" s="552"/>
      <c r="G197" s="662"/>
    </row>
    <row r="198" spans="5:7" ht="13" x14ac:dyDescent="0.3">
      <c r="E198" s="552"/>
      <c r="G198" s="662"/>
    </row>
    <row r="199" spans="5:7" ht="13" x14ac:dyDescent="0.3">
      <c r="E199" s="552"/>
      <c r="G199" s="662"/>
    </row>
    <row r="200" spans="5:7" ht="13" x14ac:dyDescent="0.3">
      <c r="E200" s="552"/>
      <c r="G200" s="662"/>
    </row>
    <row r="201" spans="5:7" ht="13" x14ac:dyDescent="0.3">
      <c r="E201" s="552"/>
      <c r="G201" s="662"/>
    </row>
    <row r="202" spans="5:7" ht="13" x14ac:dyDescent="0.3">
      <c r="E202" s="552"/>
      <c r="G202" s="662"/>
    </row>
    <row r="203" spans="5:7" ht="13" x14ac:dyDescent="0.3">
      <c r="E203" s="552"/>
      <c r="G203" s="662"/>
    </row>
    <row r="204" spans="5:7" ht="13" x14ac:dyDescent="0.3">
      <c r="E204" s="552"/>
      <c r="G204" s="662"/>
    </row>
    <row r="205" spans="5:7" ht="13" x14ac:dyDescent="0.3">
      <c r="E205" s="552"/>
      <c r="G205" s="662"/>
    </row>
    <row r="206" spans="5:7" ht="13" x14ac:dyDescent="0.3">
      <c r="E206" s="552"/>
      <c r="G206" s="662"/>
    </row>
    <row r="207" spans="5:7" ht="13" x14ac:dyDescent="0.3">
      <c r="E207" s="552"/>
      <c r="G207" s="662"/>
    </row>
    <row r="208" spans="5:7" ht="13" x14ac:dyDescent="0.3">
      <c r="E208" s="552"/>
      <c r="G208" s="662"/>
    </row>
    <row r="209" spans="5:7" ht="13" x14ac:dyDescent="0.3">
      <c r="E209" s="552"/>
      <c r="G209" s="662"/>
    </row>
    <row r="210" spans="5:7" ht="13" x14ac:dyDescent="0.3">
      <c r="E210" s="552"/>
      <c r="G210" s="662"/>
    </row>
    <row r="211" spans="5:7" ht="13" x14ac:dyDescent="0.3">
      <c r="E211" s="552"/>
      <c r="G211" s="662"/>
    </row>
    <row r="212" spans="5:7" ht="13" x14ac:dyDescent="0.3">
      <c r="E212" s="552"/>
      <c r="G212" s="662"/>
    </row>
    <row r="213" spans="5:7" ht="13" x14ac:dyDescent="0.3">
      <c r="E213" s="552"/>
      <c r="G213" s="662"/>
    </row>
    <row r="214" spans="5:7" ht="13" x14ac:dyDescent="0.3">
      <c r="E214" s="552"/>
      <c r="G214" s="662"/>
    </row>
    <row r="215" spans="5:7" ht="13" x14ac:dyDescent="0.3">
      <c r="E215" s="552"/>
      <c r="G215" s="662"/>
    </row>
    <row r="216" spans="5:7" ht="13" x14ac:dyDescent="0.3">
      <c r="E216" s="552"/>
      <c r="G216" s="662"/>
    </row>
    <row r="217" spans="5:7" ht="13" x14ac:dyDescent="0.3">
      <c r="E217" s="552"/>
      <c r="G217" s="662"/>
    </row>
    <row r="218" spans="5:7" ht="13" x14ac:dyDescent="0.3">
      <c r="E218" s="552"/>
      <c r="G218" s="662"/>
    </row>
    <row r="219" spans="5:7" ht="13" x14ac:dyDescent="0.3">
      <c r="E219" s="552"/>
      <c r="G219" s="662"/>
    </row>
    <row r="220" spans="5:7" ht="13" x14ac:dyDescent="0.3">
      <c r="E220" s="552"/>
      <c r="G220" s="662"/>
    </row>
    <row r="221" spans="5:7" ht="13" x14ac:dyDescent="0.3">
      <c r="E221" s="552"/>
      <c r="G221" s="662"/>
    </row>
    <row r="222" spans="5:7" ht="13" x14ac:dyDescent="0.3">
      <c r="E222" s="552"/>
      <c r="G222" s="662"/>
    </row>
    <row r="223" spans="5:7" ht="13" x14ac:dyDescent="0.3">
      <c r="E223" s="552"/>
      <c r="G223" s="662"/>
    </row>
    <row r="224" spans="5:7" ht="13" x14ac:dyDescent="0.3">
      <c r="E224" s="552"/>
      <c r="G224" s="662"/>
    </row>
    <row r="225" spans="5:7" ht="13" x14ac:dyDescent="0.3">
      <c r="E225" s="552"/>
      <c r="G225" s="662"/>
    </row>
    <row r="226" spans="5:7" ht="13" x14ac:dyDescent="0.3">
      <c r="E226" s="552"/>
      <c r="G226" s="662"/>
    </row>
    <row r="227" spans="5:7" ht="13" x14ac:dyDescent="0.3">
      <c r="E227" s="552"/>
      <c r="G227" s="662"/>
    </row>
    <row r="228" spans="5:7" ht="13" x14ac:dyDescent="0.3">
      <c r="E228" s="552"/>
      <c r="G228" s="662"/>
    </row>
    <row r="229" spans="5:7" ht="13" x14ac:dyDescent="0.3">
      <c r="E229" s="552"/>
      <c r="G229" s="662"/>
    </row>
    <row r="230" spans="5:7" ht="13" x14ac:dyDescent="0.3">
      <c r="E230" s="552"/>
      <c r="G230" s="662"/>
    </row>
    <row r="231" spans="5:7" ht="13" x14ac:dyDescent="0.3">
      <c r="E231" s="552"/>
      <c r="G231" s="662"/>
    </row>
    <row r="232" spans="5:7" ht="13" x14ac:dyDescent="0.3">
      <c r="E232" s="552"/>
      <c r="G232" s="662"/>
    </row>
    <row r="233" spans="5:7" ht="13" x14ac:dyDescent="0.3">
      <c r="E233" s="552"/>
      <c r="G233" s="662"/>
    </row>
    <row r="234" spans="5:7" ht="13" x14ac:dyDescent="0.3">
      <c r="E234" s="552"/>
      <c r="G234" s="662"/>
    </row>
    <row r="235" spans="5:7" ht="13" x14ac:dyDescent="0.3">
      <c r="E235" s="552"/>
      <c r="G235" s="662"/>
    </row>
    <row r="236" spans="5:7" ht="13" x14ac:dyDescent="0.3">
      <c r="E236" s="552"/>
      <c r="G236" s="662"/>
    </row>
    <row r="237" spans="5:7" ht="13" x14ac:dyDescent="0.3">
      <c r="E237" s="552"/>
      <c r="G237" s="662"/>
    </row>
    <row r="238" spans="5:7" ht="13" x14ac:dyDescent="0.3">
      <c r="E238" s="552"/>
      <c r="G238" s="662"/>
    </row>
    <row r="239" spans="5:7" ht="13" x14ac:dyDescent="0.3">
      <c r="E239" s="552"/>
      <c r="G239" s="662"/>
    </row>
    <row r="240" spans="5:7" ht="13" x14ac:dyDescent="0.3">
      <c r="E240" s="552"/>
      <c r="G240" s="662"/>
    </row>
    <row r="241" spans="5:7" ht="13" x14ac:dyDescent="0.3">
      <c r="E241" s="552"/>
      <c r="G241" s="662"/>
    </row>
    <row r="242" spans="5:7" ht="13" x14ac:dyDescent="0.3">
      <c r="E242" s="552"/>
      <c r="G242" s="662"/>
    </row>
    <row r="243" spans="5:7" ht="13" x14ac:dyDescent="0.3">
      <c r="E243" s="552"/>
      <c r="G243" s="662"/>
    </row>
    <row r="244" spans="5:7" ht="13" x14ac:dyDescent="0.3">
      <c r="E244" s="552"/>
      <c r="G244" s="662"/>
    </row>
    <row r="245" spans="5:7" ht="13" x14ac:dyDescent="0.3">
      <c r="E245" s="552"/>
      <c r="G245" s="662"/>
    </row>
    <row r="246" spans="5:7" ht="13" x14ac:dyDescent="0.3">
      <c r="E246" s="552"/>
      <c r="G246" s="662"/>
    </row>
    <row r="247" spans="5:7" ht="13" x14ac:dyDescent="0.3">
      <c r="E247" s="552"/>
      <c r="G247" s="662"/>
    </row>
    <row r="248" spans="5:7" ht="13" x14ac:dyDescent="0.3">
      <c r="E248" s="552"/>
      <c r="G248" s="662"/>
    </row>
    <row r="249" spans="5:7" ht="13" x14ac:dyDescent="0.3">
      <c r="E249" s="552"/>
      <c r="G249" s="662"/>
    </row>
    <row r="250" spans="5:7" ht="13" x14ac:dyDescent="0.3">
      <c r="E250" s="552"/>
      <c r="G250" s="662"/>
    </row>
    <row r="251" spans="5:7" ht="13" x14ac:dyDescent="0.3">
      <c r="E251" s="552"/>
      <c r="G251" s="662"/>
    </row>
    <row r="252" spans="5:7" ht="13" x14ac:dyDescent="0.3">
      <c r="E252" s="552"/>
      <c r="G252" s="662"/>
    </row>
    <row r="253" spans="5:7" ht="13" x14ac:dyDescent="0.3">
      <c r="E253" s="552"/>
      <c r="G253" s="662"/>
    </row>
    <row r="254" spans="5:7" ht="13" x14ac:dyDescent="0.3">
      <c r="E254" s="552"/>
      <c r="G254" s="662"/>
    </row>
    <row r="255" spans="5:7" ht="13" x14ac:dyDescent="0.3">
      <c r="E255" s="552"/>
      <c r="G255" s="662"/>
    </row>
    <row r="256" spans="5:7" ht="13" x14ac:dyDescent="0.3">
      <c r="E256" s="552"/>
      <c r="G256" s="662"/>
    </row>
    <row r="257" spans="5:7" ht="13" x14ac:dyDescent="0.3">
      <c r="E257" s="552"/>
      <c r="G257" s="662"/>
    </row>
    <row r="258" spans="5:7" ht="13" x14ac:dyDescent="0.3">
      <c r="E258" s="552"/>
      <c r="G258" s="662"/>
    </row>
    <row r="259" spans="5:7" ht="13" x14ac:dyDescent="0.3">
      <c r="E259" s="552"/>
      <c r="G259" s="662"/>
    </row>
    <row r="260" spans="5:7" ht="13" x14ac:dyDescent="0.3">
      <c r="E260" s="552"/>
      <c r="G260" s="662"/>
    </row>
    <row r="261" spans="5:7" ht="13" x14ac:dyDescent="0.3">
      <c r="E261" s="552"/>
      <c r="G261" s="662"/>
    </row>
    <row r="262" spans="5:7" ht="13" x14ac:dyDescent="0.3">
      <c r="E262" s="552"/>
      <c r="G262" s="662"/>
    </row>
    <row r="263" spans="5:7" ht="13" x14ac:dyDescent="0.3">
      <c r="E263" s="552"/>
      <c r="G263" s="662"/>
    </row>
    <row r="264" spans="5:7" ht="13" x14ac:dyDescent="0.3">
      <c r="E264" s="552"/>
      <c r="G264" s="662"/>
    </row>
    <row r="265" spans="5:7" ht="13" x14ac:dyDescent="0.3">
      <c r="E265" s="552"/>
      <c r="G265" s="662"/>
    </row>
    <row r="266" spans="5:7" ht="13" x14ac:dyDescent="0.3">
      <c r="E266" s="552"/>
      <c r="G266" s="662"/>
    </row>
    <row r="267" spans="5:7" ht="13" x14ac:dyDescent="0.3">
      <c r="E267" s="552"/>
      <c r="G267" s="662"/>
    </row>
    <row r="268" spans="5:7" ht="13" x14ac:dyDescent="0.3">
      <c r="E268" s="552"/>
      <c r="G268" s="662"/>
    </row>
    <row r="269" spans="5:7" ht="13" x14ac:dyDescent="0.3">
      <c r="E269" s="552"/>
      <c r="G269" s="662"/>
    </row>
    <row r="270" spans="5:7" ht="13" x14ac:dyDescent="0.3">
      <c r="E270" s="552"/>
      <c r="G270" s="662"/>
    </row>
    <row r="271" spans="5:7" ht="13" x14ac:dyDescent="0.3">
      <c r="E271" s="552"/>
      <c r="G271" s="662"/>
    </row>
    <row r="272" spans="5:7" ht="13" x14ac:dyDescent="0.3">
      <c r="E272" s="552"/>
      <c r="G272" s="662"/>
    </row>
    <row r="273" spans="5:7" ht="13" x14ac:dyDescent="0.3">
      <c r="E273" s="552"/>
      <c r="G273" s="662"/>
    </row>
    <row r="274" spans="5:7" ht="13" x14ac:dyDescent="0.3">
      <c r="E274" s="552"/>
      <c r="G274" s="662"/>
    </row>
    <row r="275" spans="5:7" ht="13" x14ac:dyDescent="0.3">
      <c r="E275" s="552"/>
      <c r="G275" s="662"/>
    </row>
    <row r="276" spans="5:7" ht="13" x14ac:dyDescent="0.3">
      <c r="E276" s="552"/>
      <c r="G276" s="662"/>
    </row>
    <row r="277" spans="5:7" ht="13" x14ac:dyDescent="0.3">
      <c r="E277" s="552"/>
      <c r="G277" s="662"/>
    </row>
    <row r="278" spans="5:7" ht="13" x14ac:dyDescent="0.3">
      <c r="E278" s="552"/>
      <c r="G278" s="662"/>
    </row>
    <row r="279" spans="5:7" ht="13" x14ac:dyDescent="0.3">
      <c r="E279" s="552"/>
      <c r="G279" s="662"/>
    </row>
    <row r="280" spans="5:7" ht="13" x14ac:dyDescent="0.3">
      <c r="E280" s="552"/>
      <c r="G280" s="662"/>
    </row>
    <row r="281" spans="5:7" ht="13" x14ac:dyDescent="0.3">
      <c r="E281" s="552"/>
      <c r="G281" s="662"/>
    </row>
    <row r="282" spans="5:7" ht="13" x14ac:dyDescent="0.3">
      <c r="E282" s="552"/>
      <c r="G282" s="662"/>
    </row>
    <row r="283" spans="5:7" ht="13" x14ac:dyDescent="0.3">
      <c r="E283" s="552"/>
      <c r="G283" s="662"/>
    </row>
    <row r="284" spans="5:7" ht="13" x14ac:dyDescent="0.3">
      <c r="E284" s="552"/>
      <c r="G284" s="662"/>
    </row>
    <row r="285" spans="5:7" ht="13" x14ac:dyDescent="0.3">
      <c r="E285" s="552"/>
      <c r="G285" s="662"/>
    </row>
    <row r="286" spans="5:7" ht="13" x14ac:dyDescent="0.3">
      <c r="E286" s="552"/>
      <c r="G286" s="662"/>
    </row>
    <row r="287" spans="5:7" ht="13" x14ac:dyDescent="0.3">
      <c r="E287" s="552"/>
      <c r="G287" s="662"/>
    </row>
    <row r="288" spans="5:7" ht="13" x14ac:dyDescent="0.3">
      <c r="E288" s="552"/>
      <c r="G288" s="662"/>
    </row>
    <row r="289" spans="5:7" ht="13" x14ac:dyDescent="0.3">
      <c r="E289" s="552"/>
      <c r="G289" s="662"/>
    </row>
    <row r="290" spans="5:7" ht="13" x14ac:dyDescent="0.3">
      <c r="E290" s="552"/>
      <c r="G290" s="662"/>
    </row>
    <row r="291" spans="5:7" ht="13" x14ac:dyDescent="0.3">
      <c r="E291" s="552"/>
      <c r="G291" s="662"/>
    </row>
    <row r="292" spans="5:7" ht="13" x14ac:dyDescent="0.3">
      <c r="E292" s="552"/>
      <c r="G292" s="662"/>
    </row>
    <row r="293" spans="5:7" ht="13" x14ac:dyDescent="0.3">
      <c r="E293" s="552"/>
      <c r="G293" s="662"/>
    </row>
    <row r="294" spans="5:7" ht="13" x14ac:dyDescent="0.3">
      <c r="E294" s="552"/>
      <c r="G294" s="662"/>
    </row>
    <row r="295" spans="5:7" ht="13" x14ac:dyDescent="0.3">
      <c r="E295" s="552"/>
      <c r="G295" s="662"/>
    </row>
    <row r="296" spans="5:7" ht="13" x14ac:dyDescent="0.3">
      <c r="E296" s="552"/>
      <c r="G296" s="662"/>
    </row>
    <row r="297" spans="5:7" ht="13" x14ac:dyDescent="0.3">
      <c r="E297" s="552"/>
      <c r="G297" s="662"/>
    </row>
    <row r="298" spans="5:7" ht="13" x14ac:dyDescent="0.3">
      <c r="E298" s="552"/>
      <c r="G298" s="662"/>
    </row>
    <row r="299" spans="5:7" ht="13" x14ac:dyDescent="0.3">
      <c r="E299" s="552"/>
      <c r="G299" s="662"/>
    </row>
    <row r="300" spans="5:7" ht="13" x14ac:dyDescent="0.3">
      <c r="E300" s="552"/>
      <c r="G300" s="662"/>
    </row>
    <row r="301" spans="5:7" ht="13" x14ac:dyDescent="0.3">
      <c r="E301" s="552"/>
      <c r="G301" s="662"/>
    </row>
    <row r="302" spans="5:7" ht="13" x14ac:dyDescent="0.3">
      <c r="E302" s="552"/>
      <c r="G302" s="662"/>
    </row>
    <row r="303" spans="5:7" ht="13" x14ac:dyDescent="0.3">
      <c r="E303" s="552"/>
      <c r="G303" s="662"/>
    </row>
    <row r="304" spans="5:7" ht="13" x14ac:dyDescent="0.3">
      <c r="E304" s="552"/>
      <c r="G304" s="662"/>
    </row>
    <row r="305" spans="5:7" ht="13" x14ac:dyDescent="0.3">
      <c r="E305" s="552"/>
      <c r="G305" s="662"/>
    </row>
    <row r="306" spans="5:7" ht="13" x14ac:dyDescent="0.3">
      <c r="E306" s="552"/>
      <c r="G306" s="662"/>
    </row>
    <row r="307" spans="5:7" ht="13" x14ac:dyDescent="0.3">
      <c r="E307" s="552"/>
      <c r="G307" s="662"/>
    </row>
    <row r="308" spans="5:7" ht="13" x14ac:dyDescent="0.3">
      <c r="E308" s="552"/>
      <c r="G308" s="662"/>
    </row>
    <row r="309" spans="5:7" ht="13" x14ac:dyDescent="0.3">
      <c r="E309" s="552"/>
      <c r="G309" s="662"/>
    </row>
    <row r="310" spans="5:7" ht="13" x14ac:dyDescent="0.3">
      <c r="E310" s="552"/>
      <c r="G310" s="662"/>
    </row>
    <row r="311" spans="5:7" ht="13" x14ac:dyDescent="0.3">
      <c r="E311" s="552"/>
      <c r="G311" s="662"/>
    </row>
    <row r="312" spans="5:7" ht="13" x14ac:dyDescent="0.3">
      <c r="E312" s="552"/>
      <c r="G312" s="662"/>
    </row>
    <row r="313" spans="5:7" ht="13" x14ac:dyDescent="0.3">
      <c r="E313" s="552"/>
      <c r="F313" s="552"/>
      <c r="G313" s="662"/>
    </row>
    <row r="314" spans="5:7" ht="13" x14ac:dyDescent="0.3">
      <c r="E314" s="552"/>
      <c r="F314" s="552"/>
      <c r="G314" s="662"/>
    </row>
    <row r="315" spans="5:7" ht="13" x14ac:dyDescent="0.3">
      <c r="E315" s="552"/>
      <c r="F315" s="552"/>
      <c r="G315" s="662"/>
    </row>
    <row r="316" spans="5:7" ht="13" x14ac:dyDescent="0.3">
      <c r="E316" s="1267"/>
      <c r="F316" s="552"/>
      <c r="G316" s="676"/>
    </row>
    <row r="317" spans="5:7" ht="13" x14ac:dyDescent="0.3">
      <c r="E317" s="552"/>
      <c r="F317" s="552"/>
      <c r="G317" s="662"/>
    </row>
    <row r="318" spans="5:7" ht="13" x14ac:dyDescent="0.3">
      <c r="E318" s="552"/>
      <c r="F318" s="552"/>
      <c r="G318" s="662"/>
    </row>
    <row r="319" spans="5:7" ht="13" x14ac:dyDescent="0.3">
      <c r="E319" s="552"/>
      <c r="F319" s="552"/>
      <c r="G319" s="662"/>
    </row>
    <row r="320" spans="5:7" ht="13" x14ac:dyDescent="0.3">
      <c r="E320" s="552"/>
      <c r="F320" s="552"/>
      <c r="G320" s="662"/>
    </row>
    <row r="321" spans="5:7" ht="15.5" x14ac:dyDescent="0.35">
      <c r="E321" s="1313"/>
      <c r="F321" s="552"/>
      <c r="G321" s="662"/>
    </row>
    <row r="322" spans="5:7" ht="13" x14ac:dyDescent="0.3">
      <c r="E322" s="552"/>
      <c r="F322" s="552"/>
      <c r="G322" s="662"/>
    </row>
    <row r="323" spans="5:7" ht="14.5" x14ac:dyDescent="0.35">
      <c r="E323" s="1302"/>
      <c r="F323" s="1303"/>
      <c r="G323" s="1304"/>
    </row>
    <row r="324" spans="5:7" ht="13" x14ac:dyDescent="0.3">
      <c r="E324" s="552"/>
      <c r="G324" s="662"/>
    </row>
    <row r="325" spans="5:7" ht="13" x14ac:dyDescent="0.3">
      <c r="E325" s="552"/>
      <c r="G325" s="662"/>
    </row>
    <row r="326" spans="5:7" ht="13" x14ac:dyDescent="0.3">
      <c r="E326" s="552"/>
      <c r="G326" s="1318"/>
    </row>
    <row r="327" spans="5:7" ht="13" x14ac:dyDescent="0.3">
      <c r="E327" s="552"/>
      <c r="G327" s="662"/>
    </row>
    <row r="328" spans="5:7" ht="13" x14ac:dyDescent="0.3">
      <c r="E328" s="552"/>
      <c r="G328" s="662"/>
    </row>
    <row r="329" spans="5:7" ht="13" x14ac:dyDescent="0.3">
      <c r="E329" s="552"/>
      <c r="G329" s="662"/>
    </row>
    <row r="330" spans="5:7" ht="13" x14ac:dyDescent="0.3">
      <c r="E330" s="552"/>
      <c r="G330" s="662"/>
    </row>
    <row r="331" spans="5:7" ht="13" x14ac:dyDescent="0.3">
      <c r="E331" s="552"/>
      <c r="G331" s="662"/>
    </row>
    <row r="332" spans="5:7" ht="13" x14ac:dyDescent="0.3">
      <c r="E332" s="552"/>
      <c r="G332" s="662"/>
    </row>
    <row r="333" spans="5:7" ht="13" x14ac:dyDescent="0.3">
      <c r="E333" s="552"/>
      <c r="G333" s="662"/>
    </row>
    <row r="334" spans="5:7" ht="13" x14ac:dyDescent="0.3">
      <c r="E334" s="552"/>
      <c r="G334" s="662"/>
    </row>
    <row r="335" spans="5:7" ht="13" x14ac:dyDescent="0.3">
      <c r="E335" s="552"/>
      <c r="G335" s="662"/>
    </row>
    <row r="336" spans="5:7" ht="13" x14ac:dyDescent="0.3">
      <c r="E336" s="552"/>
      <c r="G336" s="662"/>
    </row>
    <row r="337" spans="5:7" x14ac:dyDescent="0.25">
      <c r="E337" s="1308"/>
      <c r="G337" s="662"/>
    </row>
    <row r="338" spans="5:7" ht="13" x14ac:dyDescent="0.3">
      <c r="E338" s="552"/>
      <c r="G338" s="662"/>
    </row>
    <row r="339" spans="5:7" ht="13" x14ac:dyDescent="0.3">
      <c r="E339" s="552"/>
      <c r="G339" s="662"/>
    </row>
    <row r="340" spans="5:7" ht="13" x14ac:dyDescent="0.3">
      <c r="E340" s="552"/>
      <c r="G340" s="662"/>
    </row>
    <row r="341" spans="5:7" ht="13" x14ac:dyDescent="0.3">
      <c r="E341" s="552"/>
      <c r="G341" s="1318"/>
    </row>
    <row r="342" spans="5:7" ht="13" x14ac:dyDescent="0.3">
      <c r="E342" s="552"/>
      <c r="G342" s="662"/>
    </row>
    <row r="343" spans="5:7" ht="13" x14ac:dyDescent="0.3">
      <c r="E343" s="552"/>
      <c r="G343" s="662"/>
    </row>
    <row r="344" spans="5:7" ht="13" x14ac:dyDescent="0.3">
      <c r="E344" s="552"/>
      <c r="G344" s="662"/>
    </row>
    <row r="345" spans="5:7" ht="13" x14ac:dyDescent="0.3">
      <c r="E345" s="552"/>
      <c r="G345" s="662"/>
    </row>
    <row r="346" spans="5:7" ht="13" x14ac:dyDescent="0.3">
      <c r="E346" s="552"/>
      <c r="G346" s="662"/>
    </row>
    <row r="347" spans="5:7" ht="13" x14ac:dyDescent="0.3">
      <c r="E347" s="552"/>
      <c r="G347" s="662"/>
    </row>
    <row r="348" spans="5:7" ht="13" x14ac:dyDescent="0.3">
      <c r="E348" s="552"/>
      <c r="G348" s="662"/>
    </row>
    <row r="349" spans="5:7" ht="13" x14ac:dyDescent="0.3">
      <c r="E349" s="552"/>
      <c r="G349" s="662"/>
    </row>
    <row r="350" spans="5:7" ht="13" x14ac:dyDescent="0.3">
      <c r="E350" s="552"/>
      <c r="G350" s="662"/>
    </row>
    <row r="351" spans="5:7" ht="13" x14ac:dyDescent="0.3">
      <c r="E351" s="552"/>
      <c r="G351" s="662"/>
    </row>
    <row r="352" spans="5:7" ht="13" x14ac:dyDescent="0.3">
      <c r="E352" s="552"/>
      <c r="G352" s="662"/>
    </row>
    <row r="353" spans="5:7" ht="13" x14ac:dyDescent="0.3">
      <c r="E353" s="552"/>
      <c r="G353" s="662"/>
    </row>
    <row r="354" spans="5:7" ht="13" x14ac:dyDescent="0.3">
      <c r="E354" s="552"/>
      <c r="G354" s="662"/>
    </row>
    <row r="355" spans="5:7" ht="13" x14ac:dyDescent="0.3">
      <c r="E355" s="552"/>
      <c r="G355" s="662"/>
    </row>
    <row r="356" spans="5:7" ht="13" x14ac:dyDescent="0.3">
      <c r="E356" s="552"/>
      <c r="G356" s="662"/>
    </row>
    <row r="357" spans="5:7" ht="13" x14ac:dyDescent="0.3">
      <c r="E357" s="552"/>
      <c r="G357" s="1318"/>
    </row>
    <row r="358" spans="5:7" ht="13" x14ac:dyDescent="0.3">
      <c r="E358" s="552"/>
      <c r="G358" s="1318"/>
    </row>
    <row r="359" spans="5:7" ht="13" x14ac:dyDescent="0.3">
      <c r="E359" s="552"/>
      <c r="G359" s="662"/>
    </row>
    <row r="360" spans="5:7" ht="13" x14ac:dyDescent="0.3">
      <c r="E360" s="552"/>
      <c r="G360" s="1318"/>
    </row>
    <row r="361" spans="5:7" ht="13" x14ac:dyDescent="0.3">
      <c r="E361" s="552"/>
      <c r="G361" s="1318"/>
    </row>
    <row r="362" spans="5:7" ht="13" x14ac:dyDescent="0.3">
      <c r="E362" s="552"/>
      <c r="G362" s="1318"/>
    </row>
    <row r="363" spans="5:7" ht="13" x14ac:dyDescent="0.3">
      <c r="E363" s="552"/>
      <c r="G363" s="1318"/>
    </row>
    <row r="364" spans="5:7" ht="13" x14ac:dyDescent="0.3">
      <c r="E364" s="552"/>
      <c r="G364" s="662"/>
    </row>
    <row r="365" spans="5:7" ht="13" x14ac:dyDescent="0.3">
      <c r="E365" s="552"/>
      <c r="G365" s="662"/>
    </row>
    <row r="366" spans="5:7" ht="13" x14ac:dyDescent="0.3">
      <c r="E366" s="552"/>
      <c r="G366" s="662"/>
    </row>
    <row r="369" spans="5:7" ht="13" x14ac:dyDescent="0.3">
      <c r="E369" s="552"/>
      <c r="F369" s="552"/>
      <c r="G369" s="662"/>
    </row>
    <row r="370" spans="5:7" ht="13" x14ac:dyDescent="0.3">
      <c r="E370" s="552"/>
      <c r="F370" s="552"/>
      <c r="G370" s="662"/>
    </row>
    <row r="371" spans="5:7" ht="13" x14ac:dyDescent="0.3">
      <c r="E371" s="1267"/>
      <c r="F371" s="552"/>
      <c r="G371" s="676"/>
    </row>
    <row r="372" spans="5:7" ht="13" x14ac:dyDescent="0.3">
      <c r="E372" s="552"/>
      <c r="F372" s="552"/>
      <c r="G372" s="662"/>
    </row>
    <row r="373" spans="5:7" ht="13" x14ac:dyDescent="0.3">
      <c r="E373" s="552"/>
      <c r="F373" s="552"/>
      <c r="G373" s="662"/>
    </row>
    <row r="374" spans="5:7" ht="13" x14ac:dyDescent="0.3">
      <c r="E374" s="552"/>
      <c r="G374" s="662"/>
    </row>
    <row r="375" spans="5:7" ht="13" x14ac:dyDescent="0.3">
      <c r="E375" s="552"/>
      <c r="F375" s="552"/>
      <c r="G375" s="662"/>
    </row>
    <row r="376" spans="5:7" ht="13" x14ac:dyDescent="0.3">
      <c r="E376" s="552"/>
      <c r="F376" s="552"/>
      <c r="G376" s="662"/>
    </row>
    <row r="377" spans="5:7" ht="13" x14ac:dyDescent="0.3">
      <c r="E377" s="552"/>
      <c r="F377" s="552"/>
      <c r="G377" s="662"/>
    </row>
    <row r="378" spans="5:7" ht="15.5" x14ac:dyDescent="0.35">
      <c r="E378" s="1313"/>
      <c r="F378" s="552"/>
      <c r="G378" s="662"/>
    </row>
    <row r="379" spans="5:7" ht="13" x14ac:dyDescent="0.3">
      <c r="E379" s="552"/>
      <c r="F379" s="552"/>
      <c r="G379" s="662"/>
    </row>
    <row r="380" spans="5:7" ht="14.5" x14ac:dyDescent="0.35">
      <c r="E380" s="1302"/>
      <c r="F380" s="1303"/>
      <c r="G380" s="1304"/>
    </row>
    <row r="381" spans="5:7" ht="13" x14ac:dyDescent="0.3">
      <c r="E381" s="552"/>
      <c r="G381" s="662"/>
    </row>
    <row r="382" spans="5:7" ht="13" x14ac:dyDescent="0.3">
      <c r="E382" s="552"/>
      <c r="G382" s="662"/>
    </row>
    <row r="383" spans="5:7" ht="13" x14ac:dyDescent="0.3">
      <c r="E383" s="552"/>
      <c r="G383" s="662"/>
    </row>
    <row r="384" spans="5:7" ht="13" x14ac:dyDescent="0.3">
      <c r="E384" s="552"/>
      <c r="G384" s="662"/>
    </row>
    <row r="385" spans="5:7" ht="13" x14ac:dyDescent="0.3">
      <c r="E385" s="552"/>
      <c r="G385" s="662"/>
    </row>
    <row r="386" spans="5:7" ht="13" x14ac:dyDescent="0.3">
      <c r="E386" s="552"/>
      <c r="G386" s="662"/>
    </row>
    <row r="387" spans="5:7" ht="13" x14ac:dyDescent="0.3">
      <c r="E387" s="552"/>
      <c r="G387" s="662"/>
    </row>
    <row r="388" spans="5:7" ht="13" x14ac:dyDescent="0.3">
      <c r="E388" s="552"/>
      <c r="G388" s="662"/>
    </row>
    <row r="389" spans="5:7" ht="13" x14ac:dyDescent="0.3">
      <c r="E389" s="552"/>
      <c r="G389" s="662"/>
    </row>
    <row r="390" spans="5:7" ht="13" x14ac:dyDescent="0.3">
      <c r="E390" s="552"/>
      <c r="G390" s="662"/>
    </row>
    <row r="391" spans="5:7" ht="13" x14ac:dyDescent="0.3">
      <c r="E391" s="552"/>
      <c r="G391" s="662"/>
    </row>
    <row r="392" spans="5:7" ht="13" x14ac:dyDescent="0.3">
      <c r="E392" s="552"/>
      <c r="G392" s="662"/>
    </row>
    <row r="393" spans="5:7" ht="13" x14ac:dyDescent="0.3">
      <c r="E393" s="552"/>
      <c r="G393" s="662"/>
    </row>
    <row r="394" spans="5:7" ht="13" x14ac:dyDescent="0.3">
      <c r="E394" s="552"/>
      <c r="G394" s="662"/>
    </row>
    <row r="395" spans="5:7" ht="13" x14ac:dyDescent="0.3">
      <c r="E395" s="552"/>
      <c r="G395" s="662"/>
    </row>
    <row r="396" spans="5:7" ht="13" x14ac:dyDescent="0.3">
      <c r="E396" s="552"/>
      <c r="G396" s="662"/>
    </row>
    <row r="397" spans="5:7" ht="13" x14ac:dyDescent="0.3">
      <c r="E397" s="552"/>
      <c r="G397" s="662"/>
    </row>
    <row r="398" spans="5:7" ht="13" x14ac:dyDescent="0.3">
      <c r="E398" s="552"/>
      <c r="G398" s="662"/>
    </row>
    <row r="399" spans="5:7" ht="13" x14ac:dyDescent="0.3">
      <c r="E399" s="552"/>
      <c r="G399" s="662"/>
    </row>
    <row r="400" spans="5:7" ht="13" x14ac:dyDescent="0.3">
      <c r="E400" s="552"/>
      <c r="G400" s="662"/>
    </row>
    <row r="401" spans="5:7" ht="13" x14ac:dyDescent="0.3">
      <c r="E401" s="552"/>
      <c r="G401" s="662"/>
    </row>
    <row r="402" spans="5:7" ht="13" x14ac:dyDescent="0.3">
      <c r="E402" s="552"/>
      <c r="G402" s="662"/>
    </row>
    <row r="403" spans="5:7" ht="13" x14ac:dyDescent="0.3">
      <c r="E403" s="552"/>
      <c r="G403" s="662"/>
    </row>
    <row r="404" spans="5:7" ht="13" x14ac:dyDescent="0.3">
      <c r="E404" s="552"/>
      <c r="G404" s="662"/>
    </row>
    <row r="405" spans="5:7" ht="13" x14ac:dyDescent="0.3">
      <c r="E405" s="552"/>
      <c r="G405" s="662"/>
    </row>
    <row r="406" spans="5:7" ht="13" x14ac:dyDescent="0.3">
      <c r="E406" s="552"/>
      <c r="G406" s="662"/>
    </row>
    <row r="407" spans="5:7" ht="13" x14ac:dyDescent="0.3">
      <c r="E407" s="552"/>
      <c r="F407" s="552"/>
      <c r="G407" s="662"/>
    </row>
    <row r="408" spans="5:7" ht="13" x14ac:dyDescent="0.3">
      <c r="E408" s="552"/>
      <c r="F408" s="552"/>
      <c r="G408" s="662"/>
    </row>
    <row r="409" spans="5:7" ht="13" x14ac:dyDescent="0.3">
      <c r="E409" s="552"/>
      <c r="F409" s="552"/>
      <c r="G409" s="662"/>
    </row>
    <row r="410" spans="5:7" ht="13" x14ac:dyDescent="0.3">
      <c r="E410" s="1267"/>
      <c r="F410" s="552"/>
      <c r="G410" s="676"/>
    </row>
    <row r="411" spans="5:7" ht="13" x14ac:dyDescent="0.3">
      <c r="E411" s="552"/>
      <c r="F411" s="552"/>
      <c r="G411" s="662"/>
    </row>
    <row r="412" spans="5:7" ht="13" x14ac:dyDescent="0.3">
      <c r="E412" s="552"/>
      <c r="F412" s="552"/>
      <c r="G412" s="662"/>
    </row>
    <row r="413" spans="5:7" ht="13" x14ac:dyDescent="0.3">
      <c r="E413" s="552"/>
      <c r="F413" s="552"/>
      <c r="G413" s="662"/>
    </row>
    <row r="414" spans="5:7" ht="15.5" x14ac:dyDescent="0.35">
      <c r="E414" s="1313"/>
      <c r="F414" s="552"/>
      <c r="G414" s="662"/>
    </row>
    <row r="415" spans="5:7" ht="13" x14ac:dyDescent="0.3">
      <c r="E415" s="552"/>
      <c r="F415" s="552"/>
      <c r="G415" s="662"/>
    </row>
    <row r="416" spans="5:7" ht="14.5" x14ac:dyDescent="0.35">
      <c r="E416" s="1302"/>
      <c r="F416" s="1303"/>
      <c r="G416" s="1304"/>
    </row>
    <row r="417" spans="5:7" ht="13" x14ac:dyDescent="0.3">
      <c r="E417" s="552"/>
      <c r="G417" s="662"/>
    </row>
    <row r="418" spans="5:7" ht="13" x14ac:dyDescent="0.3">
      <c r="E418" s="552"/>
      <c r="G418" s="662"/>
    </row>
    <row r="419" spans="5:7" ht="13" x14ac:dyDescent="0.3">
      <c r="E419" s="552"/>
      <c r="G419" s="662"/>
    </row>
    <row r="420" spans="5:7" ht="13" x14ac:dyDescent="0.3">
      <c r="E420" s="552"/>
      <c r="G420" s="662"/>
    </row>
    <row r="421" spans="5:7" ht="13" x14ac:dyDescent="0.3">
      <c r="E421" s="552"/>
      <c r="G421" s="662"/>
    </row>
    <row r="422" spans="5:7" ht="13" x14ac:dyDescent="0.3">
      <c r="E422" s="552"/>
      <c r="F422" s="552"/>
      <c r="G422" s="662"/>
    </row>
    <row r="423" spans="5:7" ht="13" x14ac:dyDescent="0.3">
      <c r="E423" s="552"/>
      <c r="F423" s="552"/>
      <c r="G423" s="662"/>
    </row>
    <row r="424" spans="5:7" ht="13" x14ac:dyDescent="0.3">
      <c r="E424" s="1267"/>
      <c r="F424" s="552"/>
      <c r="G424" s="662"/>
    </row>
    <row r="425" spans="5:7" ht="13" x14ac:dyDescent="0.3">
      <c r="E425" s="552"/>
      <c r="F425" s="552"/>
      <c r="G425" s="662"/>
    </row>
    <row r="426" spans="5:7" ht="13" x14ac:dyDescent="0.3">
      <c r="E426" s="1267"/>
      <c r="F426" s="552"/>
      <c r="G426" s="676"/>
    </row>
    <row r="427" spans="5:7" ht="13" x14ac:dyDescent="0.3">
      <c r="E427" s="552"/>
      <c r="F427" s="552"/>
      <c r="G427" s="662"/>
    </row>
    <row r="428" spans="5:7" ht="13" x14ac:dyDescent="0.3">
      <c r="E428" s="552"/>
      <c r="F428" s="552"/>
      <c r="G428" s="662"/>
    </row>
    <row r="429" spans="5:7" ht="13" x14ac:dyDescent="0.3">
      <c r="E429" s="552"/>
      <c r="F429" s="552"/>
      <c r="G429" s="1314"/>
    </row>
    <row r="430" spans="5:7" x14ac:dyDescent="0.25">
      <c r="F430" s="1087"/>
    </row>
    <row r="431" spans="5:7" x14ac:dyDescent="0.25">
      <c r="F431" s="662"/>
    </row>
    <row r="432" spans="5:7" x14ac:dyDescent="0.25">
      <c r="F432" s="1087"/>
    </row>
    <row r="433" spans="6:6" x14ac:dyDescent="0.25">
      <c r="F433" s="1087"/>
    </row>
    <row r="434" spans="6:6" x14ac:dyDescent="0.25">
      <c r="F434" s="1087"/>
    </row>
    <row r="435" spans="6:6" x14ac:dyDescent="0.25">
      <c r="F435" s="1087"/>
    </row>
    <row r="436" spans="6:6" x14ac:dyDescent="0.25">
      <c r="F436" s="1087"/>
    </row>
    <row r="437" spans="6:6" x14ac:dyDescent="0.25">
      <c r="F437" s="1087"/>
    </row>
    <row r="438" spans="6:6" x14ac:dyDescent="0.25">
      <c r="F438" s="1087"/>
    </row>
    <row r="439" spans="6:6" x14ac:dyDescent="0.25">
      <c r="F439" s="1087"/>
    </row>
    <row r="440" spans="6:6" x14ac:dyDescent="0.25">
      <c r="F440" s="1087"/>
    </row>
    <row r="441" spans="6:6" x14ac:dyDescent="0.25">
      <c r="F441" s="1087"/>
    </row>
    <row r="442" spans="6:6" x14ac:dyDescent="0.25">
      <c r="F442" s="1087"/>
    </row>
    <row r="443" spans="6:6" x14ac:dyDescent="0.25">
      <c r="F443" s="1087"/>
    </row>
    <row r="444" spans="6:6" x14ac:dyDescent="0.25">
      <c r="F444" s="1087"/>
    </row>
    <row r="445" spans="6:6" x14ac:dyDescent="0.25">
      <c r="F445" s="1087"/>
    </row>
    <row r="446" spans="6:6" x14ac:dyDescent="0.25">
      <c r="F446" s="1087"/>
    </row>
    <row r="447" spans="6:6" x14ac:dyDescent="0.25">
      <c r="F447" s="1087"/>
    </row>
    <row r="448" spans="6:6" x14ac:dyDescent="0.25">
      <c r="F448" s="1087"/>
    </row>
    <row r="449" spans="6:6" x14ac:dyDescent="0.25">
      <c r="F449" s="1087"/>
    </row>
    <row r="450" spans="6:6" x14ac:dyDescent="0.25">
      <c r="F450" s="1087"/>
    </row>
    <row r="451" spans="6:6" x14ac:dyDescent="0.25">
      <c r="F451" s="1087"/>
    </row>
    <row r="452" spans="6:6" x14ac:dyDescent="0.25">
      <c r="F452" s="1087"/>
    </row>
    <row r="453" spans="6:6" x14ac:dyDescent="0.25">
      <c r="F453" s="1087"/>
    </row>
    <row r="454" spans="6:6" x14ac:dyDescent="0.25">
      <c r="F454" s="1087"/>
    </row>
    <row r="455" spans="6:6" x14ac:dyDescent="0.25">
      <c r="F455" s="1087"/>
    </row>
    <row r="456" spans="6:6" x14ac:dyDescent="0.25">
      <c r="F456" s="1087"/>
    </row>
    <row r="457" spans="6:6" x14ac:dyDescent="0.25">
      <c r="F457" s="1087"/>
    </row>
    <row r="458" spans="6:6" x14ac:dyDescent="0.25">
      <c r="F458" s="1087"/>
    </row>
    <row r="459" spans="6:6" x14ac:dyDescent="0.25">
      <c r="F459" s="1087"/>
    </row>
    <row r="460" spans="6:6" x14ac:dyDescent="0.25">
      <c r="F460" s="1087"/>
    </row>
    <row r="461" spans="6:6" x14ac:dyDescent="0.25">
      <c r="F461" s="1087"/>
    </row>
    <row r="462" spans="6:6" x14ac:dyDescent="0.25">
      <c r="F462" s="1087"/>
    </row>
    <row r="463" spans="6:6" x14ac:dyDescent="0.25">
      <c r="F463" s="1087"/>
    </row>
    <row r="464" spans="6:6" x14ac:dyDescent="0.25">
      <c r="F464" s="1087"/>
    </row>
    <row r="465" spans="6:6" x14ac:dyDescent="0.25">
      <c r="F465" s="1087"/>
    </row>
    <row r="466" spans="6:6" x14ac:dyDescent="0.25">
      <c r="F466" s="1087"/>
    </row>
    <row r="467" spans="6:6" x14ac:dyDescent="0.25">
      <c r="F467" s="1087"/>
    </row>
    <row r="468" spans="6:6" x14ac:dyDescent="0.25">
      <c r="F468" s="1087"/>
    </row>
    <row r="469" spans="6:6" x14ac:dyDescent="0.25">
      <c r="F469" s="1087"/>
    </row>
    <row r="470" spans="6:6" x14ac:dyDescent="0.25">
      <c r="F470" s="1087"/>
    </row>
    <row r="471" spans="6:6" x14ac:dyDescent="0.25">
      <c r="F471" s="1087"/>
    </row>
    <row r="472" spans="6:6" x14ac:dyDescent="0.25">
      <c r="F472" s="1087"/>
    </row>
    <row r="473" spans="6:6" x14ac:dyDescent="0.25">
      <c r="F473" s="1087"/>
    </row>
    <row r="474" spans="6:6" x14ac:dyDescent="0.25">
      <c r="F474" s="1087"/>
    </row>
    <row r="475" spans="6:6" x14ac:dyDescent="0.25">
      <c r="F475" s="1087"/>
    </row>
    <row r="476" spans="6:6" x14ac:dyDescent="0.25">
      <c r="F476" s="1087"/>
    </row>
    <row r="477" spans="6:6" x14ac:dyDescent="0.25">
      <c r="F477" s="1087"/>
    </row>
    <row r="478" spans="6:6" x14ac:dyDescent="0.25">
      <c r="F478" s="1087"/>
    </row>
    <row r="479" spans="6:6" x14ac:dyDescent="0.25">
      <c r="F479" s="1087"/>
    </row>
    <row r="480" spans="6:6" x14ac:dyDescent="0.25">
      <c r="F480" s="1087"/>
    </row>
    <row r="481" spans="6:6" x14ac:dyDescent="0.25">
      <c r="F481" s="1087"/>
    </row>
    <row r="482" spans="6:6" x14ac:dyDescent="0.25">
      <c r="F482" s="1087"/>
    </row>
    <row r="483" spans="6:6" x14ac:dyDescent="0.25">
      <c r="F483" s="1087"/>
    </row>
    <row r="484" spans="6:6" x14ac:dyDescent="0.25">
      <c r="F484" s="1087"/>
    </row>
    <row r="485" spans="6:6" x14ac:dyDescent="0.25">
      <c r="F485" s="1087"/>
    </row>
    <row r="486" spans="6:6" x14ac:dyDescent="0.25">
      <c r="F486" s="1087"/>
    </row>
    <row r="487" spans="6:6" x14ac:dyDescent="0.25">
      <c r="F487" s="1087"/>
    </row>
    <row r="488" spans="6:6" x14ac:dyDescent="0.25">
      <c r="F488" s="1087"/>
    </row>
    <row r="489" spans="6:6" x14ac:dyDescent="0.25">
      <c r="F489" s="1087"/>
    </row>
    <row r="490" spans="6:6" x14ac:dyDescent="0.25">
      <c r="F490" s="1087"/>
    </row>
    <row r="491" spans="6:6" x14ac:dyDescent="0.25">
      <c r="F491" s="1087"/>
    </row>
    <row r="492" spans="6:6" x14ac:dyDescent="0.25">
      <c r="F492" s="1087"/>
    </row>
    <row r="493" spans="6:6" x14ac:dyDescent="0.25">
      <c r="F493" s="1087"/>
    </row>
    <row r="494" spans="6:6" x14ac:dyDescent="0.25">
      <c r="F494" s="1087"/>
    </row>
    <row r="495" spans="6:6" x14ac:dyDescent="0.25">
      <c r="F495" s="1087"/>
    </row>
    <row r="496" spans="6:6" x14ac:dyDescent="0.25">
      <c r="F496" s="1087"/>
    </row>
    <row r="497" spans="6:6" x14ac:dyDescent="0.25">
      <c r="F497" s="1087"/>
    </row>
    <row r="498" spans="6:6" x14ac:dyDescent="0.25">
      <c r="F498" s="1087"/>
    </row>
    <row r="499" spans="6:6" x14ac:dyDescent="0.25">
      <c r="F499" s="1319"/>
    </row>
    <row r="500" spans="6:6" x14ac:dyDescent="0.25">
      <c r="F500" s="647"/>
    </row>
    <row r="501" spans="6:6" x14ac:dyDescent="0.25">
      <c r="F501" s="1319"/>
    </row>
    <row r="502" spans="6:6" x14ac:dyDescent="0.25">
      <c r="F502" s="647"/>
    </row>
    <row r="503" spans="6:6" x14ac:dyDescent="0.25">
      <c r="F503" s="647"/>
    </row>
    <row r="504" spans="6:6" x14ac:dyDescent="0.25">
      <c r="F504" s="1319"/>
    </row>
    <row r="505" spans="6:6" x14ac:dyDescent="0.25">
      <c r="F505" s="1319"/>
    </row>
    <row r="506" spans="6:6" x14ac:dyDescent="0.25">
      <c r="F506" s="647"/>
    </row>
    <row r="507" spans="6:6" x14ac:dyDescent="0.25">
      <c r="F507" s="1319"/>
    </row>
    <row r="508" spans="6:6" x14ac:dyDescent="0.25">
      <c r="F508" s="1319"/>
    </row>
    <row r="509" spans="6:6" x14ac:dyDescent="0.25">
      <c r="F509" s="1319"/>
    </row>
    <row r="510" spans="6:6" x14ac:dyDescent="0.25">
      <c r="F510" s="1319"/>
    </row>
    <row r="511" spans="6:6" x14ac:dyDescent="0.25">
      <c r="F511" s="1319"/>
    </row>
    <row r="512" spans="6:6" x14ac:dyDescent="0.25">
      <c r="F512" s="1319"/>
    </row>
    <row r="513" spans="6:6" x14ac:dyDescent="0.25">
      <c r="F513" s="647"/>
    </row>
    <row r="514" spans="6:6" x14ac:dyDescent="0.25">
      <c r="F514" s="1319"/>
    </row>
    <row r="515" spans="6:6" x14ac:dyDescent="0.25">
      <c r="F515" s="1319"/>
    </row>
    <row r="516" spans="6:6" x14ac:dyDescent="0.25">
      <c r="F516" s="1319"/>
    </row>
    <row r="517" spans="6:6" x14ac:dyDescent="0.25">
      <c r="F517" s="1319"/>
    </row>
    <row r="518" spans="6:6" x14ac:dyDescent="0.25">
      <c r="F518" s="1319"/>
    </row>
    <row r="519" spans="6:6" x14ac:dyDescent="0.25">
      <c r="F519" s="1319"/>
    </row>
    <row r="520" spans="6:6" x14ac:dyDescent="0.25">
      <c r="F520" s="1319"/>
    </row>
    <row r="521" spans="6:6" x14ac:dyDescent="0.25">
      <c r="F521" s="1319"/>
    </row>
    <row r="522" spans="6:6" x14ac:dyDescent="0.25">
      <c r="F522" s="1319"/>
    </row>
    <row r="523" spans="6:6" x14ac:dyDescent="0.25">
      <c r="F523" s="1319"/>
    </row>
    <row r="524" spans="6:6" x14ac:dyDescent="0.25">
      <c r="F524" s="1319"/>
    </row>
    <row r="525" spans="6:6" x14ac:dyDescent="0.25">
      <c r="F525" s="1319"/>
    </row>
    <row r="526" spans="6:6" x14ac:dyDescent="0.25">
      <c r="F526" s="1319"/>
    </row>
    <row r="527" spans="6:6" x14ac:dyDescent="0.25">
      <c r="F527" s="1319"/>
    </row>
    <row r="528" spans="6:6" x14ac:dyDescent="0.25">
      <c r="F528" s="1319"/>
    </row>
    <row r="529" spans="6:6" x14ac:dyDescent="0.25">
      <c r="F529" s="1319"/>
    </row>
    <row r="530" spans="6:6" x14ac:dyDescent="0.25">
      <c r="F530" s="647"/>
    </row>
    <row r="531" spans="6:6" x14ac:dyDescent="0.25">
      <c r="F531" s="1319"/>
    </row>
    <row r="532" spans="6:6" x14ac:dyDescent="0.25">
      <c r="F532" s="1319"/>
    </row>
    <row r="533" spans="6:6" x14ac:dyDescent="0.25">
      <c r="F533" s="647"/>
    </row>
    <row r="534" spans="6:6" x14ac:dyDescent="0.25">
      <c r="F534" s="1319"/>
    </row>
    <row r="535" spans="6:6" x14ac:dyDescent="0.25">
      <c r="F535" s="1319"/>
    </row>
    <row r="536" spans="6:6" x14ac:dyDescent="0.25">
      <c r="F536" s="1319"/>
    </row>
    <row r="537" spans="6:6" x14ac:dyDescent="0.25">
      <c r="F537" s="647"/>
    </row>
    <row r="538" spans="6:6" x14ac:dyDescent="0.25">
      <c r="F538" s="647"/>
    </row>
    <row r="539" spans="6:6" x14ac:dyDescent="0.25">
      <c r="F539" s="1319"/>
    </row>
    <row r="540" spans="6:6" x14ac:dyDescent="0.25">
      <c r="F540" s="647"/>
    </row>
    <row r="541" spans="6:6" x14ac:dyDescent="0.25">
      <c r="F541" s="647"/>
    </row>
    <row r="542" spans="6:6" x14ac:dyDescent="0.25">
      <c r="F542" s="647"/>
    </row>
    <row r="543" spans="6:6" x14ac:dyDescent="0.25">
      <c r="F543" s="1319"/>
    </row>
    <row r="544" spans="6:6" x14ac:dyDescent="0.25">
      <c r="F544" s="647"/>
    </row>
    <row r="545" spans="6:6" x14ac:dyDescent="0.25">
      <c r="F545" s="1319"/>
    </row>
    <row r="546" spans="6:6" x14ac:dyDescent="0.25">
      <c r="F546" s="1319"/>
    </row>
    <row r="547" spans="6:6" x14ac:dyDescent="0.25">
      <c r="F547" s="647"/>
    </row>
    <row r="548" spans="6:6" x14ac:dyDescent="0.25">
      <c r="F548" s="1319"/>
    </row>
    <row r="549" spans="6:6" x14ac:dyDescent="0.25">
      <c r="F549" s="1319"/>
    </row>
    <row r="550" spans="6:6" x14ac:dyDescent="0.25">
      <c r="F550" s="1319"/>
    </row>
    <row r="551" spans="6:6" x14ac:dyDescent="0.25">
      <c r="F551" s="1319"/>
    </row>
    <row r="552" spans="6:6" x14ac:dyDescent="0.25">
      <c r="F552" s="1319"/>
    </row>
    <row r="553" spans="6:6" x14ac:dyDescent="0.25">
      <c r="F553" s="1319"/>
    </row>
    <row r="554" spans="6:6" x14ac:dyDescent="0.25">
      <c r="F554" s="1319"/>
    </row>
    <row r="555" spans="6:6" x14ac:dyDescent="0.25">
      <c r="F555" s="647"/>
    </row>
    <row r="556" spans="6:6" x14ac:dyDescent="0.25">
      <c r="F556" s="647"/>
    </row>
    <row r="557" spans="6:6" x14ac:dyDescent="0.25">
      <c r="F557" s="647"/>
    </row>
    <row r="558" spans="6:6" x14ac:dyDescent="0.25">
      <c r="F558" s="1319"/>
    </row>
    <row r="559" spans="6:6" x14ac:dyDescent="0.25">
      <c r="F559" s="1319"/>
    </row>
    <row r="560" spans="6:6" x14ac:dyDescent="0.25">
      <c r="F560" s="1319"/>
    </row>
    <row r="561" spans="6:6" x14ac:dyDescent="0.25">
      <c r="F561" s="1319"/>
    </row>
    <row r="562" spans="6:6" x14ac:dyDescent="0.25">
      <c r="F562" s="647"/>
    </row>
    <row r="563" spans="6:6" x14ac:dyDescent="0.25">
      <c r="F563" s="1319"/>
    </row>
    <row r="564" spans="6:6" x14ac:dyDescent="0.25">
      <c r="F564" s="1319"/>
    </row>
    <row r="565" spans="6:6" x14ac:dyDescent="0.25">
      <c r="F565" s="1319"/>
    </row>
    <row r="566" spans="6:6" x14ac:dyDescent="0.25">
      <c r="F566" s="1319"/>
    </row>
    <row r="567" spans="6:6" x14ac:dyDescent="0.25">
      <c r="F567" s="1319"/>
    </row>
    <row r="568" spans="6:6" x14ac:dyDescent="0.25">
      <c r="F568" s="1319"/>
    </row>
    <row r="569" spans="6:6" x14ac:dyDescent="0.25">
      <c r="F569" s="647"/>
    </row>
    <row r="570" spans="6:6" x14ac:dyDescent="0.25">
      <c r="F570" s="647"/>
    </row>
    <row r="571" spans="6:6" x14ac:dyDescent="0.25">
      <c r="F571" s="647"/>
    </row>
    <row r="572" spans="6:6" x14ac:dyDescent="0.25">
      <c r="F572" s="1319"/>
    </row>
    <row r="573" spans="6:6" x14ac:dyDescent="0.25">
      <c r="F573" s="1319"/>
    </row>
    <row r="574" spans="6:6" x14ac:dyDescent="0.25">
      <c r="F574" s="1319"/>
    </row>
    <row r="575" spans="6:6" x14ac:dyDescent="0.25">
      <c r="F575" s="647"/>
    </row>
    <row r="576" spans="6:6" x14ac:dyDescent="0.25">
      <c r="F576" s="647"/>
    </row>
    <row r="577" spans="6:6" x14ac:dyDescent="0.25">
      <c r="F577" s="1319"/>
    </row>
    <row r="578" spans="6:6" x14ac:dyDescent="0.25">
      <c r="F578" s="647"/>
    </row>
    <row r="579" spans="6:6" x14ac:dyDescent="0.25">
      <c r="F579" s="1319"/>
    </row>
    <row r="580" spans="6:6" x14ac:dyDescent="0.25">
      <c r="F580" s="647"/>
    </row>
    <row r="581" spans="6:6" x14ac:dyDescent="0.25">
      <c r="F581" s="1319"/>
    </row>
    <row r="582" spans="6:6" x14ac:dyDescent="0.25">
      <c r="F582" s="1319"/>
    </row>
    <row r="583" spans="6:6" x14ac:dyDescent="0.25">
      <c r="F583" s="1319"/>
    </row>
    <row r="584" spans="6:6" x14ac:dyDescent="0.25">
      <c r="F584" s="1319"/>
    </row>
    <row r="585" spans="6:6" x14ac:dyDescent="0.25">
      <c r="F585" s="647"/>
    </row>
    <row r="586" spans="6:6" x14ac:dyDescent="0.25">
      <c r="F586" s="647"/>
    </row>
    <row r="587" spans="6:6" x14ac:dyDescent="0.25">
      <c r="F587" s="647"/>
    </row>
    <row r="588" spans="6:6" x14ac:dyDescent="0.25">
      <c r="F588" s="1319"/>
    </row>
    <row r="589" spans="6:6" x14ac:dyDescent="0.25">
      <c r="F589" s="1319"/>
    </row>
    <row r="590" spans="6:6" x14ac:dyDescent="0.25">
      <c r="F590" s="1319"/>
    </row>
    <row r="591" spans="6:6" x14ac:dyDescent="0.25">
      <c r="F591" s="1319"/>
    </row>
    <row r="592" spans="6:6" x14ac:dyDescent="0.25">
      <c r="F592" s="647"/>
    </row>
    <row r="593" spans="6:6" x14ac:dyDescent="0.25">
      <c r="F593" s="647"/>
    </row>
    <row r="594" spans="6:6" x14ac:dyDescent="0.25">
      <c r="F594" s="647"/>
    </row>
    <row r="595" spans="6:6" x14ac:dyDescent="0.25">
      <c r="F595" s="1319"/>
    </row>
    <row r="596" spans="6:6" x14ac:dyDescent="0.25">
      <c r="F596" s="647"/>
    </row>
    <row r="597" spans="6:6" x14ac:dyDescent="0.25">
      <c r="F597" s="1319"/>
    </row>
    <row r="598" spans="6:6" x14ac:dyDescent="0.25">
      <c r="F598" s="1319"/>
    </row>
    <row r="599" spans="6:6" x14ac:dyDescent="0.25">
      <c r="F599" s="1319"/>
    </row>
    <row r="600" spans="6:6" x14ac:dyDescent="0.25">
      <c r="F600" s="647"/>
    </row>
    <row r="601" spans="6:6" x14ac:dyDescent="0.25">
      <c r="F601" s="647"/>
    </row>
    <row r="602" spans="6:6" x14ac:dyDescent="0.25">
      <c r="F602" s="647"/>
    </row>
    <row r="603" spans="6:6" x14ac:dyDescent="0.25">
      <c r="F603" s="1319"/>
    </row>
    <row r="604" spans="6:6" x14ac:dyDescent="0.25">
      <c r="F604" s="1319"/>
    </row>
    <row r="605" spans="6:6" x14ac:dyDescent="0.25">
      <c r="F605" s="1319"/>
    </row>
    <row r="606" spans="6:6" x14ac:dyDescent="0.25">
      <c r="F606" s="1319"/>
    </row>
    <row r="607" spans="6:6" x14ac:dyDescent="0.25">
      <c r="F607" s="647"/>
    </row>
    <row r="608" spans="6:6" ht="13" x14ac:dyDescent="0.3">
      <c r="F608" s="930"/>
    </row>
    <row r="609" spans="6:6" x14ac:dyDescent="0.25">
      <c r="F609" s="1319"/>
    </row>
    <row r="610" spans="6:6" x14ac:dyDescent="0.25">
      <c r="F610" s="647"/>
    </row>
    <row r="611" spans="6:6" x14ac:dyDescent="0.25">
      <c r="F611" s="1319"/>
    </row>
    <row r="612" spans="6:6" x14ac:dyDescent="0.25">
      <c r="F612" s="1319"/>
    </row>
    <row r="613" spans="6:6" x14ac:dyDescent="0.25">
      <c r="F613" s="1319"/>
    </row>
    <row r="614" spans="6:6" x14ac:dyDescent="0.25">
      <c r="F614" s="1319"/>
    </row>
    <row r="615" spans="6:6" x14ac:dyDescent="0.25">
      <c r="F615" s="1319"/>
    </row>
    <row r="616" spans="6:6" x14ac:dyDescent="0.25">
      <c r="F616" s="1319"/>
    </row>
    <row r="617" spans="6:6" x14ac:dyDescent="0.25">
      <c r="F617" s="1319"/>
    </row>
    <row r="618" spans="6:6" x14ac:dyDescent="0.25">
      <c r="F618" s="647"/>
    </row>
    <row r="619" spans="6:6" x14ac:dyDescent="0.25">
      <c r="F619" s="647"/>
    </row>
    <row r="620" spans="6:6" x14ac:dyDescent="0.25">
      <c r="F620" s="1319"/>
    </row>
    <row r="621" spans="6:6" x14ac:dyDescent="0.25">
      <c r="F621" s="1319"/>
    </row>
    <row r="622" spans="6:6" x14ac:dyDescent="0.25">
      <c r="F622" s="1319"/>
    </row>
    <row r="623" spans="6:6" x14ac:dyDescent="0.25">
      <c r="F623" s="647"/>
    </row>
    <row r="624" spans="6:6" x14ac:dyDescent="0.25">
      <c r="F624" s="647"/>
    </row>
    <row r="625" spans="6:6" x14ac:dyDescent="0.25">
      <c r="F625" s="1319"/>
    </row>
    <row r="626" spans="6:6" x14ac:dyDescent="0.25">
      <c r="F626" s="647"/>
    </row>
    <row r="627" spans="6:6" x14ac:dyDescent="0.25">
      <c r="F627" s="647"/>
    </row>
    <row r="628" spans="6:6" x14ac:dyDescent="0.25">
      <c r="F628" s="1319"/>
    </row>
    <row r="629" spans="6:6" x14ac:dyDescent="0.25">
      <c r="F629" s="1319"/>
    </row>
    <row r="630" spans="6:6" x14ac:dyDescent="0.25">
      <c r="F630" s="1319"/>
    </row>
    <row r="631" spans="6:6" x14ac:dyDescent="0.25">
      <c r="F631" s="647"/>
    </row>
    <row r="632" spans="6:6" x14ac:dyDescent="0.25">
      <c r="F632" s="1319"/>
    </row>
    <row r="633" spans="6:6" x14ac:dyDescent="0.25">
      <c r="F633" s="647"/>
    </row>
    <row r="634" spans="6:6" x14ac:dyDescent="0.25">
      <c r="F634" s="1319"/>
    </row>
    <row r="635" spans="6:6" x14ac:dyDescent="0.25">
      <c r="F635" s="1319"/>
    </row>
    <row r="636" spans="6:6" x14ac:dyDescent="0.25">
      <c r="F636" s="647"/>
    </row>
    <row r="637" spans="6:6" x14ac:dyDescent="0.25">
      <c r="F637" s="647"/>
    </row>
    <row r="638" spans="6:6" x14ac:dyDescent="0.25">
      <c r="F638" s="1319"/>
    </row>
    <row r="639" spans="6:6" x14ac:dyDescent="0.25">
      <c r="F639" s="1319"/>
    </row>
    <row r="640" spans="6:6" x14ac:dyDescent="0.25">
      <c r="F640" s="1319"/>
    </row>
    <row r="641" spans="6:6" x14ac:dyDescent="0.25">
      <c r="F641" s="1319"/>
    </row>
    <row r="642" spans="6:6" x14ac:dyDescent="0.25">
      <c r="F642" s="1319"/>
    </row>
    <row r="643" spans="6:6" x14ac:dyDescent="0.25">
      <c r="F643" s="1319"/>
    </row>
    <row r="644" spans="6:6" x14ac:dyDescent="0.25">
      <c r="F644" s="1319"/>
    </row>
    <row r="645" spans="6:6" x14ac:dyDescent="0.25">
      <c r="F645" s="1319"/>
    </row>
    <row r="646" spans="6:6" x14ac:dyDescent="0.25">
      <c r="F646" s="1319"/>
    </row>
    <row r="647" spans="6:6" x14ac:dyDescent="0.25">
      <c r="F647" s="647"/>
    </row>
    <row r="648" spans="6:6" x14ac:dyDescent="0.25">
      <c r="F648" s="647"/>
    </row>
    <row r="649" spans="6:6" x14ac:dyDescent="0.25">
      <c r="F649" s="1319"/>
    </row>
    <row r="650" spans="6:6" x14ac:dyDescent="0.25">
      <c r="F650" s="647"/>
    </row>
    <row r="654" spans="6:6" ht="13" x14ac:dyDescent="0.3">
      <c r="F654" s="676"/>
    </row>
    <row r="657" spans="6:6" ht="13" x14ac:dyDescent="0.3">
      <c r="F657" s="676"/>
    </row>
    <row r="662" spans="6:6" ht="15.5" x14ac:dyDescent="0.35">
      <c r="F662" s="1317"/>
    </row>
    <row r="665" spans="6:6" ht="13" x14ac:dyDescent="0.3">
      <c r="F665" s="1304"/>
    </row>
    <row r="666" spans="6:6" ht="13" x14ac:dyDescent="0.3">
      <c r="F666" s="1306"/>
    </row>
    <row r="667" spans="6:6" ht="13" x14ac:dyDescent="0.3">
      <c r="F667" s="1306"/>
    </row>
    <row r="668" spans="6:6" ht="13" x14ac:dyDescent="0.3">
      <c r="F668" s="1306"/>
    </row>
    <row r="669" spans="6:6" ht="13" x14ac:dyDescent="0.3">
      <c r="F669" s="1306"/>
    </row>
    <row r="670" spans="6:6" ht="13" x14ac:dyDescent="0.3">
      <c r="F670" s="1306"/>
    </row>
    <row r="671" spans="6:6" ht="13" x14ac:dyDescent="0.3">
      <c r="F671" s="1306"/>
    </row>
    <row r="672" spans="6:6" ht="13" x14ac:dyDescent="0.3">
      <c r="F672" s="1306"/>
    </row>
    <row r="673" spans="6:6" ht="13" x14ac:dyDescent="0.3">
      <c r="F673" s="1306"/>
    </row>
    <row r="674" spans="6:6" ht="13" x14ac:dyDescent="0.3">
      <c r="F674" s="1306"/>
    </row>
    <row r="675" spans="6:6" ht="13" x14ac:dyDescent="0.3">
      <c r="F675" s="1306"/>
    </row>
    <row r="676" spans="6:6" ht="13" x14ac:dyDescent="0.3">
      <c r="F676" s="1306"/>
    </row>
    <row r="677" spans="6:6" ht="13" x14ac:dyDescent="0.3">
      <c r="F677" s="1306"/>
    </row>
    <row r="678" spans="6:6" ht="13" x14ac:dyDescent="0.3">
      <c r="F678" s="1306"/>
    </row>
    <row r="679" spans="6:6" ht="13" x14ac:dyDescent="0.3">
      <c r="F679" s="1306"/>
    </row>
    <row r="680" spans="6:6" ht="13" x14ac:dyDescent="0.3">
      <c r="F680" s="1306"/>
    </row>
    <row r="681" spans="6:6" ht="13" x14ac:dyDescent="0.3">
      <c r="F681" s="1305"/>
    </row>
    <row r="682" spans="6:6" ht="13" x14ac:dyDescent="0.3">
      <c r="F682" s="1306"/>
    </row>
    <row r="683" spans="6:6" ht="13" x14ac:dyDescent="0.3">
      <c r="F683" s="1306"/>
    </row>
    <row r="684" spans="6:6" ht="13" x14ac:dyDescent="0.3">
      <c r="F684" s="923"/>
    </row>
    <row r="685" spans="6:6" x14ac:dyDescent="0.25">
      <c r="F685" s="917"/>
    </row>
    <row r="687" spans="6:6" ht="13" x14ac:dyDescent="0.3">
      <c r="F687" s="1320"/>
    </row>
    <row r="690" spans="6:6" x14ac:dyDescent="0.25">
      <c r="F690" s="796"/>
    </row>
    <row r="693" spans="6:6" ht="13" x14ac:dyDescent="0.3">
      <c r="F693" s="1304"/>
    </row>
    <row r="694" spans="6:6" x14ac:dyDescent="0.25">
      <c r="F694" s="662"/>
    </row>
    <row r="695" spans="6:6" x14ac:dyDescent="0.25">
      <c r="F695" s="662"/>
    </row>
    <row r="696" spans="6:6" x14ac:dyDescent="0.25">
      <c r="F696" s="662"/>
    </row>
    <row r="697" spans="6:6" x14ac:dyDescent="0.25">
      <c r="F697" s="662"/>
    </row>
    <row r="698" spans="6:6" x14ac:dyDescent="0.25">
      <c r="F698" s="662"/>
    </row>
    <row r="699" spans="6:6" x14ac:dyDescent="0.25">
      <c r="F699" s="662"/>
    </row>
    <row r="700" spans="6:6" x14ac:dyDescent="0.25">
      <c r="F700" s="662"/>
    </row>
    <row r="701" spans="6:6" x14ac:dyDescent="0.25">
      <c r="F701" s="662"/>
    </row>
    <row r="702" spans="6:6" x14ac:dyDescent="0.25">
      <c r="F702" s="662"/>
    </row>
    <row r="703" spans="6:6" x14ac:dyDescent="0.25">
      <c r="F703" s="662"/>
    </row>
    <row r="704" spans="6:6" x14ac:dyDescent="0.25">
      <c r="F704" s="662"/>
    </row>
    <row r="705" spans="6:6" x14ac:dyDescent="0.25">
      <c r="F705" s="662"/>
    </row>
    <row r="706" spans="6:6" x14ac:dyDescent="0.25">
      <c r="F706" s="662"/>
    </row>
    <row r="707" spans="6:6" x14ac:dyDescent="0.25">
      <c r="F707" s="662"/>
    </row>
    <row r="708" spans="6:6" x14ac:dyDescent="0.25">
      <c r="F708" s="662"/>
    </row>
    <row r="709" spans="6:6" x14ac:dyDescent="0.25">
      <c r="F709" s="662"/>
    </row>
    <row r="710" spans="6:6" x14ac:dyDescent="0.25">
      <c r="F710" s="1321"/>
    </row>
    <row r="711" spans="6:6" x14ac:dyDescent="0.25">
      <c r="F711" s="1321"/>
    </row>
    <row r="712" spans="6:6" ht="13" x14ac:dyDescent="0.3">
      <c r="F712" s="1305"/>
    </row>
    <row r="713" spans="6:6" ht="13" x14ac:dyDescent="0.3">
      <c r="F713" s="1305"/>
    </row>
    <row r="715" spans="6:6" ht="13" x14ac:dyDescent="0.3">
      <c r="F715" s="1322"/>
    </row>
    <row r="716" spans="6:6" ht="13" x14ac:dyDescent="0.3">
      <c r="F716" s="1322"/>
    </row>
    <row r="717" spans="6:6" ht="13" x14ac:dyDescent="0.3">
      <c r="F717" s="1320"/>
    </row>
    <row r="720" spans="6:6" ht="13" x14ac:dyDescent="0.3">
      <c r="F720" s="1320"/>
    </row>
    <row r="723" spans="6:6" x14ac:dyDescent="0.25">
      <c r="F723" s="588"/>
    </row>
    <row r="726" spans="6:6" ht="13" x14ac:dyDescent="0.3">
      <c r="F726" s="1304"/>
    </row>
    <row r="727" spans="6:6" x14ac:dyDescent="0.25">
      <c r="F727" s="662"/>
    </row>
    <row r="728" spans="6:6" x14ac:dyDescent="0.25">
      <c r="F728" s="662"/>
    </row>
    <row r="729" spans="6:6" x14ac:dyDescent="0.25">
      <c r="F729" s="662"/>
    </row>
    <row r="730" spans="6:6" x14ac:dyDescent="0.25">
      <c r="F730" s="662"/>
    </row>
    <row r="731" spans="6:6" x14ac:dyDescent="0.25">
      <c r="F731" s="662"/>
    </row>
    <row r="732" spans="6:6" x14ac:dyDescent="0.25">
      <c r="F732" s="662"/>
    </row>
    <row r="733" spans="6:6" x14ac:dyDescent="0.25">
      <c r="F733" s="662"/>
    </row>
    <row r="734" spans="6:6" x14ac:dyDescent="0.25">
      <c r="F734" s="662"/>
    </row>
    <row r="735" spans="6:6" x14ac:dyDescent="0.25">
      <c r="F735" s="662"/>
    </row>
    <row r="736" spans="6:6" x14ac:dyDescent="0.25">
      <c r="F736" s="662"/>
    </row>
    <row r="737" spans="6:6" x14ac:dyDescent="0.25">
      <c r="F737" s="662"/>
    </row>
    <row r="738" spans="6:6" x14ac:dyDescent="0.25">
      <c r="F738" s="662"/>
    </row>
    <row r="739" spans="6:6" x14ac:dyDescent="0.25">
      <c r="F739" s="662"/>
    </row>
    <row r="740" spans="6:6" x14ac:dyDescent="0.25">
      <c r="F740" s="662"/>
    </row>
    <row r="741" spans="6:6" x14ac:dyDescent="0.25">
      <c r="F741" s="662"/>
    </row>
    <row r="742" spans="6:6" x14ac:dyDescent="0.25">
      <c r="F742" s="662"/>
    </row>
    <row r="743" spans="6:6" x14ac:dyDescent="0.25">
      <c r="F743" s="662"/>
    </row>
    <row r="744" spans="6:6" x14ac:dyDescent="0.25">
      <c r="F744" s="662"/>
    </row>
    <row r="745" spans="6:6" x14ac:dyDescent="0.25">
      <c r="F745" s="662"/>
    </row>
    <row r="746" spans="6:6" x14ac:dyDescent="0.25">
      <c r="F746" s="662"/>
    </row>
    <row r="747" spans="6:6" x14ac:dyDescent="0.25">
      <c r="F747" s="662"/>
    </row>
    <row r="748" spans="6:6" x14ac:dyDescent="0.25">
      <c r="F748" s="662"/>
    </row>
    <row r="749" spans="6:6" x14ac:dyDescent="0.25">
      <c r="F749" s="662"/>
    </row>
    <row r="750" spans="6:6" x14ac:dyDescent="0.25">
      <c r="F750" s="662"/>
    </row>
    <row r="751" spans="6:6" x14ac:dyDescent="0.25">
      <c r="F751" s="662"/>
    </row>
    <row r="752" spans="6:6" x14ac:dyDescent="0.25">
      <c r="F752" s="662"/>
    </row>
    <row r="753" spans="6:6" x14ac:dyDescent="0.25">
      <c r="F753" s="662"/>
    </row>
    <row r="754" spans="6:6" x14ac:dyDescent="0.25">
      <c r="F754" s="662"/>
    </row>
    <row r="755" spans="6:6" x14ac:dyDescent="0.25">
      <c r="F755" s="662"/>
    </row>
    <row r="756" spans="6:6" x14ac:dyDescent="0.25">
      <c r="F756" s="662"/>
    </row>
    <row r="757" spans="6:6" x14ac:dyDescent="0.25">
      <c r="F757" s="662"/>
    </row>
    <row r="758" spans="6:6" x14ac:dyDescent="0.25">
      <c r="F758" s="662"/>
    </row>
    <row r="759" spans="6:6" x14ac:dyDescent="0.25">
      <c r="F759" s="662"/>
    </row>
    <row r="760" spans="6:6" x14ac:dyDescent="0.25">
      <c r="F760" s="662"/>
    </row>
    <row r="762" spans="6:6" ht="13" x14ac:dyDescent="0.3">
      <c r="F762" s="13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FC6EA-EB59-4D53-AAE7-1B5A2AEEE897}">
  <sheetPr>
    <pageSetUpPr fitToPage="1"/>
  </sheetPr>
  <dimension ref="A2:O218"/>
  <sheetViews>
    <sheetView workbookViewId="0">
      <selection activeCell="I7" sqref="I7"/>
    </sheetView>
  </sheetViews>
  <sheetFormatPr defaultRowHeight="12.5" x14ac:dyDescent="0.25"/>
  <cols>
    <col min="1" max="1" width="17.7265625" bestFit="1" customWidth="1"/>
    <col min="2" max="2" width="51.81640625" customWidth="1"/>
    <col min="3" max="3" width="48.81640625" customWidth="1"/>
    <col min="6" max="6" width="3.81640625" customWidth="1"/>
    <col min="7" max="7" width="20.453125" customWidth="1"/>
    <col min="8" max="8" width="5.81640625" customWidth="1"/>
    <col min="9" max="9" width="13.1796875" customWidth="1"/>
    <col min="11" max="11" width="15.1796875" customWidth="1"/>
  </cols>
  <sheetData>
    <row r="2" spans="2:15" ht="15.5" x14ac:dyDescent="0.35">
      <c r="B2" s="606" t="s">
        <v>563</v>
      </c>
    </row>
    <row r="4" spans="2:15" ht="16" thickBot="1" x14ac:dyDescent="0.3">
      <c r="B4" s="276" t="s">
        <v>59</v>
      </c>
      <c r="C4" s="276" t="s">
        <v>560</v>
      </c>
      <c r="D4" s="604"/>
      <c r="E4" s="604"/>
      <c r="F4" s="604"/>
      <c r="G4" s="604"/>
    </row>
    <row r="5" spans="2:15" ht="21" thickBot="1" x14ac:dyDescent="0.3">
      <c r="D5" s="276"/>
      <c r="E5" s="593"/>
      <c r="F5" s="593"/>
      <c r="G5" s="593"/>
      <c r="I5" s="594"/>
      <c r="J5" s="594"/>
      <c r="K5" s="594"/>
      <c r="L5" s="594"/>
      <c r="M5" s="594"/>
      <c r="N5" s="594"/>
      <c r="O5" s="594"/>
    </row>
    <row r="6" spans="2:15" ht="20.5" x14ac:dyDescent="0.25">
      <c r="B6" s="598"/>
      <c r="C6" s="599"/>
      <c r="D6" s="600"/>
      <c r="E6" s="601"/>
      <c r="F6" s="601"/>
      <c r="G6" s="602"/>
      <c r="H6" s="594"/>
      <c r="I6" s="594"/>
      <c r="J6" s="594"/>
      <c r="K6" s="594"/>
      <c r="L6" s="594"/>
      <c r="M6" s="594"/>
      <c r="N6" s="594"/>
      <c r="O6" s="594"/>
    </row>
    <row r="7" spans="2:15" ht="39.5" thickBot="1" x14ac:dyDescent="0.35">
      <c r="B7" s="603" t="s">
        <v>32</v>
      </c>
      <c r="C7" s="596" t="s">
        <v>58</v>
      </c>
      <c r="D7" s="596"/>
      <c r="E7" s="597" t="s">
        <v>561</v>
      </c>
      <c r="F7" s="604"/>
      <c r="G7" s="605" t="s">
        <v>57</v>
      </c>
    </row>
    <row r="8" spans="2:15" x14ac:dyDescent="0.25">
      <c r="B8" t="s">
        <v>367</v>
      </c>
      <c r="C8" t="s">
        <v>368</v>
      </c>
      <c r="E8" s="579" t="s">
        <v>369</v>
      </c>
      <c r="G8" s="579" t="s">
        <v>370</v>
      </c>
    </row>
    <row r="9" spans="2:15" x14ac:dyDescent="0.25">
      <c r="B9" t="s">
        <v>367</v>
      </c>
      <c r="C9" t="s">
        <v>371</v>
      </c>
      <c r="E9" s="579" t="s">
        <v>369</v>
      </c>
      <c r="G9" s="579" t="s">
        <v>372</v>
      </c>
    </row>
    <row r="10" spans="2:15" x14ac:dyDescent="0.25">
      <c r="B10" t="s">
        <v>367</v>
      </c>
      <c r="C10" t="s">
        <v>373</v>
      </c>
      <c r="E10" s="579" t="s">
        <v>369</v>
      </c>
      <c r="G10" s="579" t="s">
        <v>374</v>
      </c>
    </row>
    <row r="11" spans="2:15" x14ac:dyDescent="0.25">
      <c r="B11" t="s">
        <v>367</v>
      </c>
      <c r="C11" t="s">
        <v>375</v>
      </c>
      <c r="E11" s="579" t="s">
        <v>369</v>
      </c>
      <c r="G11" s="579" t="s">
        <v>376</v>
      </c>
    </row>
    <row r="12" spans="2:15" x14ac:dyDescent="0.25">
      <c r="B12" s="987" t="s">
        <v>367</v>
      </c>
      <c r="C12" s="987" t="s">
        <v>377</v>
      </c>
      <c r="D12" s="987"/>
      <c r="E12" s="988" t="s">
        <v>369</v>
      </c>
      <c r="F12" s="987"/>
      <c r="G12" s="988">
        <v>1447435862</v>
      </c>
      <c r="H12" s="986" t="s">
        <v>942</v>
      </c>
      <c r="I12" s="987"/>
      <c r="J12" s="987"/>
      <c r="K12" s="987"/>
    </row>
    <row r="13" spans="2:15" x14ac:dyDescent="0.25">
      <c r="B13" t="s">
        <v>367</v>
      </c>
      <c r="C13" t="s">
        <v>379</v>
      </c>
      <c r="E13" s="579" t="s">
        <v>369</v>
      </c>
      <c r="G13" s="579" t="s">
        <v>380</v>
      </c>
    </row>
    <row r="14" spans="2:15" x14ac:dyDescent="0.25">
      <c r="B14" s="987" t="s">
        <v>367</v>
      </c>
      <c r="C14" s="987" t="s">
        <v>381</v>
      </c>
      <c r="D14" s="987"/>
      <c r="E14" s="988" t="s">
        <v>369</v>
      </c>
      <c r="F14" s="987"/>
      <c r="G14" s="988">
        <v>1437334851</v>
      </c>
      <c r="H14" s="986" t="s">
        <v>942</v>
      </c>
      <c r="I14" s="987"/>
      <c r="J14" s="987"/>
      <c r="K14" s="987"/>
    </row>
    <row r="15" spans="2:15" x14ac:dyDescent="0.25">
      <c r="B15" t="s">
        <v>367</v>
      </c>
      <c r="C15" t="s">
        <v>383</v>
      </c>
      <c r="E15" s="579" t="s">
        <v>369</v>
      </c>
      <c r="G15" s="579" t="s">
        <v>384</v>
      </c>
    </row>
    <row r="16" spans="2:15" x14ac:dyDescent="0.25">
      <c r="B16" t="s">
        <v>367</v>
      </c>
      <c r="C16" t="s">
        <v>385</v>
      </c>
      <c r="E16" s="579" t="s">
        <v>369</v>
      </c>
      <c r="G16" s="579" t="s">
        <v>386</v>
      </c>
    </row>
    <row r="17" spans="1:11" x14ac:dyDescent="0.25">
      <c r="B17" t="s">
        <v>367</v>
      </c>
      <c r="C17" t="s">
        <v>387</v>
      </c>
      <c r="E17" s="579" t="s">
        <v>369</v>
      </c>
      <c r="G17" s="579" t="s">
        <v>388</v>
      </c>
    </row>
    <row r="18" spans="1:11" x14ac:dyDescent="0.25">
      <c r="B18" s="987" t="s">
        <v>367</v>
      </c>
      <c r="C18" s="986" t="s">
        <v>941</v>
      </c>
      <c r="D18" s="987"/>
      <c r="E18" s="988" t="s">
        <v>369</v>
      </c>
      <c r="F18" s="987"/>
      <c r="G18" s="988" t="s">
        <v>390</v>
      </c>
      <c r="H18" s="986" t="s">
        <v>940</v>
      </c>
      <c r="I18" s="987"/>
      <c r="J18" s="987"/>
      <c r="K18" s="987"/>
    </row>
    <row r="19" spans="1:11" x14ac:dyDescent="0.25">
      <c r="B19" t="s">
        <v>367</v>
      </c>
      <c r="C19" t="s">
        <v>391</v>
      </c>
      <c r="E19" s="579" t="s">
        <v>369</v>
      </c>
      <c r="G19" s="579" t="s">
        <v>392</v>
      </c>
    </row>
    <row r="20" spans="1:11" x14ac:dyDescent="0.25">
      <c r="B20" t="s">
        <v>367</v>
      </c>
      <c r="C20" t="s">
        <v>562</v>
      </c>
      <c r="E20" s="579" t="s">
        <v>369</v>
      </c>
      <c r="G20" s="579">
        <v>1457822934</v>
      </c>
    </row>
    <row r="21" spans="1:11" x14ac:dyDescent="0.25">
      <c r="B21" t="str">
        <f>'P2 Service Sites &amp; Rel. Parties'!A31</f>
        <v>Community Health Center Inc.</v>
      </c>
      <c r="C21" t="s">
        <v>409</v>
      </c>
      <c r="E21" s="579" t="s">
        <v>369</v>
      </c>
      <c r="G21" s="579">
        <v>1093163883</v>
      </c>
    </row>
    <row r="22" spans="1:11" ht="13" x14ac:dyDescent="0.3">
      <c r="A22" s="702"/>
      <c r="B22" s="989" t="str">
        <f>'P2 Service Sites &amp; Rel. Parties'!A24</f>
        <v>Community Health Center Inc., W.Y.A. Masters Manna</v>
      </c>
      <c r="C22" s="990" t="s">
        <v>939</v>
      </c>
      <c r="D22" s="990"/>
      <c r="E22" s="991" t="s">
        <v>369</v>
      </c>
      <c r="F22" s="990"/>
      <c r="G22" s="991" t="s">
        <v>395</v>
      </c>
      <c r="H22" s="986" t="s">
        <v>940</v>
      </c>
      <c r="I22" s="987"/>
      <c r="J22" s="987"/>
      <c r="K22" s="987"/>
    </row>
    <row r="23" spans="1:11" x14ac:dyDescent="0.25">
      <c r="B23" s="1075" t="str">
        <f>'P2 Service Sites &amp; Rel. Parties'!A25</f>
        <v>Community Health Center Inc., W.Y.A. Prudence Crandall</v>
      </c>
      <c r="C23" s="627" t="s">
        <v>1090</v>
      </c>
      <c r="E23" s="579" t="s">
        <v>369</v>
      </c>
      <c r="G23" s="579" t="s">
        <v>395</v>
      </c>
    </row>
    <row r="24" spans="1:11" x14ac:dyDescent="0.25">
      <c r="B24" s="595" t="str">
        <f>'P2 Service Sites &amp; Rel. Parties'!A26</f>
        <v>Community Health Center Inc., W.Y.A. Shelter Now</v>
      </c>
      <c r="C24" t="s">
        <v>399</v>
      </c>
      <c r="E24" s="579" t="s">
        <v>369</v>
      </c>
      <c r="G24" s="579" t="s">
        <v>395</v>
      </c>
    </row>
    <row r="25" spans="1:11" x14ac:dyDescent="0.25">
      <c r="B25" s="595" t="str">
        <f>'P2 Service Sites &amp; Rel. Parties'!A27</f>
        <v>Community Health Center Inc., W.Y.A. Friendship Center</v>
      </c>
      <c r="C25" t="s">
        <v>401</v>
      </c>
      <c r="E25" s="579" t="s">
        <v>369</v>
      </c>
      <c r="G25" s="579" t="s">
        <v>395</v>
      </c>
    </row>
    <row r="26" spans="1:11" x14ac:dyDescent="0.25">
      <c r="B26" s="595" t="str">
        <f>'P2 Service Sites &amp; Rel. Parties'!A28</f>
        <v>Community Health Center Inc., W.Y.A. Eddy Shelter</v>
      </c>
      <c r="C26" t="s">
        <v>403</v>
      </c>
      <c r="E26" s="579" t="s">
        <v>369</v>
      </c>
      <c r="G26" s="579" t="s">
        <v>395</v>
      </c>
    </row>
    <row r="27" spans="1:11" x14ac:dyDescent="0.25">
      <c r="B27" s="595" t="str">
        <f>'P2 Service Sites &amp; Rel. Parties'!A29</f>
        <v>Community Health Center Inc., W.Y.A. New London</v>
      </c>
      <c r="C27" s="536" t="s">
        <v>1038</v>
      </c>
      <c r="E27" s="579" t="s">
        <v>369</v>
      </c>
      <c r="G27" s="579" t="s">
        <v>406</v>
      </c>
    </row>
    <row r="28" spans="1:11" x14ac:dyDescent="0.25">
      <c r="B28" t="s">
        <v>367</v>
      </c>
      <c r="C28" s="536" t="s">
        <v>664</v>
      </c>
      <c r="E28" s="579" t="str">
        <f>'P2 Service Sites &amp; Rel. Parties'!K31</f>
        <v>Yes</v>
      </c>
      <c r="G28" s="579">
        <v>1952591851</v>
      </c>
    </row>
    <row r="29" spans="1:11" x14ac:dyDescent="0.25">
      <c r="B29" t="s">
        <v>367</v>
      </c>
      <c r="C29" s="536" t="s">
        <v>665</v>
      </c>
      <c r="E29" s="610" t="s">
        <v>369</v>
      </c>
      <c r="G29" s="579">
        <v>1952591851</v>
      </c>
    </row>
    <row r="30" spans="1:11" x14ac:dyDescent="0.25">
      <c r="B30" t="s">
        <v>367</v>
      </c>
      <c r="C30" s="536" t="s">
        <v>666</v>
      </c>
      <c r="E30" s="610" t="s">
        <v>369</v>
      </c>
      <c r="G30" s="579">
        <v>1952591851</v>
      </c>
    </row>
    <row r="31" spans="1:11" x14ac:dyDescent="0.25">
      <c r="B31" t="s">
        <v>1039</v>
      </c>
      <c r="C31" s="536" t="s">
        <v>1040</v>
      </c>
      <c r="E31" s="610" t="s">
        <v>369</v>
      </c>
      <c r="G31" s="579">
        <v>1952591851</v>
      </c>
    </row>
    <row r="32" spans="1:11" x14ac:dyDescent="0.25">
      <c r="B32" t="s">
        <v>1041</v>
      </c>
      <c r="C32" s="536" t="s">
        <v>1042</v>
      </c>
      <c r="E32" s="610" t="s">
        <v>369</v>
      </c>
      <c r="G32" s="579">
        <v>1952591851</v>
      </c>
    </row>
    <row r="33" spans="2:7" x14ac:dyDescent="0.25">
      <c r="B33" t="s">
        <v>1043</v>
      </c>
      <c r="C33" s="536" t="s">
        <v>1044</v>
      </c>
      <c r="E33" s="610" t="s">
        <v>369</v>
      </c>
      <c r="G33" s="579">
        <v>1952591851</v>
      </c>
    </row>
    <row r="34" spans="2:7" x14ac:dyDescent="0.25">
      <c r="B34" t="s">
        <v>1045</v>
      </c>
      <c r="C34" s="627" t="s">
        <v>1091</v>
      </c>
      <c r="E34" s="610" t="s">
        <v>369</v>
      </c>
      <c r="G34" s="579">
        <v>1952591851</v>
      </c>
    </row>
    <row r="35" spans="2:7" x14ac:dyDescent="0.25">
      <c r="B35" t="s">
        <v>1046</v>
      </c>
      <c r="C35" t="s">
        <v>1048</v>
      </c>
      <c r="E35" s="610" t="s">
        <v>369</v>
      </c>
      <c r="G35" s="579">
        <v>1952591851</v>
      </c>
    </row>
    <row r="36" spans="2:7" x14ac:dyDescent="0.25">
      <c r="B36" t="s">
        <v>1047</v>
      </c>
      <c r="C36" t="s">
        <v>1049</v>
      </c>
      <c r="E36" s="610" t="s">
        <v>369</v>
      </c>
      <c r="G36" s="579">
        <v>1952591851</v>
      </c>
    </row>
    <row r="40" spans="2:7" ht="13" x14ac:dyDescent="0.3">
      <c r="B40" s="578"/>
    </row>
    <row r="41" spans="2:7" ht="13" x14ac:dyDescent="0.3">
      <c r="B41" s="534" t="s">
        <v>943</v>
      </c>
      <c r="C41" s="534"/>
      <c r="E41" s="610"/>
      <c r="G41" s="579"/>
    </row>
    <row r="42" spans="2:7" x14ac:dyDescent="0.25">
      <c r="B42" s="1264" t="s">
        <v>1284</v>
      </c>
      <c r="C42" t="s">
        <v>1285</v>
      </c>
      <c r="E42" s="610" t="s">
        <v>369</v>
      </c>
      <c r="G42" s="579">
        <v>1952591851</v>
      </c>
    </row>
    <row r="43" spans="2:7" x14ac:dyDescent="0.25">
      <c r="B43" s="1264" t="s">
        <v>1286</v>
      </c>
      <c r="C43" t="s">
        <v>1287</v>
      </c>
      <c r="E43" s="610" t="s">
        <v>369</v>
      </c>
      <c r="G43" s="579">
        <v>1952591851</v>
      </c>
    </row>
    <row r="44" spans="2:7" x14ac:dyDescent="0.25">
      <c r="B44" s="1264" t="s">
        <v>1288</v>
      </c>
      <c r="C44" t="s">
        <v>1289</v>
      </c>
      <c r="E44" s="610" t="s">
        <v>369</v>
      </c>
      <c r="G44" s="579">
        <v>1952591851</v>
      </c>
    </row>
    <row r="45" spans="2:7" x14ac:dyDescent="0.25">
      <c r="B45" s="1264" t="s">
        <v>1290</v>
      </c>
      <c r="C45" t="s">
        <v>1291</v>
      </c>
      <c r="E45" s="610" t="s">
        <v>369</v>
      </c>
      <c r="G45" s="579">
        <v>1952591851</v>
      </c>
    </row>
    <row r="46" spans="2:7" x14ac:dyDescent="0.25">
      <c r="B46" s="1264" t="s">
        <v>1292</v>
      </c>
      <c r="C46" t="s">
        <v>1293</v>
      </c>
      <c r="E46" s="610" t="s">
        <v>369</v>
      </c>
      <c r="G46" s="579">
        <v>1952591851</v>
      </c>
    </row>
    <row r="47" spans="2:7" x14ac:dyDescent="0.25">
      <c r="B47" s="1264" t="s">
        <v>1294</v>
      </c>
      <c r="C47" t="s">
        <v>1295</v>
      </c>
      <c r="E47" s="610" t="s">
        <v>369</v>
      </c>
      <c r="G47" s="579">
        <v>1952591851</v>
      </c>
    </row>
    <row r="48" spans="2:7" x14ac:dyDescent="0.25">
      <c r="B48" s="1264" t="s">
        <v>1296</v>
      </c>
      <c r="C48" t="s">
        <v>1297</v>
      </c>
      <c r="E48" s="610" t="s">
        <v>369</v>
      </c>
      <c r="G48" s="579">
        <v>1952591851</v>
      </c>
    </row>
    <row r="49" spans="2:7" x14ac:dyDescent="0.25">
      <c r="B49" s="1264" t="s">
        <v>1298</v>
      </c>
      <c r="C49" t="s">
        <v>1299</v>
      </c>
      <c r="E49" s="610" t="s">
        <v>369</v>
      </c>
      <c r="G49" s="579">
        <v>1952591851</v>
      </c>
    </row>
    <row r="50" spans="2:7" x14ac:dyDescent="0.25">
      <c r="B50" s="1264" t="s">
        <v>1300</v>
      </c>
      <c r="C50" t="s">
        <v>1301</v>
      </c>
      <c r="E50" s="610" t="s">
        <v>369</v>
      </c>
      <c r="G50" s="579">
        <v>1952591851</v>
      </c>
    </row>
    <row r="51" spans="2:7" x14ac:dyDescent="0.25">
      <c r="B51" s="1264" t="s">
        <v>1302</v>
      </c>
      <c r="C51" t="s">
        <v>1303</v>
      </c>
      <c r="E51" s="610" t="s">
        <v>369</v>
      </c>
      <c r="G51" s="579">
        <v>1952591851</v>
      </c>
    </row>
    <row r="52" spans="2:7" x14ac:dyDescent="0.25">
      <c r="B52" s="1264" t="s">
        <v>1304</v>
      </c>
      <c r="C52" t="s">
        <v>1305</v>
      </c>
      <c r="E52" s="610" t="s">
        <v>369</v>
      </c>
      <c r="G52" s="579">
        <v>1952591851</v>
      </c>
    </row>
    <row r="53" spans="2:7" x14ac:dyDescent="0.25">
      <c r="B53" s="1264" t="s">
        <v>1306</v>
      </c>
      <c r="C53" t="s">
        <v>1307</v>
      </c>
      <c r="E53" s="610" t="s">
        <v>369</v>
      </c>
      <c r="G53" s="579">
        <v>1952591851</v>
      </c>
    </row>
    <row r="54" spans="2:7" x14ac:dyDescent="0.25">
      <c r="B54" s="1264" t="s">
        <v>1308</v>
      </c>
      <c r="C54" t="s">
        <v>1309</v>
      </c>
      <c r="E54" s="610" t="s">
        <v>369</v>
      </c>
      <c r="G54" s="579">
        <v>1952591851</v>
      </c>
    </row>
    <row r="55" spans="2:7" x14ac:dyDescent="0.25">
      <c r="B55" s="1264" t="s">
        <v>1310</v>
      </c>
      <c r="C55" t="s">
        <v>1311</v>
      </c>
      <c r="E55" s="610" t="s">
        <v>369</v>
      </c>
      <c r="G55" s="579">
        <v>1952591851</v>
      </c>
    </row>
    <row r="56" spans="2:7" x14ac:dyDescent="0.25">
      <c r="B56" s="1264" t="s">
        <v>1312</v>
      </c>
      <c r="C56" t="s">
        <v>1313</v>
      </c>
      <c r="E56" s="610" t="s">
        <v>369</v>
      </c>
      <c r="G56" s="579">
        <v>1952591851</v>
      </c>
    </row>
    <row r="57" spans="2:7" x14ac:dyDescent="0.25">
      <c r="B57" s="1264" t="s">
        <v>1314</v>
      </c>
      <c r="C57" t="s">
        <v>1315</v>
      </c>
      <c r="E57" s="610" t="s">
        <v>369</v>
      </c>
      <c r="G57" s="579">
        <v>1952591851</v>
      </c>
    </row>
    <row r="58" spans="2:7" x14ac:dyDescent="0.25">
      <c r="B58" s="1264" t="s">
        <v>944</v>
      </c>
      <c r="C58" t="s">
        <v>1316</v>
      </c>
      <c r="E58" s="610" t="s">
        <v>369</v>
      </c>
      <c r="G58" s="579">
        <v>1952591851</v>
      </c>
    </row>
    <row r="59" spans="2:7" x14ac:dyDescent="0.25">
      <c r="B59" s="1264" t="s">
        <v>1317</v>
      </c>
      <c r="C59" t="s">
        <v>1318</v>
      </c>
      <c r="E59" s="610" t="s">
        <v>369</v>
      </c>
      <c r="G59" s="579">
        <v>1952591851</v>
      </c>
    </row>
    <row r="60" spans="2:7" x14ac:dyDescent="0.25">
      <c r="B60" s="1264" t="s">
        <v>948</v>
      </c>
      <c r="C60" t="s">
        <v>1319</v>
      </c>
      <c r="E60" s="610" t="s">
        <v>369</v>
      </c>
      <c r="G60" s="579">
        <v>1952591851</v>
      </c>
    </row>
    <row r="61" spans="2:7" x14ac:dyDescent="0.25">
      <c r="B61" s="1264" t="s">
        <v>1320</v>
      </c>
      <c r="C61" t="s">
        <v>1321</v>
      </c>
      <c r="E61" s="610" t="s">
        <v>369</v>
      </c>
      <c r="G61" s="579">
        <v>1952591851</v>
      </c>
    </row>
    <row r="62" spans="2:7" x14ac:dyDescent="0.25">
      <c r="B62" s="1264" t="s">
        <v>1322</v>
      </c>
      <c r="C62" t="s">
        <v>1323</v>
      </c>
      <c r="E62" s="610" t="s">
        <v>369</v>
      </c>
      <c r="G62" s="579">
        <v>1952591851</v>
      </c>
    </row>
    <row r="63" spans="2:7" x14ac:dyDescent="0.25">
      <c r="B63" s="1264" t="s">
        <v>1324</v>
      </c>
      <c r="C63" t="s">
        <v>1321</v>
      </c>
      <c r="E63" s="610" t="s">
        <v>369</v>
      </c>
      <c r="G63" s="579">
        <v>1952591851</v>
      </c>
    </row>
    <row r="64" spans="2:7" x14ac:dyDescent="0.25">
      <c r="B64" s="1264" t="s">
        <v>1325</v>
      </c>
      <c r="C64" t="s">
        <v>1326</v>
      </c>
      <c r="E64" s="610" t="s">
        <v>369</v>
      </c>
      <c r="G64" s="579">
        <v>1952591851</v>
      </c>
    </row>
    <row r="65" spans="2:7" x14ac:dyDescent="0.25">
      <c r="B65" s="1264" t="s">
        <v>1327</v>
      </c>
      <c r="C65" t="s">
        <v>1328</v>
      </c>
      <c r="E65" s="610" t="s">
        <v>369</v>
      </c>
      <c r="G65" s="579">
        <v>1952591851</v>
      </c>
    </row>
    <row r="66" spans="2:7" x14ac:dyDescent="0.25">
      <c r="B66" s="1264" t="s">
        <v>1329</v>
      </c>
      <c r="C66" t="s">
        <v>1330</v>
      </c>
      <c r="E66" s="610" t="s">
        <v>369</v>
      </c>
      <c r="G66" s="579">
        <v>1952591851</v>
      </c>
    </row>
    <row r="67" spans="2:7" x14ac:dyDescent="0.25">
      <c r="B67" s="1264" t="s">
        <v>1331</v>
      </c>
      <c r="C67" t="s">
        <v>1332</v>
      </c>
      <c r="E67" s="610" t="s">
        <v>369</v>
      </c>
      <c r="G67" s="579">
        <v>1952591851</v>
      </c>
    </row>
    <row r="68" spans="2:7" x14ac:dyDescent="0.25">
      <c r="B68" s="1264" t="s">
        <v>1333</v>
      </c>
      <c r="C68" t="s">
        <v>1334</v>
      </c>
      <c r="E68" s="610" t="s">
        <v>369</v>
      </c>
      <c r="G68" s="579">
        <v>1952591851</v>
      </c>
    </row>
    <row r="69" spans="2:7" x14ac:dyDescent="0.25">
      <c r="B69" s="1264" t="s">
        <v>1335</v>
      </c>
      <c r="C69" t="s">
        <v>1336</v>
      </c>
      <c r="E69" s="610" t="s">
        <v>369</v>
      </c>
      <c r="G69" s="579">
        <v>1952591851</v>
      </c>
    </row>
    <row r="70" spans="2:7" x14ac:dyDescent="0.25">
      <c r="B70" s="1264" t="s">
        <v>1337</v>
      </c>
      <c r="C70" t="s">
        <v>1338</v>
      </c>
      <c r="E70" s="610" t="s">
        <v>369</v>
      </c>
      <c r="G70" s="579">
        <v>1952591851</v>
      </c>
    </row>
    <row r="71" spans="2:7" x14ac:dyDescent="0.25">
      <c r="B71" s="1264" t="s">
        <v>1339</v>
      </c>
      <c r="C71" t="s">
        <v>1340</v>
      </c>
      <c r="E71" s="610" t="s">
        <v>369</v>
      </c>
      <c r="G71" s="579">
        <v>1952591851</v>
      </c>
    </row>
    <row r="72" spans="2:7" x14ac:dyDescent="0.25">
      <c r="B72" s="1264" t="s">
        <v>1341</v>
      </c>
      <c r="C72" t="s">
        <v>1342</v>
      </c>
      <c r="E72" s="610" t="s">
        <v>369</v>
      </c>
      <c r="G72" s="579">
        <v>1952591851</v>
      </c>
    </row>
    <row r="73" spans="2:7" x14ac:dyDescent="0.25">
      <c r="B73" s="1264" t="s">
        <v>1343</v>
      </c>
      <c r="C73" t="s">
        <v>1344</v>
      </c>
      <c r="E73" s="610" t="s">
        <v>369</v>
      </c>
      <c r="G73" s="579">
        <v>1952591851</v>
      </c>
    </row>
    <row r="74" spans="2:7" x14ac:dyDescent="0.25">
      <c r="B74" s="1264" t="s">
        <v>1345</v>
      </c>
      <c r="C74" t="s">
        <v>1346</v>
      </c>
      <c r="E74" s="610" t="s">
        <v>369</v>
      </c>
      <c r="G74" s="579">
        <v>1952591851</v>
      </c>
    </row>
    <row r="75" spans="2:7" x14ac:dyDescent="0.25">
      <c r="B75" s="1264" t="s">
        <v>1347</v>
      </c>
      <c r="C75" t="s">
        <v>1348</v>
      </c>
      <c r="E75" s="610" t="s">
        <v>369</v>
      </c>
      <c r="G75" s="579">
        <v>1952591851</v>
      </c>
    </row>
    <row r="76" spans="2:7" x14ac:dyDescent="0.25">
      <c r="B76" s="1264" t="s">
        <v>1349</v>
      </c>
      <c r="C76" t="s">
        <v>1350</v>
      </c>
      <c r="E76" s="610" t="s">
        <v>369</v>
      </c>
      <c r="G76" s="579">
        <v>1952591851</v>
      </c>
    </row>
    <row r="77" spans="2:7" x14ac:dyDescent="0.25">
      <c r="B77" s="1264" t="s">
        <v>1351</v>
      </c>
      <c r="C77" t="s">
        <v>1352</v>
      </c>
      <c r="E77" s="610" t="s">
        <v>369</v>
      </c>
      <c r="G77" s="579">
        <v>1952591851</v>
      </c>
    </row>
    <row r="78" spans="2:7" x14ac:dyDescent="0.25">
      <c r="B78" s="1264" t="s">
        <v>1353</v>
      </c>
      <c r="C78" t="s">
        <v>1354</v>
      </c>
      <c r="E78" s="610" t="s">
        <v>369</v>
      </c>
      <c r="G78" s="579">
        <v>1952591851</v>
      </c>
    </row>
    <row r="79" spans="2:7" x14ac:dyDescent="0.25">
      <c r="B79" s="1264" t="s">
        <v>1355</v>
      </c>
      <c r="C79" t="s">
        <v>1356</v>
      </c>
      <c r="E79" s="610" t="s">
        <v>369</v>
      </c>
      <c r="G79" s="579">
        <v>1952591851</v>
      </c>
    </row>
    <row r="80" spans="2:7" x14ac:dyDescent="0.25">
      <c r="B80" s="1264" t="s">
        <v>1357</v>
      </c>
      <c r="C80" t="s">
        <v>1358</v>
      </c>
      <c r="E80" s="610" t="s">
        <v>369</v>
      </c>
      <c r="G80" s="579">
        <v>1952591851</v>
      </c>
    </row>
    <row r="81" spans="2:7" x14ac:dyDescent="0.25">
      <c r="B81" s="1264" t="s">
        <v>1359</v>
      </c>
      <c r="C81" t="s">
        <v>1360</v>
      </c>
      <c r="E81" s="610" t="s">
        <v>369</v>
      </c>
      <c r="G81" s="579">
        <v>1952591851</v>
      </c>
    </row>
    <row r="82" spans="2:7" x14ac:dyDescent="0.25">
      <c r="B82" s="1264" t="s">
        <v>1361</v>
      </c>
      <c r="C82" t="s">
        <v>1362</v>
      </c>
      <c r="E82" s="610" t="s">
        <v>369</v>
      </c>
      <c r="G82" s="579">
        <v>1952591851</v>
      </c>
    </row>
    <row r="83" spans="2:7" x14ac:dyDescent="0.25">
      <c r="B83" s="1264" t="s">
        <v>1363</v>
      </c>
      <c r="C83" t="s">
        <v>1364</v>
      </c>
      <c r="E83" s="610" t="s">
        <v>369</v>
      </c>
      <c r="G83" s="579">
        <v>1952591851</v>
      </c>
    </row>
    <row r="84" spans="2:7" x14ac:dyDescent="0.25">
      <c r="B84" s="1264" t="s">
        <v>1365</v>
      </c>
      <c r="C84" t="s">
        <v>1366</v>
      </c>
      <c r="E84" s="610" t="s">
        <v>369</v>
      </c>
      <c r="G84" s="579">
        <v>1952591851</v>
      </c>
    </row>
    <row r="85" spans="2:7" x14ac:dyDescent="0.25">
      <c r="B85" s="1264" t="s">
        <v>946</v>
      </c>
      <c r="C85" t="s">
        <v>1367</v>
      </c>
      <c r="E85" s="610" t="s">
        <v>369</v>
      </c>
      <c r="G85" s="579">
        <v>1952591851</v>
      </c>
    </row>
    <row r="86" spans="2:7" x14ac:dyDescent="0.25">
      <c r="B86" s="1264" t="s">
        <v>1368</v>
      </c>
      <c r="C86" t="s">
        <v>1369</v>
      </c>
      <c r="E86" s="610" t="s">
        <v>369</v>
      </c>
      <c r="G86" s="579">
        <v>1952591851</v>
      </c>
    </row>
    <row r="87" spans="2:7" x14ac:dyDescent="0.25">
      <c r="B87" s="1264" t="s">
        <v>1370</v>
      </c>
      <c r="C87" t="s">
        <v>1371</v>
      </c>
      <c r="E87" s="610" t="s">
        <v>369</v>
      </c>
      <c r="G87" s="579">
        <v>1952591851</v>
      </c>
    </row>
    <row r="88" spans="2:7" x14ac:dyDescent="0.25">
      <c r="B88" s="1264" t="s">
        <v>947</v>
      </c>
      <c r="C88" t="s">
        <v>1372</v>
      </c>
      <c r="E88" s="610" t="s">
        <v>369</v>
      </c>
      <c r="G88" s="579">
        <v>1952591851</v>
      </c>
    </row>
    <row r="89" spans="2:7" x14ac:dyDescent="0.25">
      <c r="B89" s="1264" t="s">
        <v>1373</v>
      </c>
      <c r="C89" t="s">
        <v>1374</v>
      </c>
      <c r="E89" s="610" t="s">
        <v>369</v>
      </c>
      <c r="G89" s="579">
        <v>1952591851</v>
      </c>
    </row>
    <row r="90" spans="2:7" x14ac:dyDescent="0.25">
      <c r="B90" s="1264" t="s">
        <v>1375</v>
      </c>
      <c r="C90" t="s">
        <v>1376</v>
      </c>
      <c r="E90" s="610" t="s">
        <v>369</v>
      </c>
      <c r="G90" s="579">
        <v>1952591851</v>
      </c>
    </row>
    <row r="91" spans="2:7" x14ac:dyDescent="0.25">
      <c r="B91" s="1264" t="s">
        <v>1377</v>
      </c>
      <c r="C91" t="s">
        <v>1378</v>
      </c>
      <c r="E91" s="610" t="s">
        <v>369</v>
      </c>
      <c r="G91" s="579">
        <v>1952591851</v>
      </c>
    </row>
    <row r="92" spans="2:7" x14ac:dyDescent="0.25">
      <c r="B92" s="1264" t="s">
        <v>949</v>
      </c>
      <c r="C92" t="s">
        <v>1379</v>
      </c>
      <c r="E92" s="610" t="s">
        <v>369</v>
      </c>
      <c r="G92" s="579">
        <v>1952591851</v>
      </c>
    </row>
    <row r="93" spans="2:7" x14ac:dyDescent="0.25">
      <c r="B93" s="1264" t="s">
        <v>1380</v>
      </c>
      <c r="C93" t="s">
        <v>1381</v>
      </c>
      <c r="E93" s="610" t="s">
        <v>369</v>
      </c>
      <c r="G93" s="579">
        <v>1952591851</v>
      </c>
    </row>
    <row r="94" spans="2:7" x14ac:dyDescent="0.25">
      <c r="B94" s="1264" t="s">
        <v>1382</v>
      </c>
      <c r="C94" t="s">
        <v>1383</v>
      </c>
      <c r="E94" s="610" t="s">
        <v>369</v>
      </c>
      <c r="G94" s="579">
        <v>1952591851</v>
      </c>
    </row>
    <row r="95" spans="2:7" x14ac:dyDescent="0.25">
      <c r="B95" s="1264" t="s">
        <v>1384</v>
      </c>
      <c r="C95" t="s">
        <v>1385</v>
      </c>
      <c r="E95" s="610" t="s">
        <v>369</v>
      </c>
      <c r="G95" s="579">
        <v>1952591851</v>
      </c>
    </row>
    <row r="96" spans="2:7" x14ac:dyDescent="0.25">
      <c r="B96" s="1264" t="s">
        <v>1386</v>
      </c>
      <c r="C96" t="s">
        <v>1387</v>
      </c>
      <c r="E96" s="610" t="s">
        <v>369</v>
      </c>
      <c r="G96" s="579">
        <v>1952591851</v>
      </c>
    </row>
    <row r="97" spans="2:7" x14ac:dyDescent="0.25">
      <c r="B97" s="1264" t="s">
        <v>951</v>
      </c>
      <c r="C97" t="s">
        <v>1388</v>
      </c>
      <c r="E97" s="610" t="s">
        <v>369</v>
      </c>
      <c r="G97" s="579">
        <v>1952591851</v>
      </c>
    </row>
    <row r="98" spans="2:7" x14ac:dyDescent="0.25">
      <c r="B98" s="1264" t="s">
        <v>1389</v>
      </c>
      <c r="C98" t="s">
        <v>1390</v>
      </c>
      <c r="E98" s="610" t="s">
        <v>369</v>
      </c>
      <c r="G98" s="579">
        <v>1952591851</v>
      </c>
    </row>
    <row r="99" spans="2:7" x14ac:dyDescent="0.25">
      <c r="B99" s="1264" t="s">
        <v>1391</v>
      </c>
      <c r="C99" t="s">
        <v>1392</v>
      </c>
      <c r="E99" s="610" t="s">
        <v>369</v>
      </c>
      <c r="G99" s="579">
        <v>1952591851</v>
      </c>
    </row>
    <row r="100" spans="2:7" x14ac:dyDescent="0.25">
      <c r="B100" s="1264" t="s">
        <v>1393</v>
      </c>
      <c r="C100" t="s">
        <v>1394</v>
      </c>
      <c r="E100" s="610" t="s">
        <v>369</v>
      </c>
      <c r="G100" s="579">
        <v>1952591851</v>
      </c>
    </row>
    <row r="101" spans="2:7" x14ac:dyDescent="0.25">
      <c r="B101" s="1264" t="s">
        <v>1395</v>
      </c>
      <c r="C101" t="s">
        <v>1396</v>
      </c>
      <c r="E101" s="610" t="s">
        <v>369</v>
      </c>
      <c r="G101" s="579">
        <v>1952591851</v>
      </c>
    </row>
    <row r="102" spans="2:7" x14ac:dyDescent="0.25">
      <c r="B102" s="1264" t="s">
        <v>1397</v>
      </c>
      <c r="C102" t="s">
        <v>1398</v>
      </c>
      <c r="E102" s="610" t="s">
        <v>369</v>
      </c>
      <c r="G102" s="579">
        <v>1952591851</v>
      </c>
    </row>
    <row r="103" spans="2:7" x14ac:dyDescent="0.25">
      <c r="B103" s="1264" t="s">
        <v>1617</v>
      </c>
      <c r="C103" t="s">
        <v>1399</v>
      </c>
      <c r="E103" s="610" t="s">
        <v>369</v>
      </c>
      <c r="G103" s="579">
        <v>1952591851</v>
      </c>
    </row>
    <row r="104" spans="2:7" x14ac:dyDescent="0.25">
      <c r="B104" s="1264" t="s">
        <v>1400</v>
      </c>
      <c r="C104" t="s">
        <v>1401</v>
      </c>
      <c r="E104" s="610" t="s">
        <v>369</v>
      </c>
      <c r="G104" s="579">
        <v>1952591851</v>
      </c>
    </row>
    <row r="105" spans="2:7" x14ac:dyDescent="0.25">
      <c r="B105" s="1264" t="s">
        <v>1402</v>
      </c>
      <c r="C105" t="s">
        <v>1403</v>
      </c>
      <c r="E105" s="610" t="s">
        <v>369</v>
      </c>
      <c r="G105" s="579">
        <v>1952591851</v>
      </c>
    </row>
    <row r="106" spans="2:7" x14ac:dyDescent="0.25">
      <c r="B106" s="1264" t="s">
        <v>1404</v>
      </c>
      <c r="C106" t="s">
        <v>1405</v>
      </c>
      <c r="E106" s="610" t="s">
        <v>369</v>
      </c>
      <c r="G106" s="579">
        <v>1952591851</v>
      </c>
    </row>
    <row r="107" spans="2:7" x14ac:dyDescent="0.25">
      <c r="B107" s="1264" t="s">
        <v>1406</v>
      </c>
      <c r="C107" t="s">
        <v>1407</v>
      </c>
      <c r="E107" s="610" t="s">
        <v>369</v>
      </c>
      <c r="G107" s="579">
        <v>1952591851</v>
      </c>
    </row>
    <row r="108" spans="2:7" x14ac:dyDescent="0.25">
      <c r="B108" s="1264" t="s">
        <v>1408</v>
      </c>
      <c r="C108" t="s">
        <v>1409</v>
      </c>
      <c r="E108" s="610" t="s">
        <v>369</v>
      </c>
      <c r="G108" s="579">
        <v>1952591851</v>
      </c>
    </row>
    <row r="109" spans="2:7" x14ac:dyDescent="0.25">
      <c r="B109" s="1264" t="s">
        <v>1410</v>
      </c>
      <c r="C109" t="s">
        <v>1411</v>
      </c>
      <c r="E109" s="610" t="s">
        <v>369</v>
      </c>
      <c r="G109" s="579">
        <v>1952591851</v>
      </c>
    </row>
    <row r="110" spans="2:7" x14ac:dyDescent="0.25">
      <c r="B110" s="1264" t="s">
        <v>1412</v>
      </c>
      <c r="C110" t="s">
        <v>1413</v>
      </c>
      <c r="E110" s="610" t="s">
        <v>369</v>
      </c>
      <c r="G110" s="579">
        <v>1952591851</v>
      </c>
    </row>
    <row r="111" spans="2:7" x14ac:dyDescent="0.25">
      <c r="B111" s="1264" t="s">
        <v>954</v>
      </c>
      <c r="C111" t="s">
        <v>1414</v>
      </c>
      <c r="E111" s="610" t="s">
        <v>369</v>
      </c>
      <c r="G111" s="579">
        <v>1952591851</v>
      </c>
    </row>
    <row r="112" spans="2:7" x14ac:dyDescent="0.25">
      <c r="B112" s="1264" t="s">
        <v>1415</v>
      </c>
      <c r="C112" t="s">
        <v>1416</v>
      </c>
      <c r="E112" s="610" t="s">
        <v>369</v>
      </c>
      <c r="G112" s="579">
        <v>1952591851</v>
      </c>
    </row>
    <row r="113" spans="2:7" x14ac:dyDescent="0.25">
      <c r="B113" s="1264" t="s">
        <v>957</v>
      </c>
      <c r="C113" t="s">
        <v>1417</v>
      </c>
      <c r="E113" s="610" t="s">
        <v>369</v>
      </c>
      <c r="G113" s="579">
        <v>1952591851</v>
      </c>
    </row>
    <row r="114" spans="2:7" x14ac:dyDescent="0.25">
      <c r="B114" s="1264" t="s">
        <v>1418</v>
      </c>
      <c r="C114" t="s">
        <v>1419</v>
      </c>
      <c r="E114" s="610" t="s">
        <v>369</v>
      </c>
      <c r="G114" s="579">
        <v>1952591851</v>
      </c>
    </row>
    <row r="115" spans="2:7" x14ac:dyDescent="0.25">
      <c r="B115" s="1264" t="s">
        <v>1420</v>
      </c>
      <c r="C115" t="s">
        <v>1421</v>
      </c>
      <c r="E115" s="610" t="s">
        <v>369</v>
      </c>
      <c r="G115" s="579">
        <v>1952591851</v>
      </c>
    </row>
    <row r="116" spans="2:7" x14ac:dyDescent="0.25">
      <c r="B116" s="1264" t="s">
        <v>961</v>
      </c>
      <c r="C116" t="s">
        <v>1422</v>
      </c>
      <c r="E116" s="610" t="s">
        <v>369</v>
      </c>
      <c r="G116" s="579">
        <v>1952591851</v>
      </c>
    </row>
    <row r="117" spans="2:7" x14ac:dyDescent="0.25">
      <c r="B117" s="1264" t="s">
        <v>1423</v>
      </c>
      <c r="C117" t="s">
        <v>1424</v>
      </c>
      <c r="E117" s="610" t="s">
        <v>369</v>
      </c>
      <c r="G117" s="579">
        <v>1952591851</v>
      </c>
    </row>
    <row r="118" spans="2:7" x14ac:dyDescent="0.25">
      <c r="B118" s="1264" t="s">
        <v>1425</v>
      </c>
      <c r="C118" t="s">
        <v>1426</v>
      </c>
      <c r="E118" s="610" t="s">
        <v>369</v>
      </c>
      <c r="G118" s="579">
        <v>1952591851</v>
      </c>
    </row>
    <row r="119" spans="2:7" x14ac:dyDescent="0.25">
      <c r="B119" s="1264" t="s">
        <v>1427</v>
      </c>
      <c r="C119" t="s">
        <v>1428</v>
      </c>
      <c r="E119" s="610" t="s">
        <v>369</v>
      </c>
      <c r="G119" s="579">
        <v>1952591851</v>
      </c>
    </row>
    <row r="120" spans="2:7" x14ac:dyDescent="0.25">
      <c r="B120" s="1264" t="s">
        <v>1429</v>
      </c>
      <c r="C120" t="s">
        <v>1430</v>
      </c>
      <c r="E120" s="610" t="s">
        <v>369</v>
      </c>
      <c r="G120" s="579">
        <v>1952591851</v>
      </c>
    </row>
    <row r="121" spans="2:7" x14ac:dyDescent="0.25">
      <c r="B121" s="1264" t="s">
        <v>1431</v>
      </c>
      <c r="C121" t="s">
        <v>1432</v>
      </c>
      <c r="E121" s="610" t="s">
        <v>369</v>
      </c>
      <c r="G121" s="579">
        <v>1952591851</v>
      </c>
    </row>
    <row r="122" spans="2:7" x14ac:dyDescent="0.25">
      <c r="B122" s="1264" t="s">
        <v>1433</v>
      </c>
      <c r="C122" t="s">
        <v>1434</v>
      </c>
      <c r="E122" s="610" t="s">
        <v>369</v>
      </c>
      <c r="G122" s="579">
        <v>1952591851</v>
      </c>
    </row>
    <row r="123" spans="2:7" x14ac:dyDescent="0.25">
      <c r="B123" s="1264" t="s">
        <v>1435</v>
      </c>
      <c r="C123" t="s">
        <v>1436</v>
      </c>
      <c r="E123" s="610" t="s">
        <v>369</v>
      </c>
      <c r="G123" s="579">
        <v>1952591851</v>
      </c>
    </row>
    <row r="124" spans="2:7" x14ac:dyDescent="0.25">
      <c r="B124" s="1264" t="s">
        <v>1437</v>
      </c>
      <c r="C124" t="s">
        <v>1438</v>
      </c>
      <c r="E124" s="610" t="s">
        <v>369</v>
      </c>
      <c r="G124" s="579">
        <v>1952591851</v>
      </c>
    </row>
    <row r="125" spans="2:7" x14ac:dyDescent="0.25">
      <c r="B125" s="1264" t="s">
        <v>1439</v>
      </c>
      <c r="C125" t="s">
        <v>1440</v>
      </c>
      <c r="E125" s="610" t="s">
        <v>369</v>
      </c>
      <c r="G125" s="579">
        <v>1952591851</v>
      </c>
    </row>
    <row r="126" spans="2:7" x14ac:dyDescent="0.25">
      <c r="B126" s="1264" t="s">
        <v>1441</v>
      </c>
      <c r="C126" t="s">
        <v>1442</v>
      </c>
      <c r="E126" s="610" t="s">
        <v>369</v>
      </c>
      <c r="G126" s="579">
        <v>1952591851</v>
      </c>
    </row>
    <row r="127" spans="2:7" x14ac:dyDescent="0.25">
      <c r="B127" s="1264" t="s">
        <v>1443</v>
      </c>
      <c r="C127" t="s">
        <v>1444</v>
      </c>
      <c r="E127" s="610" t="s">
        <v>369</v>
      </c>
      <c r="G127" s="579">
        <v>1952591851</v>
      </c>
    </row>
    <row r="128" spans="2:7" x14ac:dyDescent="0.25">
      <c r="B128" s="1264" t="s">
        <v>1445</v>
      </c>
      <c r="C128" t="s">
        <v>1446</v>
      </c>
      <c r="E128" s="610" t="s">
        <v>369</v>
      </c>
      <c r="G128" s="579">
        <v>1952591851</v>
      </c>
    </row>
    <row r="129" spans="2:7" x14ac:dyDescent="0.25">
      <c r="B129" s="1264" t="s">
        <v>1447</v>
      </c>
      <c r="C129" t="s">
        <v>1448</v>
      </c>
      <c r="E129" s="610" t="s">
        <v>369</v>
      </c>
      <c r="G129" s="579">
        <v>1952591851</v>
      </c>
    </row>
    <row r="130" spans="2:7" x14ac:dyDescent="0.25">
      <c r="B130" s="1264" t="s">
        <v>1449</v>
      </c>
      <c r="C130" t="s">
        <v>1450</v>
      </c>
      <c r="E130" s="610" t="s">
        <v>369</v>
      </c>
      <c r="G130" s="579">
        <v>1952591851</v>
      </c>
    </row>
    <row r="131" spans="2:7" x14ac:dyDescent="0.25">
      <c r="B131" s="1264" t="s">
        <v>1451</v>
      </c>
      <c r="C131" t="s">
        <v>1452</v>
      </c>
      <c r="E131" s="610" t="s">
        <v>369</v>
      </c>
      <c r="G131" s="579">
        <v>1952591851</v>
      </c>
    </row>
    <row r="132" spans="2:7" x14ac:dyDescent="0.25">
      <c r="B132" s="1264" t="s">
        <v>953</v>
      </c>
      <c r="C132" t="s">
        <v>1453</v>
      </c>
      <c r="E132" s="610" t="s">
        <v>369</v>
      </c>
      <c r="G132" s="579">
        <v>1952591851</v>
      </c>
    </row>
    <row r="133" spans="2:7" x14ac:dyDescent="0.25">
      <c r="B133" s="1264" t="s">
        <v>1454</v>
      </c>
      <c r="C133" t="s">
        <v>1455</v>
      </c>
      <c r="E133" s="610" t="s">
        <v>369</v>
      </c>
      <c r="G133" s="579">
        <v>1952591851</v>
      </c>
    </row>
    <row r="134" spans="2:7" x14ac:dyDescent="0.25">
      <c r="B134" s="1264" t="s">
        <v>960</v>
      </c>
      <c r="C134" t="s">
        <v>1456</v>
      </c>
      <c r="E134" s="610" t="s">
        <v>369</v>
      </c>
      <c r="G134" s="579">
        <v>1952591851</v>
      </c>
    </row>
    <row r="135" spans="2:7" x14ac:dyDescent="0.25">
      <c r="B135" s="1264" t="s">
        <v>1457</v>
      </c>
      <c r="C135" t="s">
        <v>1458</v>
      </c>
      <c r="E135" s="610" t="s">
        <v>369</v>
      </c>
      <c r="G135" s="579">
        <v>1952591851</v>
      </c>
    </row>
    <row r="136" spans="2:7" x14ac:dyDescent="0.25">
      <c r="B136" s="1264" t="s">
        <v>1459</v>
      </c>
      <c r="C136" t="s">
        <v>1460</v>
      </c>
      <c r="E136" s="610" t="s">
        <v>369</v>
      </c>
      <c r="G136" s="579">
        <v>1952591851</v>
      </c>
    </row>
    <row r="137" spans="2:7" x14ac:dyDescent="0.25">
      <c r="B137" s="1264" t="s">
        <v>1461</v>
      </c>
      <c r="C137" t="s">
        <v>1462</v>
      </c>
      <c r="E137" s="610" t="s">
        <v>369</v>
      </c>
      <c r="G137" s="579">
        <v>1952591851</v>
      </c>
    </row>
    <row r="138" spans="2:7" x14ac:dyDescent="0.25">
      <c r="B138" s="1264" t="s">
        <v>1463</v>
      </c>
      <c r="C138" t="s">
        <v>1464</v>
      </c>
      <c r="E138" s="610" t="s">
        <v>369</v>
      </c>
      <c r="G138" s="579">
        <v>1952591851</v>
      </c>
    </row>
    <row r="139" spans="2:7" x14ac:dyDescent="0.25">
      <c r="B139" s="1264" t="s">
        <v>1465</v>
      </c>
      <c r="C139" t="s">
        <v>1466</v>
      </c>
      <c r="E139" s="610" t="s">
        <v>369</v>
      </c>
      <c r="G139" s="579">
        <v>1952591851</v>
      </c>
    </row>
    <row r="140" spans="2:7" x14ac:dyDescent="0.25">
      <c r="B140" s="1264" t="s">
        <v>1467</v>
      </c>
      <c r="C140" t="s">
        <v>1468</v>
      </c>
      <c r="E140" s="610" t="s">
        <v>369</v>
      </c>
      <c r="G140" s="579">
        <v>1952591851</v>
      </c>
    </row>
    <row r="141" spans="2:7" x14ac:dyDescent="0.25">
      <c r="B141" s="1264" t="s">
        <v>1469</v>
      </c>
      <c r="C141" t="s">
        <v>1470</v>
      </c>
      <c r="E141" s="610" t="s">
        <v>369</v>
      </c>
      <c r="G141" s="579">
        <v>1952591851</v>
      </c>
    </row>
    <row r="142" spans="2:7" x14ac:dyDescent="0.25">
      <c r="B142" s="1264" t="s">
        <v>1471</v>
      </c>
      <c r="C142" t="s">
        <v>1472</v>
      </c>
      <c r="E142" s="610" t="s">
        <v>369</v>
      </c>
      <c r="G142" s="579">
        <v>1952591851</v>
      </c>
    </row>
    <row r="143" spans="2:7" x14ac:dyDescent="0.25">
      <c r="B143" s="1264" t="s">
        <v>1473</v>
      </c>
      <c r="C143" t="s">
        <v>1474</v>
      </c>
      <c r="E143" s="610" t="s">
        <v>369</v>
      </c>
      <c r="G143" s="579">
        <v>1952591851</v>
      </c>
    </row>
    <row r="144" spans="2:7" x14ac:dyDescent="0.25">
      <c r="B144" s="1264" t="s">
        <v>1475</v>
      </c>
      <c r="C144" t="s">
        <v>1476</v>
      </c>
      <c r="E144" s="610" t="s">
        <v>369</v>
      </c>
      <c r="G144" s="579">
        <v>1952591851</v>
      </c>
    </row>
    <row r="145" spans="2:7" x14ac:dyDescent="0.25">
      <c r="B145" s="1264" t="s">
        <v>1477</v>
      </c>
      <c r="C145" t="s">
        <v>1478</v>
      </c>
      <c r="E145" s="610" t="s">
        <v>369</v>
      </c>
      <c r="G145" s="579">
        <v>1952591851</v>
      </c>
    </row>
    <row r="146" spans="2:7" x14ac:dyDescent="0.25">
      <c r="B146" s="1264" t="s">
        <v>1479</v>
      </c>
      <c r="C146" t="s">
        <v>1480</v>
      </c>
      <c r="E146" s="610" t="s">
        <v>369</v>
      </c>
      <c r="G146" s="579">
        <v>1952591851</v>
      </c>
    </row>
    <row r="147" spans="2:7" x14ac:dyDescent="0.25">
      <c r="B147" s="1264" t="s">
        <v>1481</v>
      </c>
      <c r="C147" t="s">
        <v>1482</v>
      </c>
      <c r="E147" s="610" t="s">
        <v>369</v>
      </c>
      <c r="G147" s="579">
        <v>1952591851</v>
      </c>
    </row>
    <row r="148" spans="2:7" x14ac:dyDescent="0.25">
      <c r="B148" s="1264" t="s">
        <v>959</v>
      </c>
      <c r="C148" t="s">
        <v>1483</v>
      </c>
      <c r="E148" s="610" t="s">
        <v>369</v>
      </c>
      <c r="G148" s="579">
        <v>1952591851</v>
      </c>
    </row>
    <row r="149" spans="2:7" x14ac:dyDescent="0.25">
      <c r="B149" s="1264" t="s">
        <v>1484</v>
      </c>
      <c r="C149" t="s">
        <v>1485</v>
      </c>
      <c r="E149" s="610" t="s">
        <v>369</v>
      </c>
      <c r="G149" s="579">
        <v>1952591851</v>
      </c>
    </row>
    <row r="150" spans="2:7" x14ac:dyDescent="0.25">
      <c r="B150" s="1264" t="s">
        <v>1486</v>
      </c>
      <c r="C150" t="s">
        <v>1487</v>
      </c>
      <c r="E150" s="610" t="s">
        <v>369</v>
      </c>
      <c r="G150" s="579">
        <v>1952591851</v>
      </c>
    </row>
    <row r="151" spans="2:7" x14ac:dyDescent="0.25">
      <c r="B151" s="1264" t="s">
        <v>1488</v>
      </c>
      <c r="C151" t="s">
        <v>1489</v>
      </c>
      <c r="E151" s="610" t="s">
        <v>369</v>
      </c>
      <c r="G151" s="579">
        <v>1952591851</v>
      </c>
    </row>
    <row r="152" spans="2:7" x14ac:dyDescent="0.25">
      <c r="B152" s="1264" t="s">
        <v>1490</v>
      </c>
      <c r="C152" t="s">
        <v>1491</v>
      </c>
      <c r="E152" s="610" t="s">
        <v>369</v>
      </c>
      <c r="G152" s="579">
        <v>1952591851</v>
      </c>
    </row>
    <row r="153" spans="2:7" x14ac:dyDescent="0.25">
      <c r="B153" s="1264" t="s">
        <v>1492</v>
      </c>
      <c r="C153" t="s">
        <v>1493</v>
      </c>
      <c r="E153" s="610" t="s">
        <v>369</v>
      </c>
      <c r="G153" s="579">
        <v>1952591851</v>
      </c>
    </row>
    <row r="154" spans="2:7" x14ac:dyDescent="0.25">
      <c r="B154" s="1264" t="s">
        <v>1494</v>
      </c>
      <c r="C154" t="s">
        <v>1495</v>
      </c>
      <c r="E154" s="610" t="s">
        <v>369</v>
      </c>
      <c r="G154" s="579">
        <v>1952591851</v>
      </c>
    </row>
    <row r="155" spans="2:7" x14ac:dyDescent="0.25">
      <c r="B155" s="1264" t="s">
        <v>956</v>
      </c>
      <c r="C155" t="s">
        <v>1496</v>
      </c>
      <c r="E155" s="610" t="s">
        <v>369</v>
      </c>
      <c r="G155" s="579">
        <v>1952591851</v>
      </c>
    </row>
    <row r="156" spans="2:7" x14ac:dyDescent="0.25">
      <c r="B156" s="1264" t="s">
        <v>1497</v>
      </c>
      <c r="C156" t="s">
        <v>1498</v>
      </c>
      <c r="E156" s="610" t="s">
        <v>369</v>
      </c>
      <c r="G156" s="579">
        <v>1952591851</v>
      </c>
    </row>
    <row r="157" spans="2:7" x14ac:dyDescent="0.25">
      <c r="B157" s="1264" t="s">
        <v>1499</v>
      </c>
      <c r="C157" t="s">
        <v>1500</v>
      </c>
      <c r="E157" s="610" t="s">
        <v>369</v>
      </c>
      <c r="G157" s="579">
        <v>1952591851</v>
      </c>
    </row>
    <row r="158" spans="2:7" x14ac:dyDescent="0.25">
      <c r="B158" s="1264" t="s">
        <v>1501</v>
      </c>
      <c r="C158" t="s">
        <v>1502</v>
      </c>
      <c r="E158" s="610" t="s">
        <v>369</v>
      </c>
      <c r="G158" s="579">
        <v>1952591851</v>
      </c>
    </row>
    <row r="159" spans="2:7" x14ac:dyDescent="0.25">
      <c r="B159" s="1264" t="s">
        <v>1503</v>
      </c>
      <c r="C159" t="s">
        <v>1504</v>
      </c>
      <c r="E159" s="610" t="s">
        <v>369</v>
      </c>
      <c r="G159" s="579">
        <v>1952591851</v>
      </c>
    </row>
    <row r="160" spans="2:7" x14ac:dyDescent="0.25">
      <c r="B160" s="1264" t="s">
        <v>1505</v>
      </c>
      <c r="C160" t="s">
        <v>1506</v>
      </c>
      <c r="E160" s="610" t="s">
        <v>369</v>
      </c>
      <c r="G160" s="579">
        <v>1952591851</v>
      </c>
    </row>
    <row r="161" spans="2:7" x14ac:dyDescent="0.25">
      <c r="B161" s="1264" t="s">
        <v>1507</v>
      </c>
      <c r="C161" t="s">
        <v>1508</v>
      </c>
      <c r="E161" s="610" t="s">
        <v>369</v>
      </c>
      <c r="G161" s="579">
        <v>1952591851</v>
      </c>
    </row>
    <row r="162" spans="2:7" x14ac:dyDescent="0.25">
      <c r="B162" s="1264" t="s">
        <v>1509</v>
      </c>
      <c r="C162" t="s">
        <v>1510</v>
      </c>
      <c r="E162" s="610" t="s">
        <v>369</v>
      </c>
      <c r="G162" s="579">
        <v>1952591851</v>
      </c>
    </row>
    <row r="163" spans="2:7" x14ac:dyDescent="0.25">
      <c r="B163" s="1264" t="s">
        <v>1511</v>
      </c>
      <c r="C163" t="s">
        <v>1512</v>
      </c>
      <c r="E163" s="610" t="s">
        <v>369</v>
      </c>
      <c r="G163" s="579">
        <v>1952591851</v>
      </c>
    </row>
    <row r="164" spans="2:7" x14ac:dyDescent="0.25">
      <c r="B164" s="1264" t="s">
        <v>1513</v>
      </c>
      <c r="C164" t="s">
        <v>1514</v>
      </c>
      <c r="E164" s="610" t="s">
        <v>369</v>
      </c>
      <c r="G164" s="579">
        <v>1952591851</v>
      </c>
    </row>
    <row r="165" spans="2:7" x14ac:dyDescent="0.25">
      <c r="B165" s="1264" t="s">
        <v>1515</v>
      </c>
      <c r="C165" t="s">
        <v>1516</v>
      </c>
      <c r="E165" s="610" t="s">
        <v>369</v>
      </c>
      <c r="G165" s="579">
        <v>1952591851</v>
      </c>
    </row>
    <row r="166" spans="2:7" x14ac:dyDescent="0.25">
      <c r="B166" s="1264" t="s">
        <v>945</v>
      </c>
      <c r="C166" t="s">
        <v>1517</v>
      </c>
      <c r="E166" s="610" t="s">
        <v>369</v>
      </c>
      <c r="G166" s="579">
        <v>1952591851</v>
      </c>
    </row>
    <row r="167" spans="2:7" x14ac:dyDescent="0.25">
      <c r="B167" s="1264" t="s">
        <v>1518</v>
      </c>
      <c r="C167" t="s">
        <v>1519</v>
      </c>
      <c r="E167" s="610" t="s">
        <v>369</v>
      </c>
      <c r="G167" s="579">
        <v>1952591851</v>
      </c>
    </row>
    <row r="168" spans="2:7" x14ac:dyDescent="0.25">
      <c r="B168" s="1264" t="s">
        <v>955</v>
      </c>
      <c r="C168" t="s">
        <v>1520</v>
      </c>
      <c r="E168" s="610" t="s">
        <v>369</v>
      </c>
      <c r="G168" s="579">
        <v>1952591851</v>
      </c>
    </row>
    <row r="169" spans="2:7" x14ac:dyDescent="0.25">
      <c r="B169" s="1264" t="s">
        <v>1521</v>
      </c>
      <c r="C169" t="s">
        <v>1522</v>
      </c>
      <c r="E169" s="610" t="s">
        <v>369</v>
      </c>
      <c r="G169" s="579">
        <v>1952591851</v>
      </c>
    </row>
    <row r="170" spans="2:7" x14ac:dyDescent="0.25">
      <c r="B170" s="1264" t="s">
        <v>1523</v>
      </c>
      <c r="C170" t="s">
        <v>1524</v>
      </c>
      <c r="E170" s="610" t="s">
        <v>369</v>
      </c>
      <c r="G170" s="579">
        <v>1952591851</v>
      </c>
    </row>
    <row r="171" spans="2:7" x14ac:dyDescent="0.25">
      <c r="B171" s="1264" t="s">
        <v>1525</v>
      </c>
      <c r="C171" t="s">
        <v>1526</v>
      </c>
      <c r="E171" s="610" t="s">
        <v>369</v>
      </c>
      <c r="G171" s="579">
        <v>1952591851</v>
      </c>
    </row>
    <row r="172" spans="2:7" x14ac:dyDescent="0.25">
      <c r="B172" s="1264" t="s">
        <v>1527</v>
      </c>
      <c r="C172" t="s">
        <v>1528</v>
      </c>
      <c r="E172" s="610" t="s">
        <v>369</v>
      </c>
      <c r="G172" s="579">
        <v>1952591851</v>
      </c>
    </row>
    <row r="173" spans="2:7" x14ac:dyDescent="0.25">
      <c r="B173" s="1264" t="s">
        <v>1529</v>
      </c>
      <c r="C173" t="s">
        <v>1530</v>
      </c>
      <c r="E173" s="610" t="s">
        <v>369</v>
      </c>
      <c r="G173" s="579">
        <v>1952591851</v>
      </c>
    </row>
    <row r="174" spans="2:7" x14ac:dyDescent="0.25">
      <c r="B174" s="1264" t="s">
        <v>1531</v>
      </c>
      <c r="C174" t="s">
        <v>1532</v>
      </c>
      <c r="E174" s="610" t="s">
        <v>369</v>
      </c>
      <c r="G174" s="579">
        <v>1952591851</v>
      </c>
    </row>
    <row r="175" spans="2:7" x14ac:dyDescent="0.25">
      <c r="B175" s="1264" t="s">
        <v>1533</v>
      </c>
      <c r="C175" t="s">
        <v>1534</v>
      </c>
      <c r="E175" s="610" t="s">
        <v>369</v>
      </c>
      <c r="G175" s="579">
        <v>1952591851</v>
      </c>
    </row>
    <row r="176" spans="2:7" x14ac:dyDescent="0.25">
      <c r="B176" s="1264" t="s">
        <v>1535</v>
      </c>
      <c r="C176" t="s">
        <v>1536</v>
      </c>
      <c r="E176" s="610" t="s">
        <v>369</v>
      </c>
      <c r="G176" s="579">
        <v>1952591851</v>
      </c>
    </row>
    <row r="177" spans="2:7" x14ac:dyDescent="0.25">
      <c r="B177" s="1264" t="s">
        <v>1537</v>
      </c>
      <c r="C177" t="s">
        <v>1538</v>
      </c>
      <c r="E177" s="610" t="s">
        <v>369</v>
      </c>
      <c r="G177" s="579">
        <v>1952591851</v>
      </c>
    </row>
    <row r="178" spans="2:7" x14ac:dyDescent="0.25">
      <c r="B178" s="1264" t="s">
        <v>1539</v>
      </c>
      <c r="C178" t="s">
        <v>1540</v>
      </c>
      <c r="E178" s="610" t="s">
        <v>369</v>
      </c>
      <c r="G178" s="579">
        <v>1952591851</v>
      </c>
    </row>
    <row r="179" spans="2:7" x14ac:dyDescent="0.25">
      <c r="B179" s="1264" t="s">
        <v>1541</v>
      </c>
      <c r="C179" t="s">
        <v>1542</v>
      </c>
      <c r="E179" s="610" t="s">
        <v>369</v>
      </c>
      <c r="G179" s="579">
        <v>1952591851</v>
      </c>
    </row>
    <row r="180" spans="2:7" x14ac:dyDescent="0.25">
      <c r="B180" s="1264" t="s">
        <v>1543</v>
      </c>
      <c r="C180" t="s">
        <v>1544</v>
      </c>
      <c r="E180" s="610" t="s">
        <v>369</v>
      </c>
      <c r="G180" s="579">
        <v>1952591851</v>
      </c>
    </row>
    <row r="181" spans="2:7" x14ac:dyDescent="0.25">
      <c r="B181" s="1264" t="s">
        <v>1545</v>
      </c>
      <c r="C181" t="s">
        <v>1546</v>
      </c>
      <c r="E181" s="610" t="s">
        <v>369</v>
      </c>
      <c r="G181" s="579">
        <v>1952591851</v>
      </c>
    </row>
    <row r="182" spans="2:7" x14ac:dyDescent="0.25">
      <c r="B182" s="1264" t="s">
        <v>1547</v>
      </c>
      <c r="C182" t="s">
        <v>1548</v>
      </c>
      <c r="E182" s="610" t="s">
        <v>369</v>
      </c>
      <c r="G182" s="579">
        <v>1952591851</v>
      </c>
    </row>
    <row r="183" spans="2:7" x14ac:dyDescent="0.25">
      <c r="B183" s="1264" t="s">
        <v>1549</v>
      </c>
      <c r="C183" t="s">
        <v>1550</v>
      </c>
      <c r="E183" s="610" t="s">
        <v>369</v>
      </c>
      <c r="G183" s="579">
        <v>1952591851</v>
      </c>
    </row>
    <row r="184" spans="2:7" x14ac:dyDescent="0.25">
      <c r="B184" s="1264" t="s">
        <v>1551</v>
      </c>
      <c r="C184" t="s">
        <v>1552</v>
      </c>
      <c r="E184" s="610" t="s">
        <v>369</v>
      </c>
      <c r="G184" s="579">
        <v>1952591851</v>
      </c>
    </row>
    <row r="185" spans="2:7" x14ac:dyDescent="0.25">
      <c r="B185" s="1264" t="s">
        <v>958</v>
      </c>
      <c r="C185" t="s">
        <v>1553</v>
      </c>
      <c r="E185" s="610" t="s">
        <v>369</v>
      </c>
      <c r="G185" s="579">
        <v>1952591851</v>
      </c>
    </row>
    <row r="186" spans="2:7" x14ac:dyDescent="0.25">
      <c r="B186" s="1264" t="s">
        <v>1554</v>
      </c>
      <c r="C186" t="s">
        <v>1555</v>
      </c>
      <c r="E186" s="610" t="s">
        <v>369</v>
      </c>
      <c r="G186" s="579">
        <v>1952591851</v>
      </c>
    </row>
    <row r="187" spans="2:7" x14ac:dyDescent="0.25">
      <c r="B187" s="1264" t="s">
        <v>950</v>
      </c>
      <c r="C187" t="s">
        <v>1556</v>
      </c>
      <c r="E187" s="610" t="s">
        <v>369</v>
      </c>
      <c r="G187" s="579">
        <v>1952591851</v>
      </c>
    </row>
    <row r="188" spans="2:7" x14ac:dyDescent="0.25">
      <c r="B188" s="1264" t="s">
        <v>1557</v>
      </c>
      <c r="C188" t="s">
        <v>1558</v>
      </c>
      <c r="E188" s="610" t="s">
        <v>369</v>
      </c>
      <c r="G188" s="579">
        <v>1952591851</v>
      </c>
    </row>
    <row r="189" spans="2:7" x14ac:dyDescent="0.25">
      <c r="B189" s="1264" t="s">
        <v>1559</v>
      </c>
      <c r="C189" t="s">
        <v>1560</v>
      </c>
      <c r="E189" s="610" t="s">
        <v>369</v>
      </c>
      <c r="G189" s="579">
        <v>1952591851</v>
      </c>
    </row>
    <row r="190" spans="2:7" x14ac:dyDescent="0.25">
      <c r="B190" s="1264" t="s">
        <v>1561</v>
      </c>
      <c r="C190" t="s">
        <v>1562</v>
      </c>
      <c r="E190" s="610" t="s">
        <v>369</v>
      </c>
      <c r="G190" s="579">
        <v>1952591851</v>
      </c>
    </row>
    <row r="191" spans="2:7" x14ac:dyDescent="0.25">
      <c r="B191" s="1264" t="s">
        <v>1563</v>
      </c>
      <c r="C191" t="s">
        <v>1564</v>
      </c>
      <c r="E191" s="610" t="s">
        <v>369</v>
      </c>
      <c r="G191" s="579">
        <v>1952591851</v>
      </c>
    </row>
    <row r="192" spans="2:7" x14ac:dyDescent="0.25">
      <c r="B192" s="1264" t="s">
        <v>1565</v>
      </c>
      <c r="C192" t="s">
        <v>1566</v>
      </c>
      <c r="E192" s="610" t="s">
        <v>369</v>
      </c>
      <c r="G192" s="579">
        <v>1952591851</v>
      </c>
    </row>
    <row r="193" spans="2:7" x14ac:dyDescent="0.25">
      <c r="B193" s="1264" t="s">
        <v>1567</v>
      </c>
      <c r="C193" t="s">
        <v>1568</v>
      </c>
      <c r="E193" s="610" t="s">
        <v>369</v>
      </c>
      <c r="G193" s="579">
        <v>1952591851</v>
      </c>
    </row>
    <row r="194" spans="2:7" x14ac:dyDescent="0.25">
      <c r="B194" s="1264" t="s">
        <v>1569</v>
      </c>
      <c r="C194" t="s">
        <v>1570</v>
      </c>
      <c r="E194" s="610" t="s">
        <v>369</v>
      </c>
      <c r="G194" s="579">
        <v>1952591851</v>
      </c>
    </row>
    <row r="195" spans="2:7" x14ac:dyDescent="0.25">
      <c r="B195" s="1264" t="s">
        <v>1571</v>
      </c>
      <c r="C195" t="s">
        <v>1572</v>
      </c>
      <c r="E195" s="610" t="s">
        <v>369</v>
      </c>
      <c r="G195" s="579">
        <v>1952591851</v>
      </c>
    </row>
    <row r="196" spans="2:7" x14ac:dyDescent="0.25">
      <c r="B196" s="1264" t="s">
        <v>1573</v>
      </c>
      <c r="C196" t="s">
        <v>1572</v>
      </c>
      <c r="E196" s="610" t="s">
        <v>369</v>
      </c>
      <c r="G196" s="579">
        <v>1952591851</v>
      </c>
    </row>
    <row r="197" spans="2:7" x14ac:dyDescent="0.25">
      <c r="B197" s="1264" t="s">
        <v>1574</v>
      </c>
      <c r="C197" t="s">
        <v>1575</v>
      </c>
      <c r="E197" s="610" t="s">
        <v>369</v>
      </c>
      <c r="G197" s="579">
        <v>1952591851</v>
      </c>
    </row>
    <row r="198" spans="2:7" x14ac:dyDescent="0.25">
      <c r="B198" s="1264" t="s">
        <v>1576</v>
      </c>
      <c r="C198" t="s">
        <v>1577</v>
      </c>
      <c r="E198" s="610" t="s">
        <v>369</v>
      </c>
      <c r="G198" s="579">
        <v>1952591851</v>
      </c>
    </row>
    <row r="199" spans="2:7" x14ac:dyDescent="0.25">
      <c r="B199" s="1264" t="s">
        <v>1578</v>
      </c>
      <c r="C199" t="s">
        <v>1579</v>
      </c>
      <c r="E199" s="610" t="s">
        <v>369</v>
      </c>
      <c r="G199" s="579">
        <v>1952591851</v>
      </c>
    </row>
    <row r="200" spans="2:7" x14ac:dyDescent="0.25">
      <c r="B200" s="1264" t="s">
        <v>1580</v>
      </c>
      <c r="C200" t="s">
        <v>1581</v>
      </c>
      <c r="E200" s="610" t="s">
        <v>369</v>
      </c>
      <c r="G200" s="579">
        <v>1952591851</v>
      </c>
    </row>
    <row r="201" spans="2:7" x14ac:dyDescent="0.25">
      <c r="B201" s="1264" t="s">
        <v>1582</v>
      </c>
      <c r="C201" t="s">
        <v>1583</v>
      </c>
      <c r="E201" s="610" t="s">
        <v>369</v>
      </c>
      <c r="G201" s="579">
        <v>1952591851</v>
      </c>
    </row>
    <row r="202" spans="2:7" x14ac:dyDescent="0.25">
      <c r="B202" s="1264" t="s">
        <v>952</v>
      </c>
      <c r="C202" t="s">
        <v>1584</v>
      </c>
      <c r="E202" s="610" t="s">
        <v>369</v>
      </c>
      <c r="G202" s="579">
        <v>1952591851</v>
      </c>
    </row>
    <row r="203" spans="2:7" x14ac:dyDescent="0.25">
      <c r="B203" s="1264" t="s">
        <v>1585</v>
      </c>
      <c r="C203" t="s">
        <v>1586</v>
      </c>
      <c r="E203" s="610" t="s">
        <v>369</v>
      </c>
      <c r="G203" s="579">
        <v>1952591851</v>
      </c>
    </row>
    <row r="204" spans="2:7" x14ac:dyDescent="0.25">
      <c r="B204" s="1264" t="s">
        <v>1587</v>
      </c>
      <c r="C204" t="s">
        <v>1588</v>
      </c>
      <c r="E204" s="610" t="s">
        <v>369</v>
      </c>
      <c r="G204" s="579">
        <v>1952591851</v>
      </c>
    </row>
    <row r="205" spans="2:7" x14ac:dyDescent="0.25">
      <c r="B205" s="1264" t="s">
        <v>1589</v>
      </c>
      <c r="C205" t="s">
        <v>1590</v>
      </c>
      <c r="E205" s="610" t="s">
        <v>369</v>
      </c>
      <c r="G205" s="579">
        <v>1952591851</v>
      </c>
    </row>
    <row r="206" spans="2:7" x14ac:dyDescent="0.25">
      <c r="B206" s="1264" t="s">
        <v>1591</v>
      </c>
      <c r="C206" t="s">
        <v>1592</v>
      </c>
      <c r="E206" s="610" t="s">
        <v>369</v>
      </c>
      <c r="G206" s="579">
        <v>1952591851</v>
      </c>
    </row>
    <row r="207" spans="2:7" x14ac:dyDescent="0.25">
      <c r="B207" s="1264" t="s">
        <v>1593</v>
      </c>
      <c r="C207" t="s">
        <v>1594</v>
      </c>
      <c r="E207" s="610" t="s">
        <v>369</v>
      </c>
      <c r="G207" s="579">
        <v>1952591851</v>
      </c>
    </row>
    <row r="208" spans="2:7" x14ac:dyDescent="0.25">
      <c r="B208" s="1264" t="s">
        <v>1595</v>
      </c>
      <c r="C208" t="s">
        <v>1596</v>
      </c>
      <c r="E208" s="610" t="s">
        <v>369</v>
      </c>
      <c r="G208" s="579">
        <v>1952591851</v>
      </c>
    </row>
    <row r="209" spans="2:7" x14ac:dyDescent="0.25">
      <c r="B209" s="1264" t="s">
        <v>1597</v>
      </c>
      <c r="C209" t="s">
        <v>1598</v>
      </c>
      <c r="E209" s="610" t="s">
        <v>369</v>
      </c>
      <c r="G209" s="579">
        <v>1952591851</v>
      </c>
    </row>
    <row r="210" spans="2:7" x14ac:dyDescent="0.25">
      <c r="B210" s="1264" t="s">
        <v>1599</v>
      </c>
      <c r="C210" t="s">
        <v>1600</v>
      </c>
      <c r="E210" s="610" t="s">
        <v>369</v>
      </c>
      <c r="G210" s="579">
        <v>1952591851</v>
      </c>
    </row>
    <row r="211" spans="2:7" x14ac:dyDescent="0.25">
      <c r="B211" s="1264" t="s">
        <v>1601</v>
      </c>
      <c r="C211" t="s">
        <v>1602</v>
      </c>
      <c r="E211" s="610" t="s">
        <v>369</v>
      </c>
      <c r="G211" s="579">
        <v>1952591851</v>
      </c>
    </row>
    <row r="212" spans="2:7" x14ac:dyDescent="0.25">
      <c r="B212" s="1264" t="s">
        <v>1603</v>
      </c>
      <c r="C212" t="s">
        <v>1604</v>
      </c>
      <c r="E212" s="610" t="s">
        <v>369</v>
      </c>
      <c r="G212" s="579">
        <v>1952591851</v>
      </c>
    </row>
    <row r="213" spans="2:7" x14ac:dyDescent="0.25">
      <c r="B213" s="1264" t="s">
        <v>1605</v>
      </c>
      <c r="C213" t="s">
        <v>1606</v>
      </c>
      <c r="E213" s="610" t="s">
        <v>369</v>
      </c>
      <c r="G213" s="579">
        <v>1952591851</v>
      </c>
    </row>
    <row r="214" spans="2:7" x14ac:dyDescent="0.25">
      <c r="B214" s="1264" t="s">
        <v>1607</v>
      </c>
      <c r="C214" t="s">
        <v>1608</v>
      </c>
      <c r="E214" s="610" t="s">
        <v>369</v>
      </c>
      <c r="G214" s="579">
        <v>1952591851</v>
      </c>
    </row>
    <row r="215" spans="2:7" x14ac:dyDescent="0.25">
      <c r="B215" s="1264" t="s">
        <v>1609</v>
      </c>
      <c r="C215" t="s">
        <v>1610</v>
      </c>
      <c r="E215" s="610" t="s">
        <v>369</v>
      </c>
      <c r="G215" s="579">
        <v>1952591851</v>
      </c>
    </row>
    <row r="216" spans="2:7" x14ac:dyDescent="0.25">
      <c r="B216" s="1264" t="s">
        <v>1611</v>
      </c>
      <c r="C216" t="s">
        <v>1612</v>
      </c>
      <c r="E216" s="610" t="s">
        <v>369</v>
      </c>
      <c r="G216" s="579">
        <v>1952591851</v>
      </c>
    </row>
    <row r="217" spans="2:7" x14ac:dyDescent="0.25">
      <c r="B217" s="1264" t="s">
        <v>1613</v>
      </c>
      <c r="C217" t="s">
        <v>1614</v>
      </c>
      <c r="E217" s="610" t="s">
        <v>369</v>
      </c>
      <c r="G217" s="579">
        <v>1952591851</v>
      </c>
    </row>
    <row r="218" spans="2:7" x14ac:dyDescent="0.25">
      <c r="B218" s="1264" t="s">
        <v>1615</v>
      </c>
      <c r="C218" t="s">
        <v>1616</v>
      </c>
      <c r="E218" s="610" t="s">
        <v>369</v>
      </c>
      <c r="G218" s="579">
        <v>1952591851</v>
      </c>
    </row>
  </sheetData>
  <printOptions gridLines="1"/>
  <pageMargins left="0.7" right="0.7" top="0.75" bottom="0.75" header="0.3" footer="0.3"/>
  <pageSetup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F9851-5763-4179-A66C-D56B7BCB81D9}">
  <sheetPr>
    <tabColor rgb="FF00B050"/>
  </sheetPr>
  <dimension ref="A1:J32"/>
  <sheetViews>
    <sheetView workbookViewId="0">
      <selection activeCell="E25" sqref="E25"/>
    </sheetView>
  </sheetViews>
  <sheetFormatPr defaultRowHeight="12.5" x14ac:dyDescent="0.25"/>
  <cols>
    <col min="1" max="1" width="67" bestFit="1" customWidth="1"/>
    <col min="2" max="2" width="10.1796875" customWidth="1"/>
    <col min="3" max="3" width="14.1796875" customWidth="1"/>
    <col min="5" max="5" width="4.54296875" customWidth="1"/>
    <col min="8" max="8" width="18" customWidth="1"/>
    <col min="10" max="10" width="18.453125" customWidth="1"/>
  </cols>
  <sheetData>
    <row r="1" spans="1:10" x14ac:dyDescent="0.25">
      <c r="C1" s="741"/>
    </row>
    <row r="2" spans="1:10" ht="13" x14ac:dyDescent="0.3">
      <c r="A2" s="564" t="s">
        <v>560</v>
      </c>
      <c r="C2" s="741"/>
      <c r="H2" s="564" t="s">
        <v>1280</v>
      </c>
    </row>
    <row r="3" spans="1:10" ht="13" x14ac:dyDescent="0.3">
      <c r="A3" s="564"/>
      <c r="C3" s="741"/>
    </row>
    <row r="4" spans="1:10" ht="15.5" x14ac:dyDescent="0.35">
      <c r="C4" s="1153" t="s">
        <v>1097</v>
      </c>
      <c r="D4" s="1154"/>
      <c r="E4" s="1154"/>
      <c r="F4" s="1154"/>
      <c r="G4" s="1154"/>
      <c r="H4" s="1155" t="s">
        <v>962</v>
      </c>
      <c r="J4" s="1249" t="s">
        <v>1017</v>
      </c>
    </row>
    <row r="5" spans="1:10" ht="13" x14ac:dyDescent="0.3">
      <c r="A5" s="564"/>
      <c r="C5" s="741"/>
    </row>
    <row r="6" spans="1:10" ht="13" x14ac:dyDescent="0.3">
      <c r="A6" s="534" t="s">
        <v>1004</v>
      </c>
      <c r="B6" s="1156"/>
      <c r="C6" s="839">
        <f>184440740+6074301+2065524-1786843</f>
        <v>190793722</v>
      </c>
      <c r="E6" s="555"/>
      <c r="H6" s="586">
        <v>177748888</v>
      </c>
      <c r="J6" s="609">
        <f>+C6-H6</f>
        <v>13044834</v>
      </c>
    </row>
    <row r="7" spans="1:10" ht="13" x14ac:dyDescent="0.3">
      <c r="A7" s="591" t="s">
        <v>1144</v>
      </c>
      <c r="B7" s="935" t="s">
        <v>1145</v>
      </c>
      <c r="C7" s="782">
        <v>1786843</v>
      </c>
      <c r="E7" s="537"/>
      <c r="H7" s="586">
        <v>1938613</v>
      </c>
      <c r="J7" s="537">
        <f>+C7-H7</f>
        <v>-151770</v>
      </c>
    </row>
    <row r="8" spans="1:10" ht="13" x14ac:dyDescent="0.3">
      <c r="A8" s="591" t="s">
        <v>1165</v>
      </c>
      <c r="C8" s="609">
        <v>-37914</v>
      </c>
      <c r="H8" s="586">
        <v>-37291</v>
      </c>
    </row>
    <row r="9" spans="1:10" x14ac:dyDescent="0.25">
      <c r="A9" s="591"/>
      <c r="H9" s="555"/>
    </row>
    <row r="10" spans="1:10" ht="13" x14ac:dyDescent="0.3">
      <c r="A10" s="620" t="s">
        <v>652</v>
      </c>
      <c r="C10" s="836"/>
      <c r="H10" s="555"/>
    </row>
    <row r="11" spans="1:10" x14ac:dyDescent="0.25">
      <c r="A11" s="536" t="s">
        <v>656</v>
      </c>
      <c r="C11" s="741">
        <f>3996+513839+250549</f>
        <v>768384</v>
      </c>
      <c r="H11" s="555">
        <v>2262247</v>
      </c>
      <c r="J11" s="537">
        <f t="shared" ref="J11:J20" si="0">+C11-H11</f>
        <v>-1493863</v>
      </c>
    </row>
    <row r="12" spans="1:10" x14ac:dyDescent="0.25">
      <c r="A12" s="536" t="s">
        <v>655</v>
      </c>
      <c r="C12" s="741">
        <f>3996+1564922+565979</f>
        <v>2134897</v>
      </c>
      <c r="H12" s="555">
        <v>778433</v>
      </c>
      <c r="J12" s="537">
        <f t="shared" si="0"/>
        <v>1356464</v>
      </c>
    </row>
    <row r="13" spans="1:10" x14ac:dyDescent="0.25">
      <c r="A13" s="591" t="s">
        <v>653</v>
      </c>
      <c r="C13" s="741">
        <f>5691888+11085+20000-966088</f>
        <v>4756885</v>
      </c>
      <c r="H13" s="555">
        <v>4221491</v>
      </c>
      <c r="J13" s="537">
        <f t="shared" si="0"/>
        <v>535394</v>
      </c>
    </row>
    <row r="14" spans="1:10" x14ac:dyDescent="0.25">
      <c r="A14" s="591" t="s">
        <v>657</v>
      </c>
      <c r="C14" s="741">
        <f>2711494+1020</f>
        <v>2712514</v>
      </c>
      <c r="H14" s="555">
        <v>2178481</v>
      </c>
      <c r="J14" s="537">
        <f t="shared" si="0"/>
        <v>534033</v>
      </c>
    </row>
    <row r="15" spans="1:10" x14ac:dyDescent="0.25">
      <c r="A15" s="536" t="s">
        <v>658</v>
      </c>
      <c r="C15" s="741">
        <f>632654+0</f>
        <v>632654</v>
      </c>
      <c r="H15" s="555">
        <v>547960</v>
      </c>
      <c r="J15" s="537">
        <f t="shared" si="0"/>
        <v>84694</v>
      </c>
    </row>
    <row r="16" spans="1:10" x14ac:dyDescent="0.25">
      <c r="A16" s="627" t="s">
        <v>654</v>
      </c>
      <c r="B16" s="702"/>
      <c r="C16" s="741">
        <v>291940</v>
      </c>
      <c r="H16" s="555">
        <v>210546</v>
      </c>
      <c r="J16" s="537">
        <f t="shared" si="0"/>
        <v>81394</v>
      </c>
    </row>
    <row r="17" spans="1:10" x14ac:dyDescent="0.25">
      <c r="A17" s="627" t="s">
        <v>1005</v>
      </c>
      <c r="B17" s="702"/>
      <c r="C17" s="741">
        <f>32511742+365623+0</f>
        <v>32877365</v>
      </c>
      <c r="E17" s="610"/>
      <c r="H17" s="555">
        <v>14931113</v>
      </c>
      <c r="J17" s="537">
        <f t="shared" si="0"/>
        <v>17946252</v>
      </c>
    </row>
    <row r="18" spans="1:10" ht="13" x14ac:dyDescent="0.3">
      <c r="A18" s="591" t="s">
        <v>1021</v>
      </c>
      <c r="B18" s="702"/>
      <c r="C18" s="741">
        <v>966088</v>
      </c>
      <c r="E18" s="839"/>
      <c r="H18" s="555">
        <v>32257</v>
      </c>
      <c r="J18" s="537">
        <f t="shared" si="0"/>
        <v>933831</v>
      </c>
    </row>
    <row r="19" spans="1:10" ht="13" x14ac:dyDescent="0.3">
      <c r="A19" s="627" t="s">
        <v>838</v>
      </c>
      <c r="C19" s="928">
        <v>-32577490</v>
      </c>
      <c r="E19" s="782"/>
      <c r="H19" s="555">
        <v>-16059276</v>
      </c>
      <c r="J19" s="537">
        <f t="shared" si="0"/>
        <v>-16518214</v>
      </c>
    </row>
    <row r="20" spans="1:10" ht="13" x14ac:dyDescent="0.3">
      <c r="A20" s="534" t="s">
        <v>659</v>
      </c>
      <c r="B20" s="534"/>
      <c r="C20" s="840">
        <f>+C6+C7-C11-C12-C13-C14-C15-C16-C19-C17-C18+C8</f>
        <v>179979414</v>
      </c>
      <c r="D20" s="611"/>
      <c r="E20" s="609"/>
      <c r="H20" s="1179">
        <f>170648763+H8</f>
        <v>170611472</v>
      </c>
      <c r="I20" s="611" t="s">
        <v>1168</v>
      </c>
      <c r="J20" s="609">
        <f t="shared" si="0"/>
        <v>9367942</v>
      </c>
    </row>
    <row r="21" spans="1:10" x14ac:dyDescent="0.25">
      <c r="C21" s="741"/>
      <c r="H21" s="555"/>
    </row>
    <row r="22" spans="1:10" x14ac:dyDescent="0.25">
      <c r="C22" s="741"/>
      <c r="H22" s="555"/>
    </row>
    <row r="23" spans="1:10" ht="13" x14ac:dyDescent="0.3">
      <c r="A23" s="534" t="s">
        <v>897</v>
      </c>
      <c r="C23" s="839">
        <f>+'P7 Form A-5 - OH '!J52</f>
        <v>179979415.61000007</v>
      </c>
      <c r="E23" s="555"/>
      <c r="H23" s="555">
        <v>170616505.6955601</v>
      </c>
      <c r="J23" s="537">
        <f>+C23-H23</f>
        <v>9362909.9144399762</v>
      </c>
    </row>
    <row r="24" spans="1:10" ht="13" x14ac:dyDescent="0.3">
      <c r="A24" s="615" t="s">
        <v>663</v>
      </c>
      <c r="B24" s="615"/>
      <c r="C24" s="841">
        <f>+C20-C23</f>
        <v>-1.6100000739097595</v>
      </c>
      <c r="E24" s="537"/>
      <c r="H24" s="586">
        <f>+H20-H23</f>
        <v>-5033.6955600976944</v>
      </c>
    </row>
    <row r="25" spans="1:10" x14ac:dyDescent="0.25">
      <c r="C25" s="741"/>
      <c r="H25" s="555"/>
    </row>
    <row r="26" spans="1:10" ht="13" x14ac:dyDescent="0.3">
      <c r="A26" s="842" t="s">
        <v>839</v>
      </c>
      <c r="B26" s="843"/>
      <c r="C26" s="844">
        <f>+'Attachment A'!$C$46</f>
        <v>179979416.00000021</v>
      </c>
      <c r="H26" s="555">
        <v>179722679.60368806</v>
      </c>
    </row>
    <row r="27" spans="1:10" x14ac:dyDescent="0.25">
      <c r="C27" s="845"/>
      <c r="H27" s="555"/>
    </row>
    <row r="28" spans="1:10" x14ac:dyDescent="0.25">
      <c r="A28" t="s">
        <v>840</v>
      </c>
      <c r="C28" s="741">
        <f>+C23-C26</f>
        <v>-0.39000013470649719</v>
      </c>
      <c r="H28" s="555">
        <v>-2753358.5236879587</v>
      </c>
    </row>
    <row r="29" spans="1:10" x14ac:dyDescent="0.25">
      <c r="C29" s="741"/>
      <c r="H29" s="555"/>
    </row>
    <row r="30" spans="1:10" ht="13.5" thickBot="1" x14ac:dyDescent="0.35">
      <c r="A30" s="534" t="s">
        <v>841</v>
      </c>
      <c r="C30" s="791">
        <f>+C24+C28</f>
        <v>-2.0000002086162567</v>
      </c>
      <c r="H30" s="555">
        <v>-9073916.6036880612</v>
      </c>
    </row>
    <row r="31" spans="1:10" ht="13" thickTop="1" x14ac:dyDescent="0.25">
      <c r="C31" s="741"/>
    </row>
    <row r="32" spans="1:10" x14ac:dyDescent="0.25">
      <c r="C32" s="741"/>
    </row>
  </sheetData>
  <pageMargins left="0.45" right="0.2" top="0.25" bottom="0.5" header="0.3" footer="0.3"/>
  <pageSetup orientation="landscape" r:id="rId1"/>
  <headerFooter>
    <oddFooter>&amp;L&amp;9&amp;Z&amp;F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BEA80-16A6-4633-A478-8417C139BA68}">
  <sheetPr>
    <tabColor theme="7" tint="0.59999389629810485"/>
    <pageSetUpPr fitToPage="1"/>
  </sheetPr>
  <dimension ref="C2:M119"/>
  <sheetViews>
    <sheetView workbookViewId="0">
      <selection activeCell="G7" sqref="G7"/>
    </sheetView>
  </sheetViews>
  <sheetFormatPr defaultRowHeight="12.5" x14ac:dyDescent="0.25"/>
  <cols>
    <col min="3" max="3" width="29.81640625" customWidth="1"/>
    <col min="4" max="4" width="23.81640625" customWidth="1"/>
    <col min="5" max="5" width="16.1796875" customWidth="1"/>
    <col min="6" max="6" width="16.54296875" customWidth="1"/>
    <col min="7" max="7" width="14.7265625" customWidth="1"/>
    <col min="8" max="8" width="13.26953125" customWidth="1"/>
    <col min="9" max="9" width="19" customWidth="1"/>
    <col min="10" max="10" width="12.81640625" customWidth="1"/>
    <col min="11" max="12" width="10.26953125" bestFit="1" customWidth="1"/>
    <col min="13" max="13" width="11.1796875" customWidth="1"/>
  </cols>
  <sheetData>
    <row r="2" spans="3:13" ht="15.5" x14ac:dyDescent="0.35">
      <c r="C2" s="1151" t="s">
        <v>1141</v>
      </c>
      <c r="I2" s="1152" t="s">
        <v>1142</v>
      </c>
    </row>
    <row r="3" spans="3:13" x14ac:dyDescent="0.25">
      <c r="C3" s="934" t="s">
        <v>909</v>
      </c>
      <c r="I3" s="934" t="s">
        <v>909</v>
      </c>
    </row>
    <row r="4" spans="3:13" ht="14.5" x14ac:dyDescent="0.35">
      <c r="C4" s="773" t="s">
        <v>93</v>
      </c>
      <c r="D4" s="774" t="s">
        <v>423</v>
      </c>
      <c r="E4" s="774" t="s">
        <v>424</v>
      </c>
      <c r="I4" s="773" t="s">
        <v>93</v>
      </c>
      <c r="J4" s="774" t="s">
        <v>423</v>
      </c>
      <c r="K4" s="774" t="s">
        <v>424</v>
      </c>
    </row>
    <row r="5" spans="3:13" ht="14.5" x14ac:dyDescent="0.35">
      <c r="C5" s="529" t="s">
        <v>42</v>
      </c>
      <c r="D5" s="757">
        <v>357105</v>
      </c>
      <c r="E5" s="1149">
        <f>+D5/D8</f>
        <v>0.54258248019472533</v>
      </c>
      <c r="I5" s="529" t="s">
        <v>898</v>
      </c>
      <c r="J5" s="757">
        <v>21207</v>
      </c>
      <c r="K5" s="716">
        <f>+J5/J7</f>
        <v>0.14127639730864033</v>
      </c>
    </row>
    <row r="6" spans="3:13" ht="14.5" x14ac:dyDescent="0.35">
      <c r="C6" s="529" t="s">
        <v>24</v>
      </c>
      <c r="D6" s="757">
        <v>46669</v>
      </c>
      <c r="E6" s="1149">
        <f>+D6/D8</f>
        <v>7.090850525253814E-2</v>
      </c>
      <c r="I6" s="529" t="s">
        <v>899</v>
      </c>
      <c r="J6" s="757">
        <v>128903</v>
      </c>
      <c r="K6" s="716">
        <f>+J6/J7</f>
        <v>0.85872360269135972</v>
      </c>
    </row>
    <row r="7" spans="3:13" ht="15" thickBot="1" x14ac:dyDescent="0.4">
      <c r="C7" s="529" t="s">
        <v>43</v>
      </c>
      <c r="D7" s="757">
        <v>254384</v>
      </c>
      <c r="E7" s="1149">
        <f>+D7/D8</f>
        <v>0.38650901455273656</v>
      </c>
      <c r="I7" s="529" t="s">
        <v>547</v>
      </c>
      <c r="J7" s="758">
        <f>+J5+J6</f>
        <v>150110</v>
      </c>
      <c r="K7" s="717">
        <f>SUM(K5:K6)</f>
        <v>1</v>
      </c>
    </row>
    <row r="8" spans="3:13" ht="15.5" thickTop="1" thickBot="1" x14ac:dyDescent="0.4">
      <c r="C8" s="529" t="s">
        <v>547</v>
      </c>
      <c r="D8" s="758">
        <f>SUM(D5:D7)</f>
        <v>658158</v>
      </c>
      <c r="E8" s="717">
        <f>SUM(E5:E7)</f>
        <v>1</v>
      </c>
    </row>
    <row r="9" spans="3:13" ht="13" thickTop="1" x14ac:dyDescent="0.25"/>
    <row r="12" spans="3:13" ht="13" x14ac:dyDescent="0.3">
      <c r="I12" s="578"/>
    </row>
    <row r="13" spans="3:13" ht="13" x14ac:dyDescent="0.3">
      <c r="C13" s="534" t="s">
        <v>1129</v>
      </c>
      <c r="I13" s="935" t="s">
        <v>908</v>
      </c>
    </row>
    <row r="14" spans="3:13" ht="13" x14ac:dyDescent="0.3">
      <c r="C14" s="934" t="s">
        <v>910</v>
      </c>
      <c r="I14" s="734" t="s">
        <v>907</v>
      </c>
      <c r="J14" s="735" t="s">
        <v>1097</v>
      </c>
      <c r="K14" s="735" t="s">
        <v>962</v>
      </c>
      <c r="L14" s="735" t="s">
        <v>863</v>
      </c>
      <c r="M14" s="735" t="s">
        <v>695</v>
      </c>
    </row>
    <row r="15" spans="3:13" ht="13" x14ac:dyDescent="0.3">
      <c r="C15" s="775" t="s">
        <v>716</v>
      </c>
      <c r="D15" s="929">
        <v>1043668.18</v>
      </c>
      <c r="M15" s="555"/>
    </row>
    <row r="16" spans="3:13" ht="13" x14ac:dyDescent="0.3">
      <c r="C16" s="551" t="s">
        <v>528</v>
      </c>
      <c r="D16" s="930">
        <f>ROUND(+D$15*E5,0)</f>
        <v>566276</v>
      </c>
      <c r="I16" s="534" t="s">
        <v>668</v>
      </c>
      <c r="J16" s="586">
        <v>734449</v>
      </c>
      <c r="K16" s="586">
        <v>698654</v>
      </c>
      <c r="L16" s="586">
        <f>272141+194699</f>
        <v>466840</v>
      </c>
      <c r="M16" s="555">
        <f>359427+200980</f>
        <v>560407</v>
      </c>
    </row>
    <row r="17" spans="3:13" ht="13" x14ac:dyDescent="0.3">
      <c r="C17" s="551" t="s">
        <v>630</v>
      </c>
      <c r="D17" s="930">
        <f>ROUND(+D$15*E6,0)</f>
        <v>74005</v>
      </c>
      <c r="I17" s="534" t="s">
        <v>528</v>
      </c>
      <c r="J17" s="586">
        <v>2512655</v>
      </c>
      <c r="K17" s="586">
        <f>2290269+31139</f>
        <v>2321408</v>
      </c>
      <c r="L17" s="586">
        <v>3569244</v>
      </c>
      <c r="M17" s="555">
        <v>4244880</v>
      </c>
    </row>
    <row r="18" spans="3:13" ht="13" x14ac:dyDescent="0.3">
      <c r="C18" s="551" t="s">
        <v>668</v>
      </c>
      <c r="D18" s="930">
        <f>ROUND(+D$15*E7,0)</f>
        <v>403387</v>
      </c>
      <c r="I18" s="534" t="s">
        <v>630</v>
      </c>
      <c r="J18" s="586">
        <v>360290</v>
      </c>
      <c r="K18" s="586">
        <v>167447</v>
      </c>
      <c r="L18" s="586">
        <f>198+96991</f>
        <v>97189</v>
      </c>
      <c r="M18" s="555">
        <v>-4735</v>
      </c>
    </row>
    <row r="19" spans="3:13" ht="13" x14ac:dyDescent="0.3">
      <c r="C19" s="931" t="s">
        <v>547</v>
      </c>
      <c r="D19" s="932">
        <f>SUM(D16:D18)</f>
        <v>1043668</v>
      </c>
      <c r="I19" s="534" t="s">
        <v>710</v>
      </c>
      <c r="J19" s="586">
        <v>11930</v>
      </c>
      <c r="K19" s="586">
        <v>1098</v>
      </c>
      <c r="L19" s="586">
        <v>1314</v>
      </c>
      <c r="M19" s="555">
        <v>1617</v>
      </c>
    </row>
    <row r="20" spans="3:13" ht="13" x14ac:dyDescent="0.3">
      <c r="I20" s="534"/>
      <c r="J20" s="555"/>
      <c r="K20" s="586"/>
      <c r="L20" s="586"/>
      <c r="M20" s="555"/>
    </row>
    <row r="21" spans="3:13" ht="13" x14ac:dyDescent="0.3">
      <c r="I21" s="534" t="s">
        <v>901</v>
      </c>
      <c r="J21" s="786">
        <f>SUM(J22:J25)</f>
        <v>1056614</v>
      </c>
      <c r="K21" s="786">
        <f>SUM(K22:K25)</f>
        <v>2088659</v>
      </c>
      <c r="L21" s="786">
        <f>SUM(L22:L25)</f>
        <v>3174816</v>
      </c>
      <c r="M21" s="786">
        <f>SUM(M22:M25)</f>
        <v>3746769</v>
      </c>
    </row>
    <row r="22" spans="3:13" x14ac:dyDescent="0.25">
      <c r="I22" s="887" t="s">
        <v>900</v>
      </c>
      <c r="J22" s="555">
        <f>28828730-28125511</f>
        <v>703219</v>
      </c>
      <c r="K22" s="665">
        <f>1665412+13118</f>
        <v>1678530</v>
      </c>
      <c r="L22" s="665">
        <v>2411618</v>
      </c>
      <c r="M22" s="665">
        <v>3050038</v>
      </c>
    </row>
    <row r="23" spans="3:13" x14ac:dyDescent="0.25">
      <c r="I23" s="887" t="s">
        <v>906</v>
      </c>
      <c r="J23" s="555">
        <v>155</v>
      </c>
      <c r="K23" s="665">
        <v>0</v>
      </c>
      <c r="L23" s="665">
        <v>0</v>
      </c>
      <c r="M23" s="665">
        <v>6560</v>
      </c>
    </row>
    <row r="24" spans="3:13" ht="13" x14ac:dyDescent="0.3">
      <c r="C24" s="534" t="s">
        <v>1126</v>
      </c>
      <c r="D24" s="534"/>
      <c r="G24" s="702"/>
      <c r="I24" s="887" t="s">
        <v>661</v>
      </c>
      <c r="J24" s="555">
        <f>332440+850</f>
        <v>333290</v>
      </c>
      <c r="K24" s="665">
        <f>376286+15130</f>
        <v>391416</v>
      </c>
      <c r="L24" s="665">
        <v>749078</v>
      </c>
      <c r="M24" s="665">
        <v>680696</v>
      </c>
    </row>
    <row r="25" spans="3:13" x14ac:dyDescent="0.25">
      <c r="G25" s="702"/>
      <c r="I25" s="887" t="s">
        <v>903</v>
      </c>
      <c r="J25" s="555">
        <v>19950</v>
      </c>
      <c r="K25" s="665">
        <f>17513+1200</f>
        <v>18713</v>
      </c>
      <c r="L25" s="665">
        <v>14120</v>
      </c>
      <c r="M25" s="665">
        <v>9475</v>
      </c>
    </row>
    <row r="26" spans="3:13" ht="13" x14ac:dyDescent="0.3">
      <c r="C26" s="942" t="s">
        <v>913</v>
      </c>
      <c r="D26" s="942" t="s">
        <v>912</v>
      </c>
      <c r="E26" s="1027" t="s">
        <v>823</v>
      </c>
      <c r="F26" s="1027" t="s">
        <v>848</v>
      </c>
      <c r="G26" s="551"/>
      <c r="J26" s="555"/>
      <c r="M26" s="555"/>
    </row>
    <row r="27" spans="3:13" x14ac:dyDescent="0.25">
      <c r="C27" s="530" t="s">
        <v>513</v>
      </c>
      <c r="D27" s="537">
        <v>8589636.1410780679</v>
      </c>
      <c r="E27" s="537">
        <v>2137423.5246904278</v>
      </c>
      <c r="F27" s="537">
        <v>69896.539814000003</v>
      </c>
      <c r="G27" s="708"/>
      <c r="I27" s="591" t="s">
        <v>905</v>
      </c>
      <c r="J27" s="555"/>
      <c r="K27" s="555">
        <v>0</v>
      </c>
      <c r="L27" s="555">
        <v>0</v>
      </c>
      <c r="M27" s="555">
        <v>-18000</v>
      </c>
    </row>
    <row r="28" spans="3:13" ht="13" x14ac:dyDescent="0.3">
      <c r="C28" s="530" t="s">
        <v>514</v>
      </c>
      <c r="D28" s="537">
        <v>1355175.6942243865</v>
      </c>
      <c r="E28" s="537">
        <v>337218.52257182356</v>
      </c>
      <c r="F28" s="537">
        <v>19918</v>
      </c>
      <c r="G28" s="708"/>
      <c r="I28" s="534" t="s">
        <v>902</v>
      </c>
      <c r="J28" s="555">
        <v>59860</v>
      </c>
      <c r="K28" s="586">
        <f>205864+7000</f>
        <v>212864</v>
      </c>
      <c r="L28" s="586">
        <v>162989</v>
      </c>
      <c r="M28" s="586">
        <v>100966</v>
      </c>
    </row>
    <row r="29" spans="3:13" x14ac:dyDescent="0.25">
      <c r="C29" s="530" t="s">
        <v>515</v>
      </c>
      <c r="D29" s="537">
        <v>14632712.606656699</v>
      </c>
      <c r="E29" s="537">
        <v>3641167.5234914888</v>
      </c>
      <c r="F29" s="537">
        <v>297656.12</v>
      </c>
      <c r="G29" s="708"/>
      <c r="J29" s="555"/>
    </row>
    <row r="30" spans="3:13" ht="13" x14ac:dyDescent="0.3">
      <c r="C30" s="530" t="s">
        <v>516</v>
      </c>
      <c r="D30" s="537">
        <v>12097011.910783846</v>
      </c>
      <c r="E30" s="537">
        <v>3010190.1188709163</v>
      </c>
      <c r="F30" s="537">
        <v>433009.40154300007</v>
      </c>
      <c r="G30" s="708"/>
      <c r="I30" s="863" t="s">
        <v>904</v>
      </c>
      <c r="J30" s="609">
        <f>+J16+J17+J18+J19+J21+J28+J27</f>
        <v>4735798</v>
      </c>
      <c r="K30" s="609">
        <f>+K16+K17+K18+K19+K21+K28+K27</f>
        <v>5490130</v>
      </c>
      <c r="L30" s="609">
        <f>+L16+L17+L18+L19+L21+L28+L27</f>
        <v>7472392</v>
      </c>
      <c r="M30" s="609">
        <f>+M16+M17+M18+M19+M21+M28+M27</f>
        <v>8631904</v>
      </c>
    </row>
    <row r="31" spans="3:13" ht="13" x14ac:dyDescent="0.3">
      <c r="C31" s="1135" t="s">
        <v>911</v>
      </c>
      <c r="D31" s="1136">
        <v>4582198.6983851194</v>
      </c>
      <c r="E31" s="1136">
        <v>1140222.8373674718</v>
      </c>
      <c r="F31" s="1136">
        <v>153307.31648100005</v>
      </c>
      <c r="G31" s="708"/>
      <c r="I31" s="534" t="s">
        <v>1143</v>
      </c>
      <c r="J31" s="586"/>
    </row>
    <row r="32" spans="3:13" x14ac:dyDescent="0.25">
      <c r="C32" s="530" t="s">
        <v>517</v>
      </c>
      <c r="D32" s="537">
        <v>2489756.1884837979</v>
      </c>
      <c r="E32" s="537">
        <v>619544.68857640505</v>
      </c>
      <c r="F32" s="537">
        <v>28668.749999999996</v>
      </c>
      <c r="G32" s="708"/>
      <c r="J32" s="555"/>
    </row>
    <row r="33" spans="3:13" x14ac:dyDescent="0.25">
      <c r="C33" s="530" t="s">
        <v>518</v>
      </c>
      <c r="D33" s="537">
        <v>1023041.1463775205</v>
      </c>
      <c r="E33" s="537">
        <v>254570.994286509</v>
      </c>
      <c r="F33" s="537">
        <v>21513.160000000003</v>
      </c>
      <c r="G33" s="708"/>
    </row>
    <row r="34" spans="3:13" x14ac:dyDescent="0.25">
      <c r="C34" s="530" t="s">
        <v>519</v>
      </c>
      <c r="D34" s="537">
        <v>1248809.2091559647</v>
      </c>
      <c r="E34" s="537">
        <v>310750.55306882865</v>
      </c>
      <c r="F34" s="537">
        <v>45976.324000000001</v>
      </c>
      <c r="G34" s="708"/>
    </row>
    <row r="35" spans="3:13" ht="13" x14ac:dyDescent="0.3">
      <c r="C35" s="530" t="s">
        <v>520</v>
      </c>
      <c r="D35" s="537">
        <v>5231435.3279283997</v>
      </c>
      <c r="E35" s="537">
        <v>1301777.2527448812</v>
      </c>
      <c r="F35" s="537">
        <v>135631.51999999996</v>
      </c>
      <c r="G35" s="708"/>
      <c r="I35" s="534" t="s">
        <v>1010</v>
      </c>
    </row>
    <row r="36" spans="3:13" ht="13" x14ac:dyDescent="0.3">
      <c r="C36" s="530" t="s">
        <v>521</v>
      </c>
      <c r="D36" s="537">
        <v>11468217.860266894</v>
      </c>
      <c r="E36" s="537">
        <v>2853722.5836125896</v>
      </c>
      <c r="F36" s="537">
        <v>305040.58000000013</v>
      </c>
      <c r="G36" s="708"/>
      <c r="I36" s="536" t="s">
        <v>1128</v>
      </c>
      <c r="J36" s="943">
        <v>-37914</v>
      </c>
    </row>
    <row r="37" spans="3:13" x14ac:dyDescent="0.25">
      <c r="C37" s="530" t="s">
        <v>522</v>
      </c>
      <c r="D37" s="537">
        <v>6838746.0301593905</v>
      </c>
      <c r="E37" s="537">
        <v>1701736.4186524637</v>
      </c>
      <c r="F37" s="537">
        <v>114796.75089600004</v>
      </c>
      <c r="G37" s="708"/>
    </row>
    <row r="38" spans="3:13" x14ac:dyDescent="0.25">
      <c r="C38" s="530" t="s">
        <v>523</v>
      </c>
      <c r="D38" s="537">
        <v>309859.91386534728</v>
      </c>
      <c r="E38" s="537">
        <v>77104.764203809318</v>
      </c>
      <c r="F38" s="537">
        <v>13028.180000000004</v>
      </c>
      <c r="G38" s="708"/>
    </row>
    <row r="39" spans="3:13" x14ac:dyDescent="0.25">
      <c r="C39" s="530" t="s">
        <v>524</v>
      </c>
      <c r="D39" s="537">
        <v>135319.86669994783</v>
      </c>
      <c r="E39" s="537">
        <v>33672.656407322502</v>
      </c>
      <c r="F39" s="537">
        <v>4119.7489109999988</v>
      </c>
      <c r="G39" s="708"/>
    </row>
    <row r="40" spans="3:13" x14ac:dyDescent="0.25">
      <c r="C40" s="648" t="s">
        <v>1127</v>
      </c>
      <c r="D40" s="555">
        <v>45740.275068376235</v>
      </c>
      <c r="E40" s="555">
        <v>11381.895385464835</v>
      </c>
      <c r="F40" s="555">
        <v>1868.0699999999995</v>
      </c>
      <c r="G40" s="708"/>
    </row>
    <row r="41" spans="3:13" ht="13" x14ac:dyDescent="0.3">
      <c r="C41" s="530" t="s">
        <v>525</v>
      </c>
      <c r="D41" s="537">
        <v>9006499.1308662947</v>
      </c>
      <c r="E41" s="537">
        <v>2241154.6660696366</v>
      </c>
      <c r="F41" s="537">
        <v>236872.07235300003</v>
      </c>
      <c r="G41" s="943"/>
    </row>
    <row r="42" spans="3:13" ht="13" x14ac:dyDescent="0.3">
      <c r="C42" s="864" t="s">
        <v>425</v>
      </c>
      <c r="D42" s="865">
        <f>SUM(D27:D41)</f>
        <v>79054160.00000003</v>
      </c>
      <c r="E42" s="865">
        <f>SUM(E27:E41)</f>
        <v>19671639.000000041</v>
      </c>
      <c r="F42" s="865">
        <f>SUM(F27:F41)</f>
        <v>1881302.5339980004</v>
      </c>
      <c r="G42" s="702"/>
    </row>
    <row r="43" spans="3:13" x14ac:dyDescent="0.25">
      <c r="G43" s="702"/>
    </row>
    <row r="44" spans="3:13" x14ac:dyDescent="0.25">
      <c r="G44" s="702"/>
    </row>
    <row r="45" spans="3:13" x14ac:dyDescent="0.25">
      <c r="G45" s="702"/>
    </row>
    <row r="46" spans="3:13" x14ac:dyDescent="0.25">
      <c r="G46" s="702"/>
    </row>
    <row r="47" spans="3:13" x14ac:dyDescent="0.25">
      <c r="C47" s="1150"/>
      <c r="D47" s="1150"/>
      <c r="E47" s="1150"/>
      <c r="F47" s="1150"/>
      <c r="G47" s="1150"/>
      <c r="H47" s="1150"/>
      <c r="I47" s="1150"/>
      <c r="J47" s="1150"/>
      <c r="K47" s="1150"/>
      <c r="L47" s="1150"/>
      <c r="M47" s="1150"/>
    </row>
    <row r="48" spans="3:13" x14ac:dyDescent="0.25">
      <c r="G48" s="702"/>
    </row>
    <row r="49" spans="3:7" ht="13" x14ac:dyDescent="0.3">
      <c r="C49" s="534" t="s">
        <v>1006</v>
      </c>
      <c r="G49" s="702"/>
    </row>
    <row r="50" spans="3:7" x14ac:dyDescent="0.25">
      <c r="C50" s="934" t="s">
        <v>909</v>
      </c>
      <c r="G50" s="702"/>
    </row>
    <row r="51" spans="3:7" ht="14.5" x14ac:dyDescent="0.35">
      <c r="C51" s="773" t="s">
        <v>93</v>
      </c>
      <c r="D51" s="774" t="s">
        <v>423</v>
      </c>
      <c r="E51" s="774" t="s">
        <v>424</v>
      </c>
      <c r="F51" s="950" t="s">
        <v>914</v>
      </c>
      <c r="G51" s="702"/>
    </row>
    <row r="52" spans="3:7" ht="14.5" x14ac:dyDescent="0.35">
      <c r="C52" s="529" t="s">
        <v>42</v>
      </c>
      <c r="D52" s="757">
        <v>380063</v>
      </c>
      <c r="E52" s="716">
        <f>+D52/D55</f>
        <v>0.55587765113343679</v>
      </c>
      <c r="F52" s="555">
        <f>+F$31*E52</f>
        <v>85220.110987028733</v>
      </c>
    </row>
    <row r="53" spans="3:7" ht="14.5" x14ac:dyDescent="0.35">
      <c r="C53" s="529" t="s">
        <v>24</v>
      </c>
      <c r="D53" s="757">
        <v>53086</v>
      </c>
      <c r="E53" s="716">
        <f>+D53/D55</f>
        <v>7.7643235432203681E-2</v>
      </c>
      <c r="F53" s="555">
        <f>+F$31*E53</f>
        <v>11903.276067013647</v>
      </c>
    </row>
    <row r="54" spans="3:7" ht="14.5" x14ac:dyDescent="0.35">
      <c r="C54" s="529" t="s">
        <v>43</v>
      </c>
      <c r="D54" s="757">
        <v>250568</v>
      </c>
      <c r="E54" s="716">
        <f>+D54/D55</f>
        <v>0.36647911343435952</v>
      </c>
      <c r="F54" s="555">
        <f>+F$31*E54</f>
        <v>56183.929426957671</v>
      </c>
    </row>
    <row r="55" spans="3:7" ht="15" thickBot="1" x14ac:dyDescent="0.4">
      <c r="C55" s="529" t="s">
        <v>547</v>
      </c>
      <c r="D55" s="758">
        <f>SUM(D52:D54)</f>
        <v>683717</v>
      </c>
      <c r="E55" s="717">
        <f>SUM(E52:E54)</f>
        <v>1</v>
      </c>
      <c r="F55" s="790">
        <f>SUM(F52:F54)</f>
        <v>153307.31648100005</v>
      </c>
    </row>
    <row r="56" spans="3:7" ht="13" thickTop="1" x14ac:dyDescent="0.25"/>
    <row r="60" spans="3:7" ht="13" x14ac:dyDescent="0.3">
      <c r="C60" s="958" t="s">
        <v>922</v>
      </c>
      <c r="D60" s="959" t="s">
        <v>962</v>
      </c>
    </row>
    <row r="61" spans="3:7" ht="13" x14ac:dyDescent="0.3">
      <c r="C61" s="534" t="s">
        <v>923</v>
      </c>
      <c r="D61" s="839">
        <v>83264405.999999985</v>
      </c>
    </row>
    <row r="62" spans="3:7" ht="13" x14ac:dyDescent="0.3">
      <c r="C62" s="534" t="s">
        <v>924</v>
      </c>
      <c r="D62" s="956">
        <v>20063383.000000007</v>
      </c>
    </row>
    <row r="63" spans="3:7" ht="13" x14ac:dyDescent="0.3">
      <c r="C63" s="534" t="s">
        <v>925</v>
      </c>
      <c r="D63" s="782">
        <f>SUM(D61:D62)</f>
        <v>103327789</v>
      </c>
    </row>
    <row r="64" spans="3:7" ht="13" x14ac:dyDescent="0.3">
      <c r="C64" s="534" t="s">
        <v>926</v>
      </c>
      <c r="D64" s="956"/>
    </row>
    <row r="65" spans="3:4" ht="13.5" thickBot="1" x14ac:dyDescent="0.35">
      <c r="C65" s="534" t="s">
        <v>927</v>
      </c>
      <c r="D65" s="957">
        <f>+D63-D64</f>
        <v>103327789</v>
      </c>
    </row>
    <row r="66" spans="3:4" ht="13" thickTop="1" x14ac:dyDescent="0.25"/>
    <row r="69" spans="3:4" ht="13" x14ac:dyDescent="0.3">
      <c r="C69" s="704" t="s">
        <v>928</v>
      </c>
      <c r="D69" s="960"/>
    </row>
    <row r="70" spans="3:4" ht="13" x14ac:dyDescent="0.3">
      <c r="C70" s="561" t="s">
        <v>929</v>
      </c>
      <c r="D70" s="956"/>
    </row>
    <row r="71" spans="3:4" ht="13" x14ac:dyDescent="0.3">
      <c r="C71" s="534" t="s">
        <v>930</v>
      </c>
      <c r="D71" s="782">
        <f>+D69+D70</f>
        <v>0</v>
      </c>
    </row>
    <row r="72" spans="3:4" ht="13" x14ac:dyDescent="0.3">
      <c r="C72" s="534" t="s">
        <v>931</v>
      </c>
      <c r="D72" s="956"/>
    </row>
    <row r="73" spans="3:4" ht="13.5" thickBot="1" x14ac:dyDescent="0.35">
      <c r="C73" s="534" t="s">
        <v>818</v>
      </c>
      <c r="D73" s="791">
        <f>+D71+D72</f>
        <v>0</v>
      </c>
    </row>
    <row r="74" spans="3:4" ht="13" thickTop="1" x14ac:dyDescent="0.25"/>
    <row r="77" spans="3:4" ht="20" x14ac:dyDescent="0.4">
      <c r="C77" s="1020" t="s">
        <v>1007</v>
      </c>
    </row>
    <row r="78" spans="3:4" ht="15.5" x14ac:dyDescent="0.35">
      <c r="C78" s="606" t="s">
        <v>863</v>
      </c>
    </row>
    <row r="79" spans="3:4" ht="13" x14ac:dyDescent="0.3">
      <c r="C79" s="534" t="s">
        <v>856</v>
      </c>
    </row>
    <row r="81" spans="3:4" ht="13" x14ac:dyDescent="0.3">
      <c r="C81" s="950" t="s">
        <v>915</v>
      </c>
      <c r="D81" s="950" t="s">
        <v>820</v>
      </c>
    </row>
    <row r="82" spans="3:4" x14ac:dyDescent="0.25">
      <c r="C82" t="s">
        <v>821</v>
      </c>
      <c r="D82" s="555">
        <v>3567306.92</v>
      </c>
    </row>
    <row r="83" spans="3:4" x14ac:dyDescent="0.25">
      <c r="C83" t="s">
        <v>428</v>
      </c>
      <c r="D83" s="555">
        <v>13440586.990000006</v>
      </c>
    </row>
    <row r="84" spans="3:4" x14ac:dyDescent="0.25">
      <c r="C84" t="s">
        <v>452</v>
      </c>
      <c r="D84" s="555">
        <v>116567.86999999998</v>
      </c>
    </row>
    <row r="85" spans="3:4" x14ac:dyDescent="0.25">
      <c r="C85" t="s">
        <v>429</v>
      </c>
      <c r="D85" s="555">
        <v>1520662.8199999996</v>
      </c>
    </row>
    <row r="86" spans="3:4" x14ac:dyDescent="0.25">
      <c r="C86" t="s">
        <v>418</v>
      </c>
      <c r="D86" s="555">
        <v>11795139.030000001</v>
      </c>
    </row>
    <row r="87" spans="3:4" x14ac:dyDescent="0.25">
      <c r="C87" t="s">
        <v>822</v>
      </c>
      <c r="D87" s="555">
        <v>3164702.8899999997</v>
      </c>
    </row>
    <row r="88" spans="3:4" x14ac:dyDescent="0.25">
      <c r="C88" t="s">
        <v>916</v>
      </c>
      <c r="D88" s="555">
        <v>97189.27</v>
      </c>
    </row>
    <row r="89" spans="3:4" x14ac:dyDescent="0.25">
      <c r="C89" t="s">
        <v>430</v>
      </c>
      <c r="D89" s="555">
        <v>788969.98</v>
      </c>
    </row>
    <row r="90" spans="3:4" x14ac:dyDescent="0.25">
      <c r="C90" t="s">
        <v>453</v>
      </c>
      <c r="D90" s="555">
        <v>29950.109999999997</v>
      </c>
    </row>
    <row r="91" spans="3:4" x14ac:dyDescent="0.25">
      <c r="C91" t="s">
        <v>431</v>
      </c>
      <c r="D91" s="555">
        <v>223099.79</v>
      </c>
    </row>
    <row r="92" spans="3:4" x14ac:dyDescent="0.25">
      <c r="C92" t="s">
        <v>419</v>
      </c>
      <c r="D92" s="555">
        <v>1094783.76</v>
      </c>
    </row>
    <row r="93" spans="3:4" x14ac:dyDescent="0.25">
      <c r="C93" t="s">
        <v>932</v>
      </c>
      <c r="D93" s="555">
        <v>3935695.5000001881</v>
      </c>
    </row>
    <row r="94" spans="3:4" x14ac:dyDescent="0.25">
      <c r="C94" t="s">
        <v>823</v>
      </c>
      <c r="D94" s="555">
        <v>22439245.229999982</v>
      </c>
    </row>
    <row r="95" spans="3:4" x14ac:dyDescent="0.25">
      <c r="C95" t="s">
        <v>917</v>
      </c>
      <c r="D95" s="555">
        <v>468153.05999999994</v>
      </c>
    </row>
    <row r="96" spans="3:4" x14ac:dyDescent="0.25">
      <c r="C96" t="s">
        <v>454</v>
      </c>
      <c r="D96" s="555">
        <v>7732.6999999999989</v>
      </c>
    </row>
    <row r="97" spans="3:4" x14ac:dyDescent="0.25">
      <c r="C97" t="s">
        <v>432</v>
      </c>
      <c r="D97" s="555">
        <v>112906.47000000002</v>
      </c>
    </row>
    <row r="98" spans="3:4" x14ac:dyDescent="0.25">
      <c r="C98" t="s">
        <v>420</v>
      </c>
      <c r="D98" s="555">
        <v>1001219.0000000002</v>
      </c>
    </row>
    <row r="99" spans="3:4" x14ac:dyDescent="0.25">
      <c r="C99" t="s">
        <v>933</v>
      </c>
      <c r="D99" s="555">
        <v>-1.8888854924625775E-8</v>
      </c>
    </row>
    <row r="100" spans="3:4" ht="13" x14ac:dyDescent="0.3">
      <c r="C100" s="534" t="s">
        <v>918</v>
      </c>
      <c r="D100" s="586">
        <v>2052526.8499999987</v>
      </c>
    </row>
    <row r="101" spans="3:4" x14ac:dyDescent="0.25">
      <c r="C101" t="s">
        <v>481</v>
      </c>
      <c r="D101" s="555">
        <v>256149.68</v>
      </c>
    </row>
    <row r="102" spans="3:4" x14ac:dyDescent="0.25">
      <c r="C102" t="s">
        <v>433</v>
      </c>
      <c r="D102" s="555">
        <v>356592.75</v>
      </c>
    </row>
    <row r="103" spans="3:4" x14ac:dyDescent="0.25">
      <c r="C103" t="s">
        <v>434</v>
      </c>
      <c r="D103" s="555">
        <v>975667.55999999994</v>
      </c>
    </row>
    <row r="104" spans="3:4" x14ac:dyDescent="0.25">
      <c r="C104" t="s">
        <v>435</v>
      </c>
      <c r="D104" s="555">
        <v>1183817.1499999999</v>
      </c>
    </row>
    <row r="105" spans="3:4" x14ac:dyDescent="0.25">
      <c r="C105" t="s">
        <v>436</v>
      </c>
      <c r="D105" s="555">
        <v>183324.56</v>
      </c>
    </row>
    <row r="106" spans="3:4" x14ac:dyDescent="0.25">
      <c r="C106" t="s">
        <v>437</v>
      </c>
      <c r="D106" s="555">
        <v>1442181.15</v>
      </c>
    </row>
    <row r="107" spans="3:4" x14ac:dyDescent="0.25">
      <c r="C107" t="s">
        <v>438</v>
      </c>
      <c r="D107" s="555">
        <v>3582506.4400000009</v>
      </c>
    </row>
    <row r="108" spans="3:4" x14ac:dyDescent="0.25">
      <c r="C108" t="s">
        <v>439</v>
      </c>
      <c r="D108" s="555">
        <v>6724.18</v>
      </c>
    </row>
    <row r="109" spans="3:4" x14ac:dyDescent="0.25">
      <c r="C109" t="s">
        <v>919</v>
      </c>
      <c r="D109" s="555">
        <v>1.0040821507573128E-9</v>
      </c>
    </row>
    <row r="110" spans="3:4" x14ac:dyDescent="0.25">
      <c r="C110" t="s">
        <v>440</v>
      </c>
      <c r="D110" s="555">
        <v>310255.55999999994</v>
      </c>
    </row>
    <row r="111" spans="3:4" x14ac:dyDescent="0.25">
      <c r="C111" t="s">
        <v>441</v>
      </c>
      <c r="D111" s="555">
        <v>2837815.7199999997</v>
      </c>
    </row>
    <row r="112" spans="3:4" x14ac:dyDescent="0.25">
      <c r="C112" t="s">
        <v>442</v>
      </c>
      <c r="D112" s="555">
        <v>299232.76</v>
      </c>
    </row>
    <row r="113" spans="3:4" x14ac:dyDescent="0.25">
      <c r="C113" t="s">
        <v>443</v>
      </c>
      <c r="D113" s="555">
        <v>1209738.5799999998</v>
      </c>
    </row>
    <row r="114" spans="3:4" x14ac:dyDescent="0.25">
      <c r="C114" t="s">
        <v>421</v>
      </c>
      <c r="D114" s="555">
        <v>6980427.3000000063</v>
      </c>
    </row>
    <row r="115" spans="3:4" x14ac:dyDescent="0.25">
      <c r="C115" t="s">
        <v>860</v>
      </c>
      <c r="D115" s="555">
        <v>4.7584762796759605E-9</v>
      </c>
    </row>
    <row r="116" spans="3:4" x14ac:dyDescent="0.25">
      <c r="C116" t="s">
        <v>920</v>
      </c>
      <c r="D116" s="555">
        <v>87547937.519999921</v>
      </c>
    </row>
    <row r="117" spans="3:4" ht="13" x14ac:dyDescent="0.3">
      <c r="C117" s="534" t="s">
        <v>934</v>
      </c>
      <c r="D117" s="586">
        <v>-173028809.14999989</v>
      </c>
    </row>
    <row r="118" spans="3:4" x14ac:dyDescent="0.25">
      <c r="C118" t="s">
        <v>921</v>
      </c>
      <c r="D118" s="555">
        <v>2.815525590449397E-13</v>
      </c>
    </row>
    <row r="119" spans="3:4" ht="13" x14ac:dyDescent="0.3">
      <c r="C119" s="949" t="s">
        <v>425</v>
      </c>
      <c r="D119" s="961">
        <f>SUM(D82:D118)</f>
        <v>2.0861653826642623E-7</v>
      </c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2C405-8F4A-493E-9C0A-0172E8421C71}">
  <sheetPr>
    <tabColor rgb="FF92D050"/>
    <pageSetUpPr fitToPage="1"/>
  </sheetPr>
  <dimension ref="A1:BR605"/>
  <sheetViews>
    <sheetView topLeftCell="AJ1" workbookViewId="0">
      <pane ySplit="2" topLeftCell="A3" activePane="bottomLeft" state="frozen"/>
      <selection pane="bottomLeft" activeCell="AU23" sqref="AU23"/>
    </sheetView>
  </sheetViews>
  <sheetFormatPr defaultRowHeight="12.5" x14ac:dyDescent="0.25"/>
  <cols>
    <col min="1" max="1" width="31.7265625" customWidth="1"/>
    <col min="2" max="2" width="26.81640625" customWidth="1"/>
    <col min="3" max="3" width="18.81640625" bestFit="1" customWidth="1"/>
    <col min="4" max="4" width="14.453125" style="665" customWidth="1"/>
    <col min="5" max="5" width="25.453125" style="665" customWidth="1"/>
    <col min="6" max="6" width="35.1796875" bestFit="1" customWidth="1"/>
    <col min="7" max="7" width="14.453125" bestFit="1" customWidth="1"/>
    <col min="8" max="8" width="2.26953125" customWidth="1"/>
    <col min="9" max="9" width="35.1796875" customWidth="1"/>
    <col min="10" max="10" width="12.7265625" bestFit="1" customWidth="1"/>
    <col min="11" max="11" width="3.1796875" customWidth="1"/>
    <col min="12" max="12" width="25" customWidth="1"/>
    <col min="13" max="13" width="14.1796875" bestFit="1" customWidth="1"/>
    <col min="14" max="14" width="3" customWidth="1"/>
    <col min="15" max="15" width="29.26953125" customWidth="1"/>
    <col min="16" max="16" width="21" bestFit="1" customWidth="1"/>
    <col min="17" max="17" width="3" customWidth="1"/>
    <col min="18" max="18" width="35.453125" bestFit="1" customWidth="1"/>
    <col min="19" max="19" width="14" bestFit="1" customWidth="1"/>
    <col min="20" max="20" width="3.453125" customWidth="1"/>
    <col min="21" max="21" width="28.26953125" customWidth="1"/>
    <col min="22" max="22" width="13.54296875" style="555" bestFit="1" customWidth="1"/>
    <col min="23" max="23" width="2.81640625" customWidth="1"/>
    <col min="24" max="24" width="16.1796875" bestFit="1" customWidth="1"/>
    <col min="25" max="25" width="13.7265625" bestFit="1" customWidth="1"/>
    <col min="27" max="27" width="2.453125" customWidth="1"/>
    <col min="28" max="28" width="26.453125" style="579" customWidth="1"/>
    <col min="29" max="29" width="14.453125" customWidth="1"/>
    <col min="30" max="30" width="14.1796875" bestFit="1" customWidth="1"/>
    <col min="31" max="32" width="13.54296875" customWidth="1"/>
    <col min="33" max="33" width="5.54296875" customWidth="1"/>
    <col min="34" max="34" width="21.453125" customWidth="1"/>
    <col min="35" max="35" width="13.26953125" customWidth="1"/>
    <col min="36" max="36" width="13.81640625" style="666" customWidth="1"/>
    <col min="37" max="37" width="16.1796875" customWidth="1"/>
    <col min="38" max="40" width="13.26953125" customWidth="1"/>
    <col min="41" max="41" width="11.81640625" style="579" customWidth="1"/>
    <col min="42" max="42" width="2.26953125" customWidth="1"/>
    <col min="43" max="43" width="39.7265625" customWidth="1"/>
    <col min="44" max="44" width="15.7265625" bestFit="1" customWidth="1"/>
    <col min="45" max="45" width="14.7265625" bestFit="1" customWidth="1"/>
    <col min="46" max="46" width="3" customWidth="1"/>
    <col min="47" max="47" width="31.54296875" bestFit="1" customWidth="1"/>
    <col min="48" max="48" width="13.54296875" bestFit="1" customWidth="1"/>
    <col min="49" max="49" width="11.26953125" bestFit="1" customWidth="1"/>
    <col min="50" max="50" width="2.81640625" customWidth="1"/>
    <col min="51" max="51" width="37.26953125" customWidth="1"/>
    <col min="52" max="52" width="14" bestFit="1" customWidth="1"/>
    <col min="53" max="53" width="13.7265625" customWidth="1"/>
    <col min="54" max="54" width="4.54296875" customWidth="1"/>
    <col min="55" max="55" width="26.453125" customWidth="1"/>
    <col min="56" max="56" width="13.54296875" customWidth="1"/>
    <col min="57" max="57" width="12.81640625" style="558" bestFit="1" customWidth="1"/>
    <col min="58" max="58" width="16.7265625" style="558" customWidth="1"/>
    <col min="59" max="59" width="11.1796875" customWidth="1"/>
    <col min="60" max="60" width="24.81640625" bestFit="1" customWidth="1"/>
    <col min="61" max="61" width="12.81640625" bestFit="1" customWidth="1"/>
    <col min="62" max="62" width="11.453125" customWidth="1"/>
    <col min="63" max="63" width="15.81640625" bestFit="1" customWidth="1"/>
    <col min="64" max="64" width="14" bestFit="1" customWidth="1"/>
    <col min="65" max="65" width="17.1796875" bestFit="1" customWidth="1"/>
    <col min="66" max="67" width="14" bestFit="1" customWidth="1"/>
    <col min="68" max="69" width="11.26953125" bestFit="1" customWidth="1"/>
    <col min="70" max="70" width="10.26953125" bestFit="1" customWidth="1"/>
  </cols>
  <sheetData>
    <row r="1" spans="1:70" s="534" customFormat="1" ht="17.5" x14ac:dyDescent="0.35">
      <c r="A1" s="534" t="s">
        <v>1097</v>
      </c>
      <c r="C1" s="1013"/>
      <c r="D1" s="665"/>
      <c r="E1" s="665"/>
      <c r="F1" s="528" t="s">
        <v>411</v>
      </c>
      <c r="G1" s="611" t="s">
        <v>585</v>
      </c>
      <c r="H1"/>
      <c r="I1" s="528" t="s">
        <v>412</v>
      </c>
      <c r="J1" s="611" t="s">
        <v>584</v>
      </c>
      <c r="K1"/>
      <c r="L1" s="528" t="s">
        <v>413</v>
      </c>
      <c r="M1" s="729" t="s">
        <v>583</v>
      </c>
      <c r="N1"/>
      <c r="O1" s="528" t="s">
        <v>414</v>
      </c>
      <c r="P1" s="534" t="s">
        <v>582</v>
      </c>
      <c r="Q1"/>
      <c r="R1" s="528" t="s">
        <v>415</v>
      </c>
      <c r="S1" s="611" t="s">
        <v>581</v>
      </c>
      <c r="T1"/>
      <c r="U1" s="528" t="s">
        <v>416</v>
      </c>
      <c r="V1" s="555"/>
      <c r="W1"/>
      <c r="X1"/>
      <c r="Y1"/>
      <c r="Z1"/>
      <c r="AB1" s="739" t="s">
        <v>473</v>
      </c>
      <c r="AC1" s="736"/>
      <c r="AD1" s="736"/>
      <c r="AE1" s="736"/>
      <c r="AF1"/>
      <c r="AG1"/>
      <c r="AH1" s="528" t="s">
        <v>482</v>
      </c>
      <c r="AI1"/>
      <c r="AJ1" s="666"/>
      <c r="AK1" s="1415" t="s">
        <v>1102</v>
      </c>
      <c r="AL1" s="1415"/>
      <c r="AM1" s="1415"/>
      <c r="AN1" s="1415"/>
      <c r="AO1" s="579"/>
      <c r="AQ1" s="731" t="s">
        <v>540</v>
      </c>
      <c r="AS1" s="671" t="s">
        <v>544</v>
      </c>
      <c r="AU1" s="731" t="s">
        <v>449</v>
      </c>
      <c r="AW1" s="672" t="s">
        <v>543</v>
      </c>
      <c r="AY1" s="731" t="s">
        <v>450</v>
      </c>
      <c r="AZ1" s="731"/>
      <c r="BA1" s="673" t="s">
        <v>545</v>
      </c>
      <c r="BC1" s="731" t="s">
        <v>696</v>
      </c>
      <c r="BD1" s="731"/>
      <c r="BE1" s="731"/>
      <c r="BF1" s="732"/>
      <c r="BH1" s="569" t="s">
        <v>152</v>
      </c>
    </row>
    <row r="2" spans="1:70" s="534" customFormat="1" ht="13.5" thickBot="1" x14ac:dyDescent="0.35">
      <c r="A2" s="569" t="s">
        <v>691</v>
      </c>
      <c r="B2" s="569"/>
      <c r="C2" s="564" t="s">
        <v>692</v>
      </c>
      <c r="D2" s="586" t="s">
        <v>693</v>
      </c>
      <c r="E2" s="665"/>
      <c r="F2" s="533" t="s">
        <v>417</v>
      </c>
      <c r="G2" s="612" t="s">
        <v>418</v>
      </c>
      <c r="H2"/>
      <c r="I2" s="533" t="s">
        <v>417</v>
      </c>
      <c r="J2" s="612" t="s">
        <v>419</v>
      </c>
      <c r="K2"/>
      <c r="L2" s="533" t="s">
        <v>417</v>
      </c>
      <c r="M2" s="612" t="s">
        <v>420</v>
      </c>
      <c r="N2"/>
      <c r="O2" s="533" t="s">
        <v>417</v>
      </c>
      <c r="P2" s="612" t="s">
        <v>481</v>
      </c>
      <c r="Q2"/>
      <c r="R2" s="533" t="s">
        <v>417</v>
      </c>
      <c r="S2" s="612" t="s">
        <v>421</v>
      </c>
      <c r="T2"/>
      <c r="U2" s="533" t="s">
        <v>417</v>
      </c>
      <c r="V2" s="1026" t="s">
        <v>422</v>
      </c>
      <c r="W2"/>
      <c r="X2"/>
      <c r="Y2"/>
      <c r="Z2"/>
      <c r="AF2"/>
      <c r="AG2"/>
      <c r="AH2" s="1128" t="s">
        <v>542</v>
      </c>
      <c r="AI2" s="612" t="s">
        <v>683</v>
      </c>
      <c r="AJ2" s="666"/>
      <c r="AK2" s="578"/>
      <c r="AL2" s="534" t="s">
        <v>854</v>
      </c>
      <c r="AM2"/>
      <c r="AN2"/>
      <c r="AO2" s="579"/>
      <c r="BE2" s="556"/>
      <c r="BF2" s="556"/>
      <c r="BH2" s="534" t="s">
        <v>1183</v>
      </c>
    </row>
    <row r="3" spans="1:70" ht="14.5" x14ac:dyDescent="0.35">
      <c r="P3" s="702"/>
      <c r="Y3" s="529" t="s">
        <v>423</v>
      </c>
      <c r="Z3" s="529" t="s">
        <v>424</v>
      </c>
      <c r="AC3" s="780" t="s">
        <v>830</v>
      </c>
      <c r="AD3" s="780" t="s">
        <v>718</v>
      </c>
      <c r="AE3" s="780" t="s">
        <v>719</v>
      </c>
      <c r="AH3" s="530" t="s">
        <v>625</v>
      </c>
      <c r="AI3" s="555"/>
      <c r="AK3" s="534"/>
      <c r="AM3" s="671" t="s">
        <v>975</v>
      </c>
      <c r="AN3" s="742">
        <v>0.25630809260179266</v>
      </c>
      <c r="AQ3" s="546" t="s">
        <v>34</v>
      </c>
      <c r="AR3" s="669" t="s">
        <v>447</v>
      </c>
      <c r="AS3" s="669" t="s">
        <v>448</v>
      </c>
      <c r="AU3" s="546" t="s">
        <v>34</v>
      </c>
      <c r="AV3" s="546" t="s">
        <v>447</v>
      </c>
      <c r="AW3" s="546" t="s">
        <v>448</v>
      </c>
      <c r="AX3" s="552"/>
      <c r="AY3" s="546" t="s">
        <v>34</v>
      </c>
      <c r="AZ3" s="546" t="s">
        <v>447</v>
      </c>
      <c r="BA3" s="546" t="s">
        <v>448</v>
      </c>
      <c r="BC3" s="546" t="s">
        <v>445</v>
      </c>
      <c r="BD3" s="669" t="s">
        <v>848</v>
      </c>
      <c r="BE3" s="557" t="s">
        <v>447</v>
      </c>
      <c r="BF3" s="557" t="s">
        <v>448</v>
      </c>
    </row>
    <row r="4" spans="1:70" ht="14.5" x14ac:dyDescent="0.35">
      <c r="A4" s="572" t="s">
        <v>426</v>
      </c>
      <c r="B4" s="572"/>
      <c r="C4" s="710">
        <v>79054160.120000258</v>
      </c>
      <c r="F4" s="591" t="s">
        <v>878</v>
      </c>
      <c r="G4" s="537">
        <v>3199.6</v>
      </c>
      <c r="I4" s="591" t="s">
        <v>938</v>
      </c>
      <c r="J4" s="1030"/>
      <c r="L4" s="591" t="s">
        <v>938</v>
      </c>
      <c r="M4" s="537"/>
      <c r="O4" t="s">
        <v>587</v>
      </c>
      <c r="P4" s="1113">
        <v>100</v>
      </c>
      <c r="R4" s="530" t="s">
        <v>587</v>
      </c>
      <c r="S4" s="537">
        <v>53911.5</v>
      </c>
      <c r="U4" s="530" t="s">
        <v>587</v>
      </c>
      <c r="V4" s="537">
        <v>50156.57</v>
      </c>
      <c r="X4" s="528" t="s">
        <v>42</v>
      </c>
      <c r="Y4" s="1117">
        <f>+'SPECIAL INPUTS'!D5</f>
        <v>357105</v>
      </c>
      <c r="Z4" s="716">
        <f>+Y4/Y7</f>
        <v>0.54258248019472533</v>
      </c>
      <c r="AB4" s="704" t="s">
        <v>672</v>
      </c>
      <c r="AC4" s="781" t="s">
        <v>452</v>
      </c>
      <c r="AD4" s="781" t="s">
        <v>429</v>
      </c>
      <c r="AE4" s="781" t="s">
        <v>418</v>
      </c>
      <c r="AG4" s="534"/>
      <c r="AH4" s="530" t="s">
        <v>455</v>
      </c>
      <c r="AI4" s="555">
        <v>119976.08</v>
      </c>
      <c r="AK4" s="702"/>
      <c r="AL4" s="948" t="s">
        <v>526</v>
      </c>
      <c r="AM4" s="582" t="s">
        <v>527</v>
      </c>
      <c r="AN4" s="582" t="s">
        <v>448</v>
      </c>
      <c r="AO4" s="583"/>
      <c r="AQ4" s="1130" t="s">
        <v>636</v>
      </c>
      <c r="AR4" s="708">
        <v>0</v>
      </c>
      <c r="AS4" s="708">
        <f>ROUND(AR4*$AN$3,2)</f>
        <v>0</v>
      </c>
      <c r="AU4" s="530" t="s">
        <v>641</v>
      </c>
      <c r="AV4" s="537">
        <v>1114984.1547568939</v>
      </c>
      <c r="AW4" s="537">
        <v>277449.86200723384</v>
      </c>
      <c r="AX4" s="537"/>
      <c r="AY4" s="530" t="s">
        <v>566</v>
      </c>
      <c r="AZ4" s="537">
        <v>256211.4299647054</v>
      </c>
      <c r="BA4" s="537">
        <v>63755.009956964663</v>
      </c>
      <c r="BC4" s="530" t="s">
        <v>552</v>
      </c>
      <c r="BD4" s="537">
        <v>5477.5711430000001</v>
      </c>
      <c r="BE4" s="537">
        <v>387742.00114575453</v>
      </c>
      <c r="BF4" s="537">
        <v>96484.747566439008</v>
      </c>
      <c r="BH4" s="534" t="s">
        <v>694</v>
      </c>
      <c r="BI4" s="798" t="s">
        <v>528</v>
      </c>
      <c r="BJ4" s="798" t="s">
        <v>529</v>
      </c>
      <c r="BK4" s="798" t="s">
        <v>668</v>
      </c>
      <c r="BL4" s="798" t="s">
        <v>31</v>
      </c>
      <c r="BM4" s="798" t="s">
        <v>547</v>
      </c>
      <c r="BO4" s="559"/>
      <c r="BP4" s="537"/>
    </row>
    <row r="5" spans="1:70" ht="15" thickBot="1" x14ac:dyDescent="0.4">
      <c r="A5" s="711" t="s">
        <v>427</v>
      </c>
      <c r="B5" s="711"/>
      <c r="C5" s="723">
        <v>19671639.269999985</v>
      </c>
      <c r="F5" s="530" t="s">
        <v>587</v>
      </c>
      <c r="G5" s="626"/>
      <c r="I5" s="530" t="s">
        <v>878</v>
      </c>
      <c r="J5" s="626"/>
      <c r="L5" s="530" t="s">
        <v>872</v>
      </c>
      <c r="M5" s="537">
        <v>-4830.07</v>
      </c>
      <c r="O5" s="530" t="s">
        <v>872</v>
      </c>
      <c r="P5" s="1113">
        <v>-17518.07</v>
      </c>
      <c r="R5" s="591" t="s">
        <v>878</v>
      </c>
      <c r="S5" s="537">
        <v>21016.37</v>
      </c>
      <c r="U5" s="530" t="s">
        <v>878</v>
      </c>
      <c r="V5" s="708"/>
      <c r="X5" s="528" t="s">
        <v>24</v>
      </c>
      <c r="Y5" s="1117">
        <f>+'SPECIAL INPUTS'!D6</f>
        <v>46669</v>
      </c>
      <c r="Z5" s="716">
        <f>+Y5/Y7</f>
        <v>7.090850525253814E-2</v>
      </c>
      <c r="AC5" s="627"/>
      <c r="AD5" s="627"/>
      <c r="AE5" s="1124"/>
      <c r="AF5" s="559"/>
      <c r="AG5" s="559"/>
      <c r="AH5" s="530" t="s">
        <v>456</v>
      </c>
      <c r="AI5" s="555">
        <v>196793.45</v>
      </c>
      <c r="AK5" s="704" t="s">
        <v>513</v>
      </c>
      <c r="AL5" s="537">
        <v>69896.539814000003</v>
      </c>
      <c r="AM5" s="537">
        <v>8589636.1410780661</v>
      </c>
      <c r="AN5" s="537">
        <v>2137423.5246904283</v>
      </c>
      <c r="AO5" s="869" t="s">
        <v>556</v>
      </c>
      <c r="AQ5" s="1130" t="s">
        <v>565</v>
      </c>
      <c r="AR5" s="708">
        <v>0</v>
      </c>
      <c r="AS5" s="708">
        <v>0</v>
      </c>
      <c r="AU5" s="530" t="s">
        <v>1118</v>
      </c>
      <c r="AV5" s="537">
        <v>39936.747405553746</v>
      </c>
      <c r="AW5" s="537">
        <v>9937.7601102363351</v>
      </c>
      <c r="AX5" s="537"/>
      <c r="AY5" s="530" t="s">
        <v>698</v>
      </c>
      <c r="AZ5" s="537">
        <v>184785.08067200403</v>
      </c>
      <c r="BA5" s="537">
        <v>45981.456251834781</v>
      </c>
      <c r="BC5" s="530" t="s">
        <v>1169</v>
      </c>
      <c r="BD5" s="537">
        <v>2080</v>
      </c>
      <c r="BE5" s="537">
        <v>200165.96194506358</v>
      </c>
      <c r="BF5" s="537">
        <v>49808.796190751171</v>
      </c>
      <c r="BH5" s="674" t="s">
        <v>644</v>
      </c>
      <c r="BI5" s="1214"/>
      <c r="BJ5" s="1214"/>
      <c r="BK5" s="1214"/>
      <c r="BL5" s="1214"/>
      <c r="BM5" s="1214">
        <f t="shared" ref="BM5:BM14" si="0">SUM(BI5:BL5)</f>
        <v>0</v>
      </c>
    </row>
    <row r="6" spans="1:70" ht="14.5" x14ac:dyDescent="0.35">
      <c r="A6" s="724" t="s">
        <v>516</v>
      </c>
      <c r="B6" s="724" t="s">
        <v>679</v>
      </c>
      <c r="C6" s="926">
        <v>2548505</v>
      </c>
      <c r="D6" s="926"/>
      <c r="F6" s="591" t="s">
        <v>872</v>
      </c>
      <c r="G6" s="537">
        <v>-20130.39</v>
      </c>
      <c r="I6" s="530" t="s">
        <v>704</v>
      </c>
      <c r="J6" s="537">
        <v>18456.66</v>
      </c>
      <c r="L6" s="530" t="s">
        <v>882</v>
      </c>
      <c r="M6" s="537">
        <v>441</v>
      </c>
      <c r="O6" t="s">
        <v>870</v>
      </c>
      <c r="P6" s="1113">
        <v>73.02</v>
      </c>
      <c r="R6" s="591" t="s">
        <v>872</v>
      </c>
      <c r="S6" s="537">
        <v>-35999.43</v>
      </c>
      <c r="U6" s="530" t="s">
        <v>872</v>
      </c>
      <c r="V6" s="537">
        <v>-4045.3599999999997</v>
      </c>
      <c r="X6" s="528" t="s">
        <v>43</v>
      </c>
      <c r="Y6" s="1117">
        <f>+'SPECIAL INPUTS'!D7</f>
        <v>254384</v>
      </c>
      <c r="Z6" s="716">
        <f>+Y6/Y7</f>
        <v>0.38650901455273656</v>
      </c>
      <c r="AB6" s="591" t="s">
        <v>878</v>
      </c>
      <c r="AC6" s="1253">
        <v>982.19</v>
      </c>
      <c r="AD6" s="536"/>
      <c r="AE6" s="1124"/>
      <c r="AF6" s="559"/>
      <c r="AG6" s="559"/>
      <c r="AH6" s="530" t="s">
        <v>457</v>
      </c>
      <c r="AI6" s="555">
        <v>142039.17000000001</v>
      </c>
      <c r="AK6" s="704" t="s">
        <v>514</v>
      </c>
      <c r="AL6" s="537">
        <v>19918</v>
      </c>
      <c r="AM6" s="537">
        <v>1355175.6942243862</v>
      </c>
      <c r="AN6" s="537">
        <v>337218.52257182368</v>
      </c>
      <c r="AO6" s="869" t="s">
        <v>556</v>
      </c>
      <c r="AQ6" s="1130" t="s">
        <v>637</v>
      </c>
      <c r="AR6" s="626">
        <v>146794.82107891949</v>
      </c>
      <c r="AS6" s="626">
        <v>36528.055289362354</v>
      </c>
      <c r="AU6" s="1134" t="s">
        <v>572</v>
      </c>
      <c r="AV6" s="537">
        <v>52984.841282620102</v>
      </c>
      <c r="AW6" s="537">
        <v>13184.615081407494</v>
      </c>
      <c r="AX6" s="537"/>
      <c r="AY6" s="530" t="s">
        <v>835</v>
      </c>
      <c r="AZ6" s="537">
        <v>148341.55837555329</v>
      </c>
      <c r="BA6" s="537">
        <v>36912.941520867666</v>
      </c>
      <c r="BC6" s="530" t="s">
        <v>553</v>
      </c>
      <c r="BD6" s="537">
        <v>16438.672047999997</v>
      </c>
      <c r="BE6" s="537">
        <v>496100.22352256323</v>
      </c>
      <c r="BF6" s="537">
        <v>123448.33598832984</v>
      </c>
      <c r="BH6" s="949" t="s">
        <v>530</v>
      </c>
      <c r="BI6" s="1138">
        <v>41868995</v>
      </c>
      <c r="BJ6" s="1139">
        <v>5488895</v>
      </c>
      <c r="BK6" s="1138">
        <v>32591290</v>
      </c>
      <c r="BL6" s="1139"/>
      <c r="BM6" s="961">
        <f t="shared" si="0"/>
        <v>79949180</v>
      </c>
      <c r="BN6" s="555"/>
      <c r="BO6" s="1413"/>
      <c r="BP6" s="1413"/>
    </row>
    <row r="7" spans="1:70" ht="15" thickBot="1" x14ac:dyDescent="0.4">
      <c r="A7" s="572" t="s">
        <v>428</v>
      </c>
      <c r="B7" s="572" t="s">
        <v>76</v>
      </c>
      <c r="C7" s="1021">
        <v>21135193</v>
      </c>
      <c r="F7" s="591" t="s">
        <v>870</v>
      </c>
      <c r="G7" s="626"/>
      <c r="I7" s="530" t="s">
        <v>705</v>
      </c>
      <c r="J7" s="537">
        <v>36</v>
      </c>
      <c r="L7" s="530" t="s">
        <v>704</v>
      </c>
      <c r="M7" s="537">
        <v>17122.38</v>
      </c>
      <c r="O7" s="530" t="s">
        <v>704</v>
      </c>
      <c r="P7" s="1113">
        <v>1790.27</v>
      </c>
      <c r="R7" s="591" t="s">
        <v>870</v>
      </c>
      <c r="S7" s="537">
        <v>60648.52</v>
      </c>
      <c r="U7" s="1033" t="s">
        <v>1009</v>
      </c>
      <c r="V7" s="537">
        <v>-37914</v>
      </c>
      <c r="X7" s="528" t="s">
        <v>547</v>
      </c>
      <c r="Y7" s="1118">
        <f>SUM(Y4:Y6)</f>
        <v>658158</v>
      </c>
      <c r="Z7" s="717">
        <f>SUM(Z4:Z6)</f>
        <v>1</v>
      </c>
      <c r="AB7" s="591" t="s">
        <v>995</v>
      </c>
      <c r="AC7" s="1256"/>
      <c r="AD7" s="1256"/>
      <c r="AE7" s="1124">
        <v>-2536.5100000000002</v>
      </c>
      <c r="AF7" s="559"/>
      <c r="AG7" s="559"/>
      <c r="AH7" s="530" t="s">
        <v>458</v>
      </c>
      <c r="AI7" s="555">
        <v>48598.65</v>
      </c>
      <c r="AK7" s="704" t="s">
        <v>515</v>
      </c>
      <c r="AL7" s="537">
        <v>297656.12</v>
      </c>
      <c r="AM7" s="537">
        <v>14632712.606656689</v>
      </c>
      <c r="AN7" s="537">
        <v>3641167.5234914906</v>
      </c>
      <c r="AO7" s="869" t="s">
        <v>556</v>
      </c>
      <c r="AQ7" s="1130" t="s">
        <v>566</v>
      </c>
      <c r="AR7" s="626">
        <v>294885.15881006554</v>
      </c>
      <c r="AS7" s="626">
        <v>73378.483694840179</v>
      </c>
      <c r="AU7" s="1134" t="s">
        <v>638</v>
      </c>
      <c r="AV7" s="537">
        <v>1.2497127449923379E-12</v>
      </c>
      <c r="AW7" s="537">
        <v>3.1097538666135166E-13</v>
      </c>
      <c r="AX7" s="537"/>
      <c r="AY7" s="530" t="s">
        <v>699</v>
      </c>
      <c r="AZ7" s="537">
        <v>150081.0757132096</v>
      </c>
      <c r="BA7" s="537">
        <v>37345.798654516511</v>
      </c>
      <c r="BC7" s="530" t="s">
        <v>554</v>
      </c>
      <c r="BD7" s="537">
        <v>117208.28785700002</v>
      </c>
      <c r="BE7" s="537">
        <v>2561884.8043569154</v>
      </c>
      <c r="BF7" s="537">
        <v>637492.99253695097</v>
      </c>
      <c r="BH7" s="949" t="s">
        <v>531</v>
      </c>
      <c r="BI7" s="1138">
        <v>8409437</v>
      </c>
      <c r="BJ7" s="1139">
        <v>949207</v>
      </c>
      <c r="BK7" s="1139">
        <v>9087413</v>
      </c>
      <c r="BL7" s="1139"/>
      <c r="BM7" s="961">
        <f t="shared" si="0"/>
        <v>18446057</v>
      </c>
      <c r="BP7" s="537"/>
    </row>
    <row r="8" spans="1:70" ht="13.5" thickTop="1" x14ac:dyDescent="0.3">
      <c r="A8" s="572" t="s">
        <v>452</v>
      </c>
      <c r="B8" s="572" t="s">
        <v>77</v>
      </c>
      <c r="C8" s="1114">
        <v>253660.05999999991</v>
      </c>
      <c r="F8" s="530" t="s">
        <v>704</v>
      </c>
      <c r="G8" s="537">
        <v>77824.27</v>
      </c>
      <c r="I8" s="530" t="s">
        <v>701</v>
      </c>
      <c r="J8" s="537">
        <v>18.600000000000001</v>
      </c>
      <c r="L8" s="530" t="s">
        <v>981</v>
      </c>
      <c r="M8" s="537">
        <v>3198.7</v>
      </c>
      <c r="O8" s="530" t="s">
        <v>701</v>
      </c>
      <c r="P8" s="1113">
        <v>265.68</v>
      </c>
      <c r="R8" s="530" t="s">
        <v>615</v>
      </c>
      <c r="S8" s="537"/>
      <c r="U8" s="530" t="s">
        <v>882</v>
      </c>
      <c r="V8" s="537">
        <v>3700</v>
      </c>
      <c r="Y8" s="1119"/>
      <c r="AB8" s="591" t="s">
        <v>882</v>
      </c>
      <c r="AC8" s="1125"/>
      <c r="AD8" s="1126"/>
      <c r="AE8" s="1124"/>
      <c r="AF8" s="559"/>
      <c r="AG8" s="559"/>
      <c r="AH8" s="530" t="s">
        <v>459</v>
      </c>
      <c r="AI8" s="555">
        <v>191372.19</v>
      </c>
      <c r="AK8" s="704" t="s">
        <v>516</v>
      </c>
      <c r="AL8" s="537">
        <v>433009.40154300007</v>
      </c>
      <c r="AM8" s="537">
        <v>12097011.910783846</v>
      </c>
      <c r="AN8" s="537">
        <v>3010190.1188709163</v>
      </c>
      <c r="AO8" s="869" t="s">
        <v>556</v>
      </c>
      <c r="AQ8" s="1130" t="s">
        <v>567</v>
      </c>
      <c r="AR8" s="626">
        <v>295724.15321803174</v>
      </c>
      <c r="AS8" s="626">
        <v>73587.256960112107</v>
      </c>
      <c r="AU8" s="1134" t="s">
        <v>573</v>
      </c>
      <c r="AV8" s="537">
        <v>40903.465710897333</v>
      </c>
      <c r="AW8" s="537">
        <v>10178.315869951079</v>
      </c>
      <c r="AX8" s="537"/>
      <c r="AY8" s="530" t="s">
        <v>700</v>
      </c>
      <c r="AZ8" s="537">
        <v>427788.58450749924</v>
      </c>
      <c r="BA8" s="537">
        <v>106449.83898067519</v>
      </c>
      <c r="BC8" s="1191" t="s">
        <v>625</v>
      </c>
      <c r="BD8" s="1185">
        <v>1273.5947620000013</v>
      </c>
      <c r="BE8" s="1198">
        <v>273973.48601433093</v>
      </c>
      <c r="BF8" s="1199">
        <v>68174.875458109658</v>
      </c>
      <c r="BH8" s="949" t="s">
        <v>1092</v>
      </c>
      <c r="BI8" s="1138">
        <v>5867838</v>
      </c>
      <c r="BJ8" s="1139">
        <v>5353</v>
      </c>
      <c r="BK8" s="1139">
        <v>1309755</v>
      </c>
      <c r="BL8" s="1138"/>
      <c r="BM8" s="961">
        <f t="shared" si="0"/>
        <v>7182946</v>
      </c>
      <c r="BN8" s="537"/>
      <c r="BO8" s="1414"/>
      <c r="BP8" s="1413"/>
    </row>
    <row r="9" spans="1:70" ht="13" x14ac:dyDescent="0.3">
      <c r="A9" s="572" t="s">
        <v>429</v>
      </c>
      <c r="B9" s="572" t="s">
        <v>680</v>
      </c>
      <c r="C9" s="1021">
        <v>1386814.4599999997</v>
      </c>
      <c r="F9" s="591" t="s">
        <v>705</v>
      </c>
      <c r="G9" s="537">
        <v>52.65</v>
      </c>
      <c r="I9" s="530" t="s">
        <v>1131</v>
      </c>
      <c r="J9" s="626">
        <v>56</v>
      </c>
      <c r="L9" s="530" t="s">
        <v>869</v>
      </c>
      <c r="M9" s="537">
        <v>185118.95</v>
      </c>
      <c r="O9" s="530" t="s">
        <v>705</v>
      </c>
      <c r="P9" s="1116">
        <v>385.63</v>
      </c>
      <c r="R9" s="591" t="s">
        <v>882</v>
      </c>
      <c r="S9" s="537">
        <v>6750</v>
      </c>
      <c r="U9" s="530" t="s">
        <v>980</v>
      </c>
      <c r="V9" s="708">
        <v>200</v>
      </c>
      <c r="Y9" s="1119"/>
      <c r="AB9" s="530" t="s">
        <v>704</v>
      </c>
      <c r="AC9" s="1126"/>
      <c r="AD9" s="536"/>
      <c r="AE9" s="1124">
        <v>1335.44</v>
      </c>
      <c r="AF9" s="559"/>
      <c r="AG9" s="559"/>
      <c r="AH9" s="530" t="s">
        <v>460</v>
      </c>
      <c r="AI9" s="555">
        <v>27237.19</v>
      </c>
      <c r="AK9" s="721" t="s">
        <v>676</v>
      </c>
      <c r="AL9" s="1210">
        <v>85220.110987028733</v>
      </c>
      <c r="AM9" s="1210">
        <f>AR68</f>
        <v>2486220.7345148404</v>
      </c>
      <c r="AN9" s="1210">
        <f>AS68</f>
        <v>618664.9350735097</v>
      </c>
      <c r="AO9" s="869" t="s">
        <v>556</v>
      </c>
      <c r="AQ9" s="1130" t="s">
        <v>669</v>
      </c>
      <c r="AR9" s="626">
        <v>257824.89227994421</v>
      </c>
      <c r="AS9" s="626">
        <v>64156.499874832094</v>
      </c>
      <c r="AU9" s="530" t="s">
        <v>1281</v>
      </c>
      <c r="AV9" s="555">
        <v>53686.808065139245</v>
      </c>
      <c r="AW9" s="555">
        <v>13359.290735866522</v>
      </c>
      <c r="AX9" s="537"/>
      <c r="AY9" s="530" t="s">
        <v>891</v>
      </c>
      <c r="AZ9" s="537">
        <v>189093.4662562632</v>
      </c>
      <c r="BA9" s="537">
        <v>47053.54412028283</v>
      </c>
      <c r="BC9" s="1192" t="s">
        <v>455</v>
      </c>
      <c r="BD9" s="1186">
        <v>504.82285700000011</v>
      </c>
      <c r="BE9" s="1200">
        <v>104542.88441392538</v>
      </c>
      <c r="BF9" s="1201">
        <v>26014.189287565248</v>
      </c>
      <c r="BH9" s="949" t="s">
        <v>647</v>
      </c>
      <c r="BI9" s="1138">
        <v>2841590</v>
      </c>
      <c r="BJ9" s="1139">
        <v>686779</v>
      </c>
      <c r="BK9" s="1139">
        <v>1040889</v>
      </c>
      <c r="BL9" s="1139"/>
      <c r="BM9" s="961">
        <f t="shared" si="0"/>
        <v>4569258</v>
      </c>
      <c r="BO9" s="730"/>
      <c r="BP9" s="493"/>
    </row>
    <row r="10" spans="1:70" ht="15" customHeight="1" x14ac:dyDescent="0.35">
      <c r="A10" s="1034" t="s">
        <v>681</v>
      </c>
      <c r="B10" s="1034" t="s">
        <v>682</v>
      </c>
      <c r="C10" s="1171">
        <f>+C60</f>
        <v>580152</v>
      </c>
      <c r="F10" s="530" t="s">
        <v>701</v>
      </c>
      <c r="G10" s="537">
        <v>44745.54</v>
      </c>
      <c r="I10" s="530" t="s">
        <v>588</v>
      </c>
      <c r="J10" s="537"/>
      <c r="L10" s="530" t="s">
        <v>1098</v>
      </c>
      <c r="M10" s="537">
        <v>2708.5</v>
      </c>
      <c r="O10" s="530" t="s">
        <v>703</v>
      </c>
      <c r="P10" s="1113">
        <v>12345.3</v>
      </c>
      <c r="R10" s="591" t="s">
        <v>869</v>
      </c>
      <c r="S10" s="537">
        <v>242365.53</v>
      </c>
      <c r="U10" s="530" t="s">
        <v>1003</v>
      </c>
      <c r="V10" s="537">
        <v>10.86</v>
      </c>
      <c r="X10" s="761" t="s">
        <v>713</v>
      </c>
      <c r="Y10" s="1120" t="s">
        <v>711</v>
      </c>
      <c r="Z10" s="762" t="s">
        <v>712</v>
      </c>
      <c r="AB10" s="530" t="s">
        <v>701</v>
      </c>
      <c r="AC10" s="627"/>
      <c r="AD10" s="627"/>
      <c r="AE10" s="1124">
        <v>474.27</v>
      </c>
      <c r="AF10" s="559"/>
      <c r="AG10" s="559"/>
      <c r="AH10" s="530" t="s">
        <v>461</v>
      </c>
      <c r="AI10" s="555">
        <v>40925.42</v>
      </c>
      <c r="AK10" s="704" t="s">
        <v>517</v>
      </c>
      <c r="AL10" s="537">
        <v>28668.749999999996</v>
      </c>
      <c r="AM10" s="537">
        <v>2489756.1884837979</v>
      </c>
      <c r="AN10" s="537">
        <v>619544.68857640505</v>
      </c>
      <c r="AO10" s="869" t="s">
        <v>557</v>
      </c>
      <c r="AQ10" s="1130" t="s">
        <v>891</v>
      </c>
      <c r="AR10" s="626"/>
      <c r="AS10" s="626"/>
      <c r="AU10" s="616"/>
      <c r="AV10" s="555"/>
      <c r="AW10" s="537"/>
      <c r="AX10" s="537"/>
      <c r="AY10" s="530" t="s">
        <v>1119</v>
      </c>
      <c r="AZ10" s="537">
        <v>54050.512880494083</v>
      </c>
      <c r="BA10" s="537">
        <v>13449.794130377602</v>
      </c>
      <c r="BC10" s="1192" t="s">
        <v>969</v>
      </c>
      <c r="BD10" s="1186">
        <v>1589.5</v>
      </c>
      <c r="BE10" s="1200">
        <v>36416.380593510694</v>
      </c>
      <c r="BF10" s="1201">
        <v>9061.760857646821</v>
      </c>
      <c r="BH10" s="949" t="s">
        <v>648</v>
      </c>
      <c r="BI10" s="1138">
        <v>1276120</v>
      </c>
      <c r="BJ10" s="1139">
        <v>43399</v>
      </c>
      <c r="BK10" s="1139">
        <v>353436</v>
      </c>
      <c r="BL10" s="1139"/>
      <c r="BM10" s="961">
        <f t="shared" si="0"/>
        <v>1672955</v>
      </c>
      <c r="BN10" s="537"/>
      <c r="BO10" s="493"/>
      <c r="BP10" s="730"/>
      <c r="BQ10" s="493"/>
      <c r="BR10" s="493"/>
    </row>
    <row r="11" spans="1:70" ht="14.5" x14ac:dyDescent="0.35">
      <c r="A11" s="709" t="s">
        <v>418</v>
      </c>
      <c r="B11" s="709" t="s">
        <v>411</v>
      </c>
      <c r="C11" s="1172">
        <f>5000150+B74</f>
        <v>7186091.1038990635</v>
      </c>
      <c r="D11" s="705" t="s">
        <v>1161</v>
      </c>
      <c r="E11" s="705"/>
      <c r="F11" s="530" t="s">
        <v>1130</v>
      </c>
      <c r="G11" s="537">
        <v>1023.0400000000001</v>
      </c>
      <c r="I11" s="530" t="s">
        <v>589</v>
      </c>
      <c r="J11" s="537">
        <v>9224.119999999999</v>
      </c>
      <c r="L11" s="530" t="s">
        <v>980</v>
      </c>
      <c r="M11" s="537">
        <v>499</v>
      </c>
      <c r="O11" s="530" t="s">
        <v>884</v>
      </c>
      <c r="P11" s="1113">
        <v>1200</v>
      </c>
      <c r="R11" s="530" t="s">
        <v>588</v>
      </c>
      <c r="S11" s="537">
        <v>166617.31</v>
      </c>
      <c r="U11" s="530" t="s">
        <v>981</v>
      </c>
      <c r="V11" s="537">
        <v>1265.94</v>
      </c>
      <c r="X11" s="534" t="s">
        <v>528</v>
      </c>
      <c r="Y11" s="1121">
        <f>+'SPECIAL INPUTS'!J5</f>
        <v>21207</v>
      </c>
      <c r="Z11" s="763">
        <f>+Y11/Y13</f>
        <v>0.14127639730864033</v>
      </c>
      <c r="AB11" s="530" t="s">
        <v>992</v>
      </c>
      <c r="AC11" s="670"/>
      <c r="AD11" s="670"/>
      <c r="AE11" s="1124">
        <v>40.950000000000003</v>
      </c>
      <c r="AF11" s="559"/>
      <c r="AG11" s="559"/>
      <c r="AH11" s="530" t="s">
        <v>462</v>
      </c>
      <c r="AI11" s="555">
        <v>14445.28</v>
      </c>
      <c r="AK11" s="704" t="s">
        <v>518</v>
      </c>
      <c r="AL11" s="537">
        <v>21513.160000000003</v>
      </c>
      <c r="AM11" s="537">
        <v>1023041.1463775205</v>
      </c>
      <c r="AN11" s="537">
        <v>254570.994286509</v>
      </c>
      <c r="AO11" s="869" t="s">
        <v>557</v>
      </c>
      <c r="AQ11" s="1130" t="s">
        <v>892</v>
      </c>
      <c r="AR11" s="626">
        <v>0</v>
      </c>
      <c r="AS11" s="626">
        <v>0</v>
      </c>
      <c r="AU11" s="616"/>
      <c r="AV11" s="555"/>
      <c r="AW11" s="537"/>
      <c r="AY11" s="530" t="s">
        <v>1120</v>
      </c>
      <c r="AZ11" s="537">
        <v>56368.330368164534</v>
      </c>
      <c r="BA11" s="537">
        <v>14026.55402366266</v>
      </c>
      <c r="BC11" s="1192" t="s">
        <v>459</v>
      </c>
      <c r="BD11" s="1186">
        <v>1020.482857</v>
      </c>
      <c r="BE11" s="1200">
        <v>36540.127172121458</v>
      </c>
      <c r="BF11" s="1201">
        <v>9092.5536460581588</v>
      </c>
      <c r="BH11" s="974" t="s">
        <v>936</v>
      </c>
      <c r="BI11" s="943">
        <v>178302</v>
      </c>
      <c r="BJ11" s="534"/>
      <c r="BK11" s="534"/>
      <c r="BL11" s="943">
        <v>0</v>
      </c>
      <c r="BM11" s="943">
        <f t="shared" si="0"/>
        <v>178302</v>
      </c>
      <c r="BO11" s="495"/>
      <c r="BP11" s="495"/>
      <c r="BQ11" s="495"/>
      <c r="BR11" s="495"/>
    </row>
    <row r="12" spans="1:70" ht="14.5" x14ac:dyDescent="0.35">
      <c r="A12" s="1034" t="s">
        <v>422</v>
      </c>
      <c r="B12" s="1034" t="s">
        <v>684</v>
      </c>
      <c r="C12" s="1107">
        <f>G59</f>
        <v>2414794.7870388264</v>
      </c>
      <c r="D12" s="892" t="s">
        <v>1162</v>
      </c>
      <c r="F12" s="530" t="s">
        <v>703</v>
      </c>
      <c r="G12" s="537">
        <v>12012.7</v>
      </c>
      <c r="I12" s="530" t="s">
        <v>591</v>
      </c>
      <c r="J12" s="537">
        <v>275603.31</v>
      </c>
      <c r="L12" s="530" t="s">
        <v>589</v>
      </c>
      <c r="M12" s="626">
        <v>104021.18</v>
      </c>
      <c r="O12" s="530" t="s">
        <v>588</v>
      </c>
      <c r="P12" s="1113">
        <v>737.96</v>
      </c>
      <c r="R12" s="1028" t="s">
        <v>991</v>
      </c>
      <c r="S12" s="537">
        <v>26287545.59</v>
      </c>
      <c r="U12" s="591" t="s">
        <v>869</v>
      </c>
      <c r="V12" s="537">
        <v>4179.9799999999996</v>
      </c>
      <c r="X12" s="534" t="s">
        <v>714</v>
      </c>
      <c r="Y12" s="1122">
        <f>+'SPECIAL INPUTS'!J6</f>
        <v>128903</v>
      </c>
      <c r="Z12" s="759">
        <f>+Y12/Y13</f>
        <v>0.85872360269135972</v>
      </c>
      <c r="AB12" s="591" t="s">
        <v>993</v>
      </c>
      <c r="AC12" s="536"/>
      <c r="AD12" s="536"/>
      <c r="AE12" s="1124"/>
      <c r="AF12" s="559"/>
      <c r="AG12" s="559"/>
      <c r="AH12" s="530" t="s">
        <v>463</v>
      </c>
      <c r="AI12" s="555">
        <v>38148.36</v>
      </c>
      <c r="AK12" s="704" t="s">
        <v>519</v>
      </c>
      <c r="AL12" s="537">
        <f>45976.324+912</f>
        <v>46888.324000000001</v>
      </c>
      <c r="AM12" s="537">
        <f>1248809.20915+53686.81</f>
        <v>1302496.0191500001</v>
      </c>
      <c r="AN12" s="537">
        <f>310750.553068+13359</f>
        <v>324109.55306800001</v>
      </c>
      <c r="AO12" s="869" t="s">
        <v>557</v>
      </c>
      <c r="AQ12" s="1130" t="s">
        <v>893</v>
      </c>
      <c r="AR12" s="626">
        <v>59369.976865586861</v>
      </c>
      <c r="AS12" s="626">
        <v>14773.476213499425</v>
      </c>
      <c r="AU12" s="551" t="s">
        <v>543</v>
      </c>
      <c r="AV12" s="682">
        <f>SUM(AV4:AV11)</f>
        <v>1302496.0172211041</v>
      </c>
      <c r="AW12" s="682">
        <f>SUM(AW4:AW11)</f>
        <v>324109.84380469529</v>
      </c>
      <c r="AY12" s="530" t="s">
        <v>1121</v>
      </c>
      <c r="AZ12" s="537">
        <v>163888.85746122725</v>
      </c>
      <c r="BA12" s="537">
        <v>40781.692451095878</v>
      </c>
      <c r="BC12" s="1192" t="s">
        <v>970</v>
      </c>
      <c r="BD12" s="1186">
        <v>2088.25</v>
      </c>
      <c r="BE12" s="1200">
        <v>45120.962566054943</v>
      </c>
      <c r="BF12" s="1201">
        <v>11227.787214891001</v>
      </c>
      <c r="BH12" s="674" t="s">
        <v>645</v>
      </c>
      <c r="BI12" s="586"/>
      <c r="BJ12" s="586"/>
      <c r="BK12" s="586"/>
      <c r="BL12" s="943">
        <v>2648790</v>
      </c>
      <c r="BM12" s="943">
        <f t="shared" si="0"/>
        <v>2648790</v>
      </c>
      <c r="BO12" s="722"/>
      <c r="BP12" s="722"/>
      <c r="BQ12" s="722"/>
      <c r="BR12" s="722"/>
    </row>
    <row r="13" spans="1:70" ht="15" thickBot="1" x14ac:dyDescent="0.4">
      <c r="A13" s="1034" t="s">
        <v>422</v>
      </c>
      <c r="B13" s="1034" t="s">
        <v>683</v>
      </c>
      <c r="C13" s="1108">
        <f>G60</f>
        <v>1190777.748120978</v>
      </c>
      <c r="D13" s="892" t="s">
        <v>1162</v>
      </c>
      <c r="E13" s="705"/>
      <c r="F13" s="530" t="s">
        <v>869</v>
      </c>
      <c r="G13" s="537">
        <v>5149.1200000000008</v>
      </c>
      <c r="I13" s="530" t="s">
        <v>876</v>
      </c>
      <c r="J13" s="537">
        <v>1922.2</v>
      </c>
      <c r="L13" s="530" t="s">
        <v>874</v>
      </c>
      <c r="M13" s="537">
        <v>209</v>
      </c>
      <c r="O13" s="530" t="s">
        <v>702</v>
      </c>
      <c r="P13" s="1113">
        <v>75296.41</v>
      </c>
      <c r="R13" s="530" t="s">
        <v>980</v>
      </c>
      <c r="S13" s="537">
        <v>7000</v>
      </c>
      <c r="U13" s="530" t="s">
        <v>588</v>
      </c>
      <c r="V13" s="537">
        <v>7904.3399999999992</v>
      </c>
      <c r="X13" s="534" t="s">
        <v>715</v>
      </c>
      <c r="Y13" s="1123">
        <f>SUM(Y11:Y12)</f>
        <v>150110</v>
      </c>
      <c r="Z13" s="760">
        <f>+Z11+Z12</f>
        <v>1</v>
      </c>
      <c r="AB13" s="530" t="s">
        <v>702</v>
      </c>
      <c r="AC13" s="536"/>
      <c r="AD13" s="536"/>
      <c r="AE13" s="1124">
        <v>11008.59</v>
      </c>
      <c r="AF13" s="559"/>
      <c r="AG13" s="559"/>
      <c r="AH13" s="530" t="s">
        <v>464</v>
      </c>
      <c r="AI13" s="555">
        <v>43331.83</v>
      </c>
      <c r="AK13" s="721" t="s">
        <v>677</v>
      </c>
      <c r="AL13" s="1210">
        <v>11903.276067013647</v>
      </c>
      <c r="AM13" s="1210">
        <f>AV13</f>
        <v>324916.86047261464</v>
      </c>
      <c r="AN13" s="1210">
        <f>AW13</f>
        <v>80851.497052535298</v>
      </c>
      <c r="AO13" s="870" t="s">
        <v>557</v>
      </c>
      <c r="AQ13" s="1130" t="s">
        <v>568</v>
      </c>
      <c r="AR13" s="626">
        <v>90604.620627878132</v>
      </c>
      <c r="AS13" s="626">
        <v>22545.826667737336</v>
      </c>
      <c r="AU13" s="613" t="s">
        <v>479</v>
      </c>
      <c r="AV13" s="683">
        <f>+BE41</f>
        <v>324916.86047261464</v>
      </c>
      <c r="AW13" s="683">
        <f>+BF41</f>
        <v>80851.497052535298</v>
      </c>
      <c r="AY13" s="1031" t="s">
        <v>572</v>
      </c>
      <c r="AZ13" s="537">
        <v>87229.006233760985</v>
      </c>
      <c r="BA13" s="537">
        <v>21705.847243956534</v>
      </c>
      <c r="BC13" s="1192" t="s">
        <v>461</v>
      </c>
      <c r="BD13" s="1186">
        <v>0</v>
      </c>
      <c r="BE13" s="1200">
        <v>1873.7368561349163</v>
      </c>
      <c r="BF13" s="1201">
        <v>466.25598216312784</v>
      </c>
      <c r="BH13" s="674" t="s">
        <v>532</v>
      </c>
      <c r="BI13" s="586">
        <v>9842733</v>
      </c>
      <c r="BJ13" s="586">
        <v>1664201</v>
      </c>
      <c r="BK13" s="586">
        <v>6171600</v>
      </c>
      <c r="BL13" s="586">
        <v>10868727</v>
      </c>
      <c r="BM13" s="943">
        <f t="shared" si="0"/>
        <v>28547261</v>
      </c>
    </row>
    <row r="14" spans="1:70" ht="17.25" customHeight="1" thickTop="1" thickBot="1" x14ac:dyDescent="0.4">
      <c r="A14" s="712" t="s">
        <v>422</v>
      </c>
      <c r="B14" s="713" t="s">
        <v>31</v>
      </c>
      <c r="C14" s="1032">
        <v>0</v>
      </c>
      <c r="D14" s="715">
        <f>SUM(C7:C14)</f>
        <v>34147483.159058869</v>
      </c>
      <c r="E14" s="705"/>
      <c r="F14" s="530" t="s">
        <v>588</v>
      </c>
      <c r="G14" s="537">
        <v>68000.299999999988</v>
      </c>
      <c r="I14" s="530" t="s">
        <v>979</v>
      </c>
      <c r="L14" s="530" t="s">
        <v>881</v>
      </c>
      <c r="M14" s="537">
        <v>1960.2500000000002</v>
      </c>
      <c r="O14" s="1031" t="s">
        <v>590</v>
      </c>
      <c r="P14" s="1029"/>
      <c r="R14" s="530" t="s">
        <v>589</v>
      </c>
      <c r="S14" s="537">
        <v>60154.12</v>
      </c>
      <c r="U14" s="530" t="s">
        <v>589</v>
      </c>
      <c r="V14" s="537">
        <v>12046.16</v>
      </c>
      <c r="AB14" s="591" t="s">
        <v>1138</v>
      </c>
      <c r="AC14" s="1255"/>
      <c r="AD14" s="670"/>
      <c r="AE14" s="1124"/>
      <c r="AF14" s="559"/>
      <c r="AG14" s="559"/>
      <c r="AH14" s="530" t="s">
        <v>465</v>
      </c>
      <c r="AI14" s="555">
        <v>40419.69</v>
      </c>
      <c r="AK14" s="704" t="s">
        <v>520</v>
      </c>
      <c r="AL14" s="537">
        <v>65683.750000000015</v>
      </c>
      <c r="AM14" s="537">
        <v>3040379.2364870217</v>
      </c>
      <c r="AN14" s="537">
        <v>756560.34752969968</v>
      </c>
      <c r="AO14" s="869" t="s">
        <v>558</v>
      </c>
      <c r="AQ14" s="1130" t="s">
        <v>963</v>
      </c>
      <c r="AR14" s="626">
        <v>179498.96420631889</v>
      </c>
      <c r="AS14" s="626">
        <v>44666.072281846158</v>
      </c>
      <c r="AU14" s="551" t="s">
        <v>551</v>
      </c>
      <c r="AV14" s="663">
        <f>+AV12+AV13</f>
        <v>1627412.8776937188</v>
      </c>
      <c r="AW14" s="663">
        <f>+AW12+AW13</f>
        <v>404961.34085723059</v>
      </c>
      <c r="AY14" s="1031" t="s">
        <v>573</v>
      </c>
      <c r="AZ14" s="537">
        <v>42410.989442606005</v>
      </c>
      <c r="BA14" s="537">
        <v>10553.444296261678</v>
      </c>
      <c r="BC14" s="1192" t="s">
        <v>466</v>
      </c>
      <c r="BD14" s="1186">
        <v>6.1784570000000008</v>
      </c>
      <c r="BE14" s="1200">
        <v>771.78971272616377</v>
      </c>
      <c r="BF14" s="1201">
        <v>192.05021737834946</v>
      </c>
      <c r="BH14" s="674" t="s">
        <v>536</v>
      </c>
      <c r="BI14" s="708"/>
      <c r="BJ14" s="708"/>
      <c r="BK14" s="708"/>
      <c r="BL14" s="943">
        <v>883294</v>
      </c>
      <c r="BM14" s="943">
        <f t="shared" si="0"/>
        <v>883294</v>
      </c>
    </row>
    <row r="15" spans="1:70" ht="14.5" x14ac:dyDescent="0.35">
      <c r="A15" s="724" t="s">
        <v>519</v>
      </c>
      <c r="B15" s="726" t="s">
        <v>685</v>
      </c>
      <c r="C15" s="725">
        <v>84714</v>
      </c>
      <c r="D15" s="725"/>
      <c r="E15" s="705"/>
      <c r="F15" s="530" t="s">
        <v>976</v>
      </c>
      <c r="G15" s="537">
        <v>1000</v>
      </c>
      <c r="I15" s="530" t="s">
        <v>595</v>
      </c>
      <c r="J15" s="537">
        <v>17803.28</v>
      </c>
      <c r="L15" s="530" t="s">
        <v>596</v>
      </c>
      <c r="M15" s="626">
        <v>359.13</v>
      </c>
      <c r="O15" s="530" t="s">
        <v>614</v>
      </c>
      <c r="P15" s="1113">
        <v>7639.0300000000007</v>
      </c>
      <c r="R15" s="591" t="s">
        <v>876</v>
      </c>
      <c r="S15" s="537">
        <v>57919.759999999995</v>
      </c>
      <c r="U15" s="1170" t="s">
        <v>590</v>
      </c>
      <c r="V15" s="609">
        <v>3473976.28</v>
      </c>
      <c r="AB15" s="591" t="s">
        <v>869</v>
      </c>
      <c r="AC15" s="627"/>
      <c r="AD15" s="627"/>
      <c r="AE15" s="1124"/>
      <c r="AF15" s="559"/>
      <c r="AG15" s="559"/>
      <c r="AH15" s="530" t="s">
        <v>466</v>
      </c>
      <c r="AI15" s="555">
        <v>57757.46</v>
      </c>
      <c r="AK15" s="704" t="s">
        <v>521</v>
      </c>
      <c r="AL15" s="537">
        <v>375803.35000000003</v>
      </c>
      <c r="AM15" s="537">
        <v>13702530.800930675</v>
      </c>
      <c r="AN15" s="537">
        <v>3409703.4147512256</v>
      </c>
      <c r="AO15" s="869" t="s">
        <v>558</v>
      </c>
      <c r="AQ15" s="1130" t="s">
        <v>569</v>
      </c>
      <c r="AR15" s="626">
        <v>302173.69538253336</v>
      </c>
      <c r="AS15" s="626">
        <v>75192.14486449759</v>
      </c>
      <c r="AY15" s="530" t="s">
        <v>1122</v>
      </c>
      <c r="AZ15" s="537">
        <v>717657.91464253457</v>
      </c>
      <c r="BA15" s="537">
        <v>178580.19644179102</v>
      </c>
      <c r="BC15" s="1192" t="s">
        <v>559</v>
      </c>
      <c r="BD15" s="1186">
        <v>0</v>
      </c>
      <c r="BE15" s="1200">
        <v>1873.7368561349163</v>
      </c>
      <c r="BF15" s="1201">
        <v>466.25598216312784</v>
      </c>
      <c r="BH15" s="674" t="s">
        <v>534</v>
      </c>
      <c r="BI15" s="877"/>
      <c r="BJ15" s="877"/>
      <c r="BK15" s="877"/>
      <c r="BL15" s="878">
        <v>0</v>
      </c>
      <c r="BM15" s="943">
        <f t="shared" ref="BM15:BM20" si="1">SUM(BI15:BL15)</f>
        <v>0</v>
      </c>
      <c r="BO15" s="555"/>
      <c r="BP15" s="555"/>
      <c r="BQ15" s="555"/>
      <c r="BR15" s="555"/>
    </row>
    <row r="16" spans="1:70" ht="14.5" x14ac:dyDescent="0.35">
      <c r="A16" s="572" t="s">
        <v>430</v>
      </c>
      <c r="B16" s="572" t="s">
        <v>222</v>
      </c>
      <c r="C16" s="662">
        <v>736339.77</v>
      </c>
      <c r="F16" s="530" t="s">
        <v>589</v>
      </c>
      <c r="G16" s="555">
        <v>335113.46999999986</v>
      </c>
      <c r="I16" s="530" t="s">
        <v>877</v>
      </c>
      <c r="J16" s="626"/>
      <c r="L16" s="530" t="s">
        <v>595</v>
      </c>
      <c r="M16" s="537">
        <v>39606.19</v>
      </c>
      <c r="O16" s="530" t="s">
        <v>886</v>
      </c>
      <c r="P16" s="1113">
        <v>108.07</v>
      </c>
      <c r="R16" s="591" t="s">
        <v>886</v>
      </c>
      <c r="S16" s="537">
        <v>21250.560000000001</v>
      </c>
      <c r="U16" s="530" t="s">
        <v>614</v>
      </c>
      <c r="V16" s="537">
        <v>17095.25</v>
      </c>
      <c r="X16" s="565"/>
      <c r="Y16" s="547"/>
      <c r="Z16" s="547"/>
      <c r="AB16" s="530" t="s">
        <v>588</v>
      </c>
      <c r="AC16" s="670"/>
      <c r="AD16" s="670"/>
      <c r="AE16" s="1124">
        <v>27795.32</v>
      </c>
      <c r="AG16" s="559"/>
      <c r="AH16" s="530" t="s">
        <v>467</v>
      </c>
      <c r="AI16" s="555">
        <v>105812.51</v>
      </c>
      <c r="AK16" s="704" t="s">
        <v>522</v>
      </c>
      <c r="AL16" s="537">
        <v>113069.33089600004</v>
      </c>
      <c r="AM16" s="537">
        <v>6741802.3728718348</v>
      </c>
      <c r="AN16" s="537">
        <v>1677613.201993146</v>
      </c>
      <c r="AO16" s="869" t="s">
        <v>558</v>
      </c>
      <c r="AQ16" s="1131" t="s">
        <v>1103</v>
      </c>
      <c r="AR16" s="626">
        <v>7047.8388342445596</v>
      </c>
      <c r="AS16" s="626">
        <v>1753.766547863389</v>
      </c>
      <c r="AY16" s="530" t="s">
        <v>623</v>
      </c>
      <c r="AZ16" s="537">
        <v>124608.56751743096</v>
      </c>
      <c r="BA16" s="537">
        <v>31007.283570023799</v>
      </c>
      <c r="BC16" s="1193" t="s">
        <v>548</v>
      </c>
      <c r="BD16" s="1187">
        <v>5.1614409999999999</v>
      </c>
      <c r="BE16" s="1202">
        <v>639.56884689405138</v>
      </c>
      <c r="BF16" s="1203">
        <v>159.14870857834765</v>
      </c>
      <c r="BH16" s="765" t="s">
        <v>642</v>
      </c>
      <c r="BL16" s="943">
        <v>0</v>
      </c>
      <c r="BM16" s="943">
        <f t="shared" si="1"/>
        <v>0</v>
      </c>
      <c r="BO16" s="722"/>
      <c r="BP16" s="722"/>
      <c r="BQ16" s="722"/>
      <c r="BR16" s="722"/>
    </row>
    <row r="17" spans="1:68" ht="14.5" x14ac:dyDescent="0.35">
      <c r="A17" s="572" t="s">
        <v>453</v>
      </c>
      <c r="B17" s="572" t="s">
        <v>77</v>
      </c>
      <c r="C17" s="1022">
        <v>19801.640000000003</v>
      </c>
      <c r="F17" s="530" t="s">
        <v>882</v>
      </c>
      <c r="G17" s="537">
        <v>1000</v>
      </c>
      <c r="I17" s="530" t="s">
        <v>597</v>
      </c>
      <c r="J17" s="537">
        <v>100044.11000000002</v>
      </c>
      <c r="L17" s="530" t="s">
        <v>597</v>
      </c>
      <c r="M17" s="537">
        <v>1840.6</v>
      </c>
      <c r="O17" s="530" t="s">
        <v>982</v>
      </c>
      <c r="P17" s="1113">
        <v>153.47</v>
      </c>
      <c r="R17" s="591" t="s">
        <v>1132</v>
      </c>
      <c r="S17" s="537"/>
      <c r="U17" s="591" t="s">
        <v>876</v>
      </c>
      <c r="V17" s="537">
        <v>-260.93</v>
      </c>
      <c r="X17" s="653"/>
      <c r="Y17" s="654"/>
      <c r="Z17" s="655"/>
      <c r="AB17" s="530" t="s">
        <v>980</v>
      </c>
      <c r="AC17" s="1253"/>
      <c r="AD17" s="670"/>
      <c r="AE17" s="1253"/>
      <c r="AF17" s="559"/>
      <c r="AG17" s="559"/>
      <c r="AH17" s="530" t="s">
        <v>559</v>
      </c>
      <c r="AI17" s="555">
        <v>56407.13</v>
      </c>
      <c r="AK17" s="721" t="s">
        <v>678</v>
      </c>
      <c r="AL17" s="1210">
        <v>56183.929426957671</v>
      </c>
      <c r="AM17" s="1210">
        <f>BE42</f>
        <v>1771061.1033976646</v>
      </c>
      <c r="AN17" s="1210">
        <f>BF42</f>
        <v>440706.4052414266</v>
      </c>
      <c r="AO17" s="869" t="s">
        <v>558</v>
      </c>
      <c r="AQ17" s="1130" t="s">
        <v>570</v>
      </c>
      <c r="AR17" s="626">
        <v>97133.469329394633</v>
      </c>
      <c r="AS17" s="626">
        <v>24170.449011986544</v>
      </c>
      <c r="AX17" s="537"/>
      <c r="AY17" s="530" t="s">
        <v>633</v>
      </c>
      <c r="AZ17" s="537">
        <v>3100396.7068572463</v>
      </c>
      <c r="BA17" s="537">
        <v>771494.94440374419</v>
      </c>
      <c r="BC17" s="1194" t="s">
        <v>706</v>
      </c>
      <c r="BD17" s="1188">
        <v>1667.058672000001</v>
      </c>
      <c r="BE17" s="1204">
        <v>235113.29287031174</v>
      </c>
      <c r="BF17" s="1204">
        <v>58505.002411587855</v>
      </c>
      <c r="BH17" s="674" t="s">
        <v>533</v>
      </c>
      <c r="BI17" s="877">
        <v>4334030</v>
      </c>
      <c r="BJ17" s="877"/>
      <c r="BK17" s="877"/>
      <c r="BL17" s="877">
        <f>121819+167327</f>
        <v>289146</v>
      </c>
      <c r="BM17" s="943">
        <f>SUM(BI17:BL17)</f>
        <v>4623176</v>
      </c>
    </row>
    <row r="18" spans="1:68" ht="14.5" x14ac:dyDescent="0.35">
      <c r="A18" s="572" t="s">
        <v>431</v>
      </c>
      <c r="B18" s="572" t="s">
        <v>686</v>
      </c>
      <c r="C18" s="662">
        <v>231815.97</v>
      </c>
      <c r="F18" s="530" t="s">
        <v>702</v>
      </c>
      <c r="G18" s="537">
        <v>83119.879999999976</v>
      </c>
      <c r="I18" s="530" t="s">
        <v>598</v>
      </c>
      <c r="J18" s="537">
        <v>914.73</v>
      </c>
      <c r="L18" s="530" t="s">
        <v>598</v>
      </c>
      <c r="M18" s="537">
        <v>165</v>
      </c>
      <c r="O18" s="530" t="s">
        <v>984</v>
      </c>
      <c r="P18" s="1113">
        <v>28175</v>
      </c>
      <c r="R18" s="591" t="s">
        <v>889</v>
      </c>
      <c r="S18" s="537">
        <v>8888.59</v>
      </c>
      <c r="U18" s="530" t="s">
        <v>886</v>
      </c>
      <c r="V18" s="537">
        <v>1101.44</v>
      </c>
      <c r="X18" s="653"/>
      <c r="Y18" s="654"/>
      <c r="Z18" s="655"/>
      <c r="AB18" s="530" t="s">
        <v>589</v>
      </c>
      <c r="AC18" s="627"/>
      <c r="AD18" s="878">
        <v>0</v>
      </c>
      <c r="AE18" s="1147">
        <v>128498.19</v>
      </c>
      <c r="AF18" s="559"/>
      <c r="AG18" s="559"/>
      <c r="AH18" s="530" t="s">
        <v>468</v>
      </c>
      <c r="AI18" s="555">
        <v>4759.84</v>
      </c>
      <c r="AK18" s="704" t="s">
        <v>523</v>
      </c>
      <c r="AL18" s="537">
        <v>13028.180000000004</v>
      </c>
      <c r="AM18" s="537">
        <v>309859.91386534728</v>
      </c>
      <c r="AN18" s="537">
        <v>77104.764203809318</v>
      </c>
      <c r="AO18" s="871"/>
      <c r="AQ18" s="1130" t="s">
        <v>834</v>
      </c>
      <c r="AR18" s="626"/>
      <c r="AS18" s="626"/>
      <c r="AU18" s="1260"/>
      <c r="AV18" s="647"/>
      <c r="AW18" s="647"/>
      <c r="AX18" s="537"/>
      <c r="AY18" s="530" t="s">
        <v>1123</v>
      </c>
      <c r="AZ18" s="537">
        <v>189688.06541860997</v>
      </c>
      <c r="BA18" s="537">
        <v>47201.502685289255</v>
      </c>
      <c r="BC18" s="1195" t="s">
        <v>483</v>
      </c>
      <c r="BD18" s="1189">
        <v>107.40810999999999</v>
      </c>
      <c r="BE18" s="1205">
        <v>17979.199666409197</v>
      </c>
      <c r="BF18" s="1205">
        <v>4473.8989744059336</v>
      </c>
      <c r="BH18" s="674" t="s">
        <v>646</v>
      </c>
      <c r="BI18" s="877"/>
      <c r="BJ18" s="877"/>
      <c r="BK18" s="877"/>
      <c r="BL18" s="878">
        <v>4567160</v>
      </c>
      <c r="BM18" s="943">
        <f t="shared" si="1"/>
        <v>4567160</v>
      </c>
      <c r="BN18" s="537"/>
    </row>
    <row r="19" spans="1:68" ht="14.5" x14ac:dyDescent="0.35">
      <c r="A19" s="1037" t="s">
        <v>687</v>
      </c>
      <c r="B19" s="1037" t="s">
        <v>682</v>
      </c>
      <c r="C19" s="1171">
        <f>+C61</f>
        <v>81034</v>
      </c>
      <c r="F19" s="530" t="s">
        <v>614</v>
      </c>
      <c r="G19" s="537">
        <v>8079.74</v>
      </c>
      <c r="I19" s="530" t="s">
        <v>599</v>
      </c>
      <c r="J19" s="537">
        <v>1003.96</v>
      </c>
      <c r="L19" s="530" t="s">
        <v>599</v>
      </c>
      <c r="M19" s="537">
        <v>3641.4700000000003</v>
      </c>
      <c r="O19" s="530" t="s">
        <v>988</v>
      </c>
      <c r="P19" s="1113">
        <v>460</v>
      </c>
      <c r="R19" s="591" t="s">
        <v>984</v>
      </c>
      <c r="S19" s="537"/>
      <c r="U19" s="530" t="s">
        <v>593</v>
      </c>
      <c r="V19" s="537">
        <v>1407.63</v>
      </c>
      <c r="X19" s="653"/>
      <c r="Y19" s="654"/>
      <c r="Z19" s="655"/>
      <c r="AB19" s="530" t="s">
        <v>1098</v>
      </c>
      <c r="AC19" s="670"/>
      <c r="AD19" s="670">
        <v>76447.16</v>
      </c>
      <c r="AE19" s="1124">
        <v>8079.74</v>
      </c>
      <c r="AF19" s="559"/>
      <c r="AG19" s="559"/>
      <c r="AH19" s="530" t="s">
        <v>469</v>
      </c>
      <c r="AI19" s="555">
        <v>14829.73</v>
      </c>
      <c r="AK19" s="704" t="s">
        <v>524</v>
      </c>
      <c r="AL19" s="537">
        <v>4119.7489109999988</v>
      </c>
      <c r="AM19" s="537">
        <v>135319.86669994783</v>
      </c>
      <c r="AN19" s="537">
        <v>33672.656407322502</v>
      </c>
      <c r="AO19" s="871"/>
      <c r="AQ19" s="1014" t="s">
        <v>619</v>
      </c>
      <c r="AR19" s="537">
        <v>355428.76449622947</v>
      </c>
      <c r="AS19" s="537">
        <v>88444.002761977987</v>
      </c>
      <c r="AU19" s="616"/>
      <c r="AV19" s="555"/>
      <c r="AW19" s="555"/>
      <c r="AX19" s="537"/>
      <c r="AY19" s="530" t="s">
        <v>578</v>
      </c>
      <c r="AZ19" s="537">
        <v>695333.64412253897</v>
      </c>
      <c r="BA19" s="537">
        <v>173025.08092848098</v>
      </c>
      <c r="BC19" s="1195" t="s">
        <v>485</v>
      </c>
      <c r="BD19" s="1189">
        <v>125.37655000000004</v>
      </c>
      <c r="BE19" s="1205">
        <v>16407.429245377363</v>
      </c>
      <c r="BF19" s="1205">
        <v>4082.7835629789288</v>
      </c>
      <c r="BH19" s="674" t="s">
        <v>537</v>
      </c>
      <c r="BI19" s="877"/>
      <c r="BJ19" s="877"/>
      <c r="BK19" s="877"/>
      <c r="BL19" s="877">
        <v>207686.7</v>
      </c>
      <c r="BM19" s="943">
        <f t="shared" si="1"/>
        <v>207686.7</v>
      </c>
    </row>
    <row r="20" spans="1:68" ht="14.5" x14ac:dyDescent="0.35">
      <c r="A20" s="1035" t="s">
        <v>419</v>
      </c>
      <c r="B20" s="1035" t="s">
        <v>412</v>
      </c>
      <c r="C20" s="1109">
        <f>728699+B75</f>
        <v>1014373.2005232786</v>
      </c>
      <c r="D20" s="802">
        <f>SUM(C20:C22)</f>
        <v>1426125.104424834</v>
      </c>
      <c r="E20" s="705" t="s">
        <v>831</v>
      </c>
      <c r="F20" s="591" t="s">
        <v>874</v>
      </c>
      <c r="G20" s="537">
        <v>1078.01</v>
      </c>
      <c r="I20" s="530" t="s">
        <v>600</v>
      </c>
      <c r="J20" s="537">
        <v>5474.7400000000007</v>
      </c>
      <c r="L20" s="530" t="s">
        <v>600</v>
      </c>
      <c r="M20" s="537">
        <v>44469</v>
      </c>
      <c r="O20" s="530" t="s">
        <v>876</v>
      </c>
      <c r="P20" s="1116">
        <v>-67.5</v>
      </c>
      <c r="R20" s="530" t="s">
        <v>595</v>
      </c>
      <c r="S20" s="537">
        <v>12151.960000000001</v>
      </c>
      <c r="U20" s="591" t="s">
        <v>1132</v>
      </c>
      <c r="V20" s="537"/>
      <c r="X20" s="653"/>
      <c r="Y20" s="656"/>
      <c r="Z20" s="657"/>
      <c r="AB20" s="591" t="s">
        <v>874</v>
      </c>
      <c r="AC20" s="536"/>
      <c r="AD20" s="1257"/>
      <c r="AE20" s="1257">
        <v>26</v>
      </c>
      <c r="AF20" s="559"/>
      <c r="AG20" s="559"/>
      <c r="AH20" s="530" t="s">
        <v>470</v>
      </c>
      <c r="AI20" s="555">
        <v>1910.77</v>
      </c>
      <c r="AK20" s="704" t="s">
        <v>1127</v>
      </c>
      <c r="AL20" s="537">
        <v>1868.0699999999995</v>
      </c>
      <c r="AM20" s="537">
        <v>45740.275068376235</v>
      </c>
      <c r="AN20" s="537">
        <v>11381.895385464835</v>
      </c>
      <c r="AO20" s="871"/>
      <c r="AQ20" s="1130" t="s">
        <v>571</v>
      </c>
      <c r="AR20" s="626">
        <v>2572324.096907502</v>
      </c>
      <c r="AS20" s="626">
        <v>640090.67992583138</v>
      </c>
      <c r="AU20" s="616"/>
      <c r="AV20" s="555"/>
      <c r="AW20" s="555"/>
      <c r="AX20" s="537"/>
      <c r="AY20" s="530" t="s">
        <v>624</v>
      </c>
      <c r="AZ20" s="537">
        <v>63386.299338606543</v>
      </c>
      <c r="BA20" s="537">
        <v>15772.887829495741</v>
      </c>
      <c r="BC20" s="1196" t="s">
        <v>487</v>
      </c>
      <c r="BD20" s="1190">
        <v>100.21691999999999</v>
      </c>
      <c r="BE20" s="1206">
        <v>13691.96982041372</v>
      </c>
      <c r="BF20" s="1206">
        <v>3407.07544683384</v>
      </c>
      <c r="BH20" s="674" t="s">
        <v>538</v>
      </c>
      <c r="BI20" s="877"/>
      <c r="BJ20" s="877"/>
      <c r="BK20" s="877"/>
      <c r="BL20" s="877">
        <v>42462</v>
      </c>
      <c r="BM20" s="943">
        <f t="shared" si="1"/>
        <v>42462</v>
      </c>
    </row>
    <row r="21" spans="1:68" ht="14.5" x14ac:dyDescent="0.35">
      <c r="A21" s="1036" t="s">
        <v>422</v>
      </c>
      <c r="B21" s="1034" t="s">
        <v>684</v>
      </c>
      <c r="C21" s="1109">
        <f>J43</f>
        <v>315582.41390155553</v>
      </c>
      <c r="D21" s="705"/>
      <c r="E21" s="705"/>
      <c r="F21" s="530" t="s">
        <v>592</v>
      </c>
      <c r="G21" s="537"/>
      <c r="I21" s="530" t="s">
        <v>868</v>
      </c>
      <c r="J21" s="537">
        <v>119.5</v>
      </c>
      <c r="L21" s="530" t="s">
        <v>868</v>
      </c>
      <c r="M21" s="537">
        <v>422.26</v>
      </c>
      <c r="O21" s="530" t="s">
        <v>597</v>
      </c>
      <c r="P21" s="1113">
        <v>21076</v>
      </c>
      <c r="R21" s="530" t="s">
        <v>596</v>
      </c>
      <c r="S21" s="537">
        <v>4620.4799999999996</v>
      </c>
      <c r="U21" s="591" t="s">
        <v>1134</v>
      </c>
      <c r="V21" s="537"/>
      <c r="X21" s="547"/>
      <c r="Y21" s="658"/>
      <c r="Z21" s="547"/>
      <c r="AB21" s="530" t="s">
        <v>881</v>
      </c>
      <c r="AC21" s="536"/>
      <c r="AD21" s="536"/>
      <c r="AE21" s="1125">
        <v>-1583.04</v>
      </c>
      <c r="AF21" s="559"/>
      <c r="AG21" s="559"/>
      <c r="AH21" s="530" t="s">
        <v>471</v>
      </c>
      <c r="AI21" s="555">
        <v>1625.6</v>
      </c>
      <c r="AJ21" s="667"/>
      <c r="AK21" s="1028" t="s">
        <v>525</v>
      </c>
      <c r="AL21" s="1030">
        <v>236872.07235300003</v>
      </c>
      <c r="AM21" s="1030">
        <v>9006499.1308662947</v>
      </c>
      <c r="AN21" s="1030">
        <v>2241154.6660696366</v>
      </c>
      <c r="AO21" s="871"/>
      <c r="AQ21" s="1131" t="s">
        <v>1117</v>
      </c>
      <c r="AR21" s="626">
        <v>6043.405953460684</v>
      </c>
      <c r="AS21" s="626">
        <v>1503.8259877396654</v>
      </c>
      <c r="AU21" s="530"/>
      <c r="AV21" s="555"/>
      <c r="AW21" s="555"/>
      <c r="AY21" s="530" t="s">
        <v>1124</v>
      </c>
      <c r="AZ21" s="537">
        <v>19619.653785639504</v>
      </c>
      <c r="BA21" s="537">
        <v>4882.1054651151117</v>
      </c>
      <c r="BC21" s="1023" t="s">
        <v>734</v>
      </c>
      <c r="BD21" s="1182">
        <v>712.35658000000001</v>
      </c>
      <c r="BE21" s="1207">
        <v>15726.56823480572</v>
      </c>
      <c r="BF21" s="1207">
        <v>3913.359815902993</v>
      </c>
      <c r="BH21" s="674" t="s">
        <v>539</v>
      </c>
      <c r="BI21" s="877"/>
      <c r="BJ21" s="877"/>
      <c r="BK21" s="877"/>
      <c r="BL21" s="877">
        <v>899205</v>
      </c>
      <c r="BM21" s="943">
        <f>SUM(BI21:BL21)</f>
        <v>899205</v>
      </c>
      <c r="BN21" s="537"/>
    </row>
    <row r="22" spans="1:68" ht="15" thickBot="1" x14ac:dyDescent="0.4">
      <c r="A22" s="1038" t="s">
        <v>422</v>
      </c>
      <c r="B22" s="1038" t="s">
        <v>683</v>
      </c>
      <c r="C22" s="1110">
        <f>+J44</f>
        <v>96169.49000000002</v>
      </c>
      <c r="D22" s="715">
        <f>SUM(C16:C22)</f>
        <v>2495116.4844248341</v>
      </c>
      <c r="E22" s="705"/>
      <c r="F22" s="591" t="s">
        <v>876</v>
      </c>
      <c r="G22" s="537">
        <v>4888.6200000000081</v>
      </c>
      <c r="I22" s="530" t="s">
        <v>601</v>
      </c>
      <c r="J22" s="537">
        <v>11483.96</v>
      </c>
      <c r="L22" s="530" t="s">
        <v>601</v>
      </c>
      <c r="M22" s="537">
        <v>1352.0300000000002</v>
      </c>
      <c r="O22" s="530" t="s">
        <v>598</v>
      </c>
      <c r="P22" s="1113">
        <v>583.01</v>
      </c>
      <c r="R22" s="591" t="s">
        <v>877</v>
      </c>
      <c r="S22" s="537">
        <v>32065.74</v>
      </c>
      <c r="U22" s="591" t="s">
        <v>997</v>
      </c>
      <c r="AB22" s="530" t="s">
        <v>592</v>
      </c>
      <c r="AC22" s="1253"/>
      <c r="AD22" s="670"/>
      <c r="AE22" s="1124"/>
      <c r="AF22" s="559"/>
      <c r="AG22" s="559"/>
      <c r="AH22" s="530" t="s">
        <v>472</v>
      </c>
      <c r="AI22" s="555">
        <v>6476.64</v>
      </c>
      <c r="AJ22" s="667"/>
      <c r="AK22" s="704"/>
      <c r="AL22" s="537"/>
      <c r="AM22" s="538"/>
      <c r="AN22" s="537"/>
      <c r="AO22" s="872"/>
      <c r="AQ22" s="1131" t="s">
        <v>1107</v>
      </c>
      <c r="AR22" s="626">
        <v>191272.43734457836</v>
      </c>
      <c r="AS22" s="626">
        <v>47595.753823614963</v>
      </c>
      <c r="AU22" s="530"/>
      <c r="AV22" s="555"/>
      <c r="AW22" s="555"/>
      <c r="AY22" s="1031" t="s">
        <v>1085</v>
      </c>
      <c r="AZ22" s="537">
        <v>70862.629313743673</v>
      </c>
      <c r="BA22" s="537">
        <v>17633.279038709486</v>
      </c>
      <c r="BC22" s="754" t="s">
        <v>742</v>
      </c>
      <c r="BD22" s="1183">
        <v>82.75</v>
      </c>
      <c r="BE22" s="608">
        <v>1848.4638934193686</v>
      </c>
      <c r="BF22" s="608">
        <v>459.96712147571162</v>
      </c>
      <c r="BH22" s="674" t="s">
        <v>535</v>
      </c>
      <c r="BI22" s="941">
        <v>24094776</v>
      </c>
      <c r="BJ22" s="941">
        <v>482708</v>
      </c>
      <c r="BK22" s="1215">
        <v>0</v>
      </c>
      <c r="BL22" s="1215">
        <v>0</v>
      </c>
      <c r="BM22" s="941">
        <f>SUM(BI22:BL22)</f>
        <v>24577484</v>
      </c>
      <c r="BN22" s="547"/>
    </row>
    <row r="23" spans="1:68" ht="13" x14ac:dyDescent="0.3">
      <c r="A23" s="727" t="s">
        <v>522</v>
      </c>
      <c r="B23" s="727" t="s">
        <v>688</v>
      </c>
      <c r="C23" s="725">
        <v>761694.65999999992</v>
      </c>
      <c r="D23" s="705"/>
      <c r="E23" s="705"/>
      <c r="F23" s="530" t="s">
        <v>593</v>
      </c>
      <c r="G23" s="537">
        <v>452.72</v>
      </c>
      <c r="I23" s="530" t="s">
        <v>867</v>
      </c>
      <c r="J23" s="626"/>
      <c r="L23" s="530" t="s">
        <v>867</v>
      </c>
      <c r="M23" s="537">
        <v>945.64</v>
      </c>
      <c r="O23" s="530" t="s">
        <v>887</v>
      </c>
      <c r="P23" s="1113">
        <v>3970.47</v>
      </c>
      <c r="R23" s="591" t="s">
        <v>887</v>
      </c>
      <c r="S23" s="537">
        <v>56832.53</v>
      </c>
      <c r="U23" s="530" t="s">
        <v>594</v>
      </c>
      <c r="V23" s="537">
        <v>1813.5</v>
      </c>
      <c r="AB23" s="530" t="s">
        <v>886</v>
      </c>
      <c r="AC23">
        <v>642.71</v>
      </c>
      <c r="AF23" s="559"/>
      <c r="AG23" s="559"/>
      <c r="AH23" s="530" t="s">
        <v>706</v>
      </c>
      <c r="AI23" s="555"/>
      <c r="AJ23" s="667"/>
      <c r="AK23" s="561" t="s">
        <v>828</v>
      </c>
      <c r="AL23" s="946">
        <f>SUM(AL5:AL22)</f>
        <v>1881302.1139980005</v>
      </c>
      <c r="AM23" s="614">
        <f>SUM(AM5:AM22)</f>
        <v>79054160.001928911</v>
      </c>
      <c r="AN23" s="614">
        <f>SUM(AN5:AN22)</f>
        <v>19671638.709263355</v>
      </c>
      <c r="AO23" s="873"/>
      <c r="AQ23" s="1131" t="s">
        <v>1104</v>
      </c>
      <c r="AR23" s="626">
        <v>389960.60551605065</v>
      </c>
      <c r="AS23" s="626">
        <v>97036.819516305855</v>
      </c>
      <c r="AU23" s="616"/>
      <c r="AV23" s="555"/>
      <c r="AW23" s="555"/>
      <c r="AX23" s="537"/>
      <c r="AY23" s="1134"/>
      <c r="AZ23" s="537"/>
      <c r="BA23" s="537"/>
      <c r="BC23" s="754" t="s">
        <v>747</v>
      </c>
      <c r="BD23" s="1183">
        <v>495.00779999999997</v>
      </c>
      <c r="BE23" s="608">
        <v>11519.764171307175</v>
      </c>
      <c r="BF23" s="608">
        <v>2866.5492384346276</v>
      </c>
      <c r="BM23" s="534"/>
      <c r="BN23" s="547"/>
    </row>
    <row r="24" spans="1:68" ht="15" thickBot="1" x14ac:dyDescent="0.4">
      <c r="A24" s="592" t="s">
        <v>586</v>
      </c>
      <c r="B24" s="592" t="s">
        <v>76</v>
      </c>
      <c r="C24" s="662">
        <v>2973.11</v>
      </c>
      <c r="F24" s="530" t="s">
        <v>977</v>
      </c>
      <c r="G24" s="537">
        <v>53664</v>
      </c>
      <c r="I24" s="591" t="s">
        <v>871</v>
      </c>
      <c r="J24" s="537">
        <v>90.9</v>
      </c>
      <c r="L24" s="591" t="s">
        <v>871</v>
      </c>
      <c r="M24" s="537">
        <v>1109.3400000000001</v>
      </c>
      <c r="O24" s="530" t="s">
        <v>883</v>
      </c>
      <c r="P24" s="626"/>
      <c r="R24" s="591" t="s">
        <v>864</v>
      </c>
      <c r="S24" s="537">
        <v>104.96</v>
      </c>
      <c r="U24" s="530" t="s">
        <v>595</v>
      </c>
      <c r="V24" s="537">
        <v>5780.0599999999995</v>
      </c>
      <c r="AB24" s="591" t="s">
        <v>1135</v>
      </c>
      <c r="AC24" s="1126"/>
      <c r="AD24" s="670"/>
      <c r="AE24" s="1124"/>
      <c r="AF24" s="559"/>
      <c r="AG24" s="559"/>
      <c r="AH24" s="530" t="s">
        <v>483</v>
      </c>
      <c r="AI24" s="555">
        <v>12844.22</v>
      </c>
      <c r="AJ24" s="667"/>
      <c r="AK24" s="703"/>
      <c r="AL24" s="560"/>
      <c r="AM24" s="560"/>
      <c r="AN24" s="560"/>
      <c r="AO24" s="869"/>
      <c r="AQ24" s="1130" t="s">
        <v>572</v>
      </c>
      <c r="AR24" s="626">
        <v>426444.01092606311</v>
      </c>
      <c r="AS24" s="626">
        <v>106115.25866127198</v>
      </c>
      <c r="AU24" s="616"/>
      <c r="AV24" s="555"/>
      <c r="AW24" s="537"/>
      <c r="AX24" s="537"/>
      <c r="AY24" s="1134"/>
      <c r="AZ24" s="537"/>
      <c r="BA24" s="537"/>
      <c r="BC24" s="754" t="s">
        <v>753</v>
      </c>
      <c r="BD24" s="1183">
        <v>367.20032600000002</v>
      </c>
      <c r="BE24" s="608">
        <v>8331.1037457477705</v>
      </c>
      <c r="BF24" s="608">
        <v>2073.0909715301273</v>
      </c>
      <c r="BH24" s="607" t="s">
        <v>564</v>
      </c>
      <c r="BI24" s="577">
        <f>SUM(BI5:BI22)</f>
        <v>98713821</v>
      </c>
      <c r="BJ24" s="577">
        <f>SUM(BJ5:BJ22)</f>
        <v>9320542</v>
      </c>
      <c r="BK24" s="577">
        <f>SUM(BK5:BK22)</f>
        <v>50554383</v>
      </c>
      <c r="BL24" s="577">
        <f>SUM(BL5:BL22)</f>
        <v>20406470.699999999</v>
      </c>
      <c r="BM24" s="577">
        <f>SUM(BM5:BM22)</f>
        <v>178995216.69999999</v>
      </c>
      <c r="BN24" s="1216"/>
      <c r="BO24" s="626"/>
      <c r="BP24" s="537"/>
    </row>
    <row r="25" spans="1:68" ht="15" customHeight="1" thickTop="1" x14ac:dyDescent="0.3">
      <c r="A25" s="572" t="s">
        <v>454</v>
      </c>
      <c r="B25" s="572" t="s">
        <v>77</v>
      </c>
      <c r="C25" s="1022">
        <v>23228.49</v>
      </c>
      <c r="F25" s="530" t="s">
        <v>595</v>
      </c>
      <c r="G25" s="537">
        <v>141669.04999999999</v>
      </c>
      <c r="I25" s="530" t="s">
        <v>602</v>
      </c>
      <c r="J25" s="537">
        <v>2326.0700000000002</v>
      </c>
      <c r="L25" s="530" t="s">
        <v>602</v>
      </c>
      <c r="M25" s="537">
        <v>5959.7</v>
      </c>
      <c r="O25" s="530" t="s">
        <v>600</v>
      </c>
      <c r="P25" s="1113">
        <v>1911.67</v>
      </c>
      <c r="R25" s="530" t="s">
        <v>599</v>
      </c>
      <c r="S25" s="537">
        <v>63165.16</v>
      </c>
      <c r="U25" s="530" t="s">
        <v>596</v>
      </c>
      <c r="V25" s="537">
        <v>336.86</v>
      </c>
      <c r="AB25" s="701" t="s">
        <v>1133</v>
      </c>
      <c r="AC25" s="1253"/>
      <c r="AD25" s="536"/>
      <c r="AE25" s="1124"/>
      <c r="AF25" s="559"/>
      <c r="AG25" s="559"/>
      <c r="AH25" s="530" t="s">
        <v>484</v>
      </c>
      <c r="AI25" s="555">
        <v>5538</v>
      </c>
      <c r="AJ25" s="667"/>
      <c r="AK25" s="703" t="s">
        <v>829</v>
      </c>
      <c r="AL25" s="703"/>
      <c r="AM25" s="743">
        <f>C4</f>
        <v>79054160.120000258</v>
      </c>
      <c r="AN25" s="743">
        <f>C5</f>
        <v>19671639.269999985</v>
      </c>
      <c r="AO25" s="869"/>
      <c r="AQ25" s="1131" t="s">
        <v>1105</v>
      </c>
      <c r="AR25" s="626">
        <v>28053.947967528358</v>
      </c>
      <c r="AS25" s="626">
        <v>6980.8740860949292</v>
      </c>
      <c r="AU25" s="616"/>
      <c r="AV25" s="555"/>
      <c r="AW25" s="537"/>
      <c r="AX25" s="537"/>
      <c r="BC25" s="754" t="s">
        <v>778</v>
      </c>
      <c r="BD25" s="1183">
        <v>314.375</v>
      </c>
      <c r="BE25" s="608">
        <v>8151.6047515616638</v>
      </c>
      <c r="BF25" s="608">
        <v>2028.424891788186</v>
      </c>
      <c r="BN25" s="547"/>
    </row>
    <row r="26" spans="1:68" ht="15" customHeight="1" x14ac:dyDescent="0.3">
      <c r="A26" s="572" t="s">
        <v>432</v>
      </c>
      <c r="B26" s="572" t="s">
        <v>689</v>
      </c>
      <c r="C26" s="662">
        <v>102232.73</v>
      </c>
      <c r="F26" s="530" t="s">
        <v>596</v>
      </c>
      <c r="G26" s="537">
        <v>884.22</v>
      </c>
      <c r="I26" s="530" t="s">
        <v>603</v>
      </c>
      <c r="J26" s="538"/>
      <c r="L26" s="530" t="s">
        <v>603</v>
      </c>
      <c r="M26" s="537"/>
      <c r="O26" s="530" t="s">
        <v>987</v>
      </c>
      <c r="P26" s="1113">
        <v>78.8</v>
      </c>
      <c r="R26" s="530" t="s">
        <v>600</v>
      </c>
      <c r="S26" s="537">
        <v>38486.36</v>
      </c>
      <c r="U26" s="530" t="s">
        <v>877</v>
      </c>
      <c r="V26" s="708"/>
      <c r="AB26" s="530" t="s">
        <v>595</v>
      </c>
      <c r="AC26" s="670"/>
      <c r="AD26" s="670"/>
      <c r="AE26" s="1124">
        <v>45394.46</v>
      </c>
      <c r="AF26" s="559"/>
      <c r="AG26" s="559"/>
      <c r="AH26" s="530" t="s">
        <v>485</v>
      </c>
      <c r="AI26" s="555">
        <v>11062.79</v>
      </c>
      <c r="AJ26" s="667"/>
      <c r="AK26" s="744"/>
      <c r="AL26" s="744"/>
      <c r="AM26" s="744">
        <f>AM23-AM25</f>
        <v>-0.11807134747505188</v>
      </c>
      <c r="AN26" s="878">
        <f>AN23-AN25</f>
        <v>-0.56073663011193275</v>
      </c>
      <c r="AO26" s="848"/>
      <c r="AQ26" s="1130" t="s">
        <v>638</v>
      </c>
      <c r="AR26" s="626">
        <v>346186.33510323719</v>
      </c>
      <c r="AS26" s="626">
        <v>86144.139800915189</v>
      </c>
      <c r="AX26" s="537"/>
      <c r="AY26" s="534" t="s">
        <v>545</v>
      </c>
      <c r="AZ26" s="682">
        <f>SUM(AZ4:AZ24)</f>
        <v>6741802.3728718385</v>
      </c>
      <c r="BA26" s="682">
        <f>SUM(BA4:BA24)</f>
        <v>1677613.2019931457</v>
      </c>
      <c r="BC26" s="754" t="s">
        <v>780</v>
      </c>
      <c r="BD26" s="1183">
        <v>358.98531200000002</v>
      </c>
      <c r="BE26" s="608">
        <v>9166.7104374780902</v>
      </c>
      <c r="BF26" s="608">
        <v>2281.0212459863124</v>
      </c>
      <c r="BH26" s="534"/>
      <c r="BI26" s="534"/>
      <c r="BJ26" s="534"/>
      <c r="BK26" s="534"/>
      <c r="BL26" s="534"/>
      <c r="BM26" s="586"/>
    </row>
    <row r="27" spans="1:68" ht="15" customHeight="1" x14ac:dyDescent="0.3">
      <c r="A27" s="1036" t="s">
        <v>690</v>
      </c>
      <c r="B27" s="1036" t="s">
        <v>682</v>
      </c>
      <c r="C27" s="1171">
        <f>+C62</f>
        <v>382483</v>
      </c>
      <c r="F27" s="530" t="s">
        <v>597</v>
      </c>
      <c r="G27" s="537">
        <v>137103.27000000005</v>
      </c>
      <c r="I27" s="530" t="s">
        <v>604</v>
      </c>
      <c r="J27" s="537">
        <v>8258.5999999999985</v>
      </c>
      <c r="L27" s="530" t="s">
        <v>604</v>
      </c>
      <c r="M27" s="537">
        <v>29735.310000000009</v>
      </c>
      <c r="O27" s="530" t="s">
        <v>885</v>
      </c>
      <c r="P27" s="1113">
        <v>273.77</v>
      </c>
      <c r="R27" s="591" t="s">
        <v>885</v>
      </c>
      <c r="S27" s="537">
        <v>22258.39</v>
      </c>
      <c r="U27" s="530" t="s">
        <v>597</v>
      </c>
      <c r="V27" s="537">
        <v>960.3</v>
      </c>
      <c r="AB27" s="530" t="s">
        <v>596</v>
      </c>
      <c r="AC27" s="670"/>
      <c r="AD27" s="670"/>
      <c r="AE27" s="1124"/>
      <c r="AF27" s="559"/>
      <c r="AG27" s="559"/>
      <c r="AH27" s="530" t="s">
        <v>486</v>
      </c>
      <c r="AI27" s="555">
        <v>14372.81</v>
      </c>
      <c r="AJ27" s="667"/>
      <c r="AK27" s="745"/>
      <c r="AL27" s="745"/>
      <c r="AM27" s="702"/>
      <c r="AN27" s="702"/>
      <c r="AQ27" s="1130" t="s">
        <v>573</v>
      </c>
      <c r="AR27" s="626">
        <v>1535011.4413949114</v>
      </c>
      <c r="AS27" s="626">
        <v>381968.39908222924</v>
      </c>
      <c r="AU27" s="701"/>
      <c r="AV27" s="626"/>
      <c r="AW27" s="626"/>
      <c r="AX27" s="537"/>
      <c r="AY27" s="613" t="s">
        <v>479</v>
      </c>
      <c r="AZ27" s="683">
        <f>+BE42</f>
        <v>1771061.1033976646</v>
      </c>
      <c r="BA27" s="683">
        <f>+BF42</f>
        <v>440706.4052414266</v>
      </c>
      <c r="BC27" s="754" t="s">
        <v>796</v>
      </c>
      <c r="BD27" s="1183">
        <v>529.17202499999996</v>
      </c>
      <c r="BE27" s="608">
        <v>13935.015975496672</v>
      </c>
      <c r="BF27" s="608">
        <v>3467.5544427921786</v>
      </c>
      <c r="BI27" s="555"/>
      <c r="BJ27" s="555"/>
      <c r="BK27" s="555"/>
      <c r="BL27" s="555"/>
      <c r="BM27" s="555"/>
    </row>
    <row r="28" spans="1:68" ht="15" customHeight="1" thickBot="1" x14ac:dyDescent="0.4">
      <c r="A28" s="571" t="s">
        <v>420</v>
      </c>
      <c r="B28" s="571" t="s">
        <v>413</v>
      </c>
      <c r="C28" s="1173">
        <f>964090+B76</f>
        <v>2521246.6955776578</v>
      </c>
      <c r="D28" s="802">
        <f>SUM(C28:C30)</f>
        <v>4741323.3465162981</v>
      </c>
      <c r="E28" s="705" t="s">
        <v>831</v>
      </c>
      <c r="F28" s="530" t="s">
        <v>598</v>
      </c>
      <c r="G28" s="537">
        <v>24258.87</v>
      </c>
      <c r="I28" s="530" t="s">
        <v>880</v>
      </c>
      <c r="J28" s="626"/>
      <c r="L28" s="530" t="s">
        <v>635</v>
      </c>
      <c r="M28" s="537"/>
      <c r="O28" s="530" t="s">
        <v>989</v>
      </c>
      <c r="P28" s="1113">
        <v>3474.98</v>
      </c>
      <c r="R28" s="591" t="s">
        <v>868</v>
      </c>
      <c r="S28" s="537">
        <v>257991.35</v>
      </c>
      <c r="U28" s="530" t="s">
        <v>598</v>
      </c>
      <c r="V28" s="537">
        <v>94898.96</v>
      </c>
      <c r="AB28" s="701" t="s">
        <v>1011</v>
      </c>
      <c r="AC28" s="1253">
        <v>2078.37</v>
      </c>
      <c r="AD28" s="670"/>
      <c r="AE28" s="1124"/>
      <c r="AF28" s="559"/>
      <c r="AG28" s="559"/>
      <c r="AH28" s="530" t="s">
        <v>487</v>
      </c>
      <c r="AI28" s="555">
        <v>13754.46</v>
      </c>
      <c r="AJ28" s="667"/>
      <c r="AK28" s="1211"/>
      <c r="AL28" s="1212"/>
      <c r="AM28" s="1213"/>
      <c r="AN28" s="1150"/>
      <c r="AQ28" s="1130" t="s">
        <v>574</v>
      </c>
      <c r="AR28" s="626">
        <v>409940.69631996797</v>
      </c>
      <c r="AS28" s="626">
        <v>102008.6152254992</v>
      </c>
      <c r="AU28" s="701"/>
      <c r="AV28" s="626"/>
      <c r="AW28" s="626"/>
      <c r="AX28" s="537"/>
      <c r="AY28" s="552" t="s">
        <v>579</v>
      </c>
      <c r="AZ28" s="663">
        <f>+AZ26+AZ27</f>
        <v>8512863.4762695022</v>
      </c>
      <c r="BA28" s="663">
        <f>+BA26+BA27</f>
        <v>2118319.6072345725</v>
      </c>
      <c r="BC28" s="754" t="s">
        <v>804</v>
      </c>
      <c r="BD28" s="1183">
        <v>178.053245</v>
      </c>
      <c r="BE28" s="608">
        <v>3937.8753566428377</v>
      </c>
      <c r="BF28" s="608">
        <v>979.89103220974403</v>
      </c>
      <c r="BH28" s="674" t="s">
        <v>1184</v>
      </c>
      <c r="BI28" s="943">
        <v>11707549</v>
      </c>
      <c r="BJ28" s="943">
        <v>1664201</v>
      </c>
      <c r="BK28" s="943">
        <v>6256454</v>
      </c>
      <c r="BL28" s="943">
        <v>8919058</v>
      </c>
      <c r="BM28" s="943">
        <f>SUM(BI28:BL28)</f>
        <v>28547262</v>
      </c>
    </row>
    <row r="29" spans="1:68" ht="15" customHeight="1" thickTop="1" x14ac:dyDescent="0.3">
      <c r="A29" s="1036" t="s">
        <v>422</v>
      </c>
      <c r="B29" s="1034" t="s">
        <v>684</v>
      </c>
      <c r="C29" s="1109">
        <f>M43</f>
        <v>1720180.7790596175</v>
      </c>
      <c r="D29" s="705"/>
      <c r="E29" s="705"/>
      <c r="F29" s="530" t="s">
        <v>864</v>
      </c>
      <c r="G29" s="537">
        <v>17324.97</v>
      </c>
      <c r="I29" s="530" t="s">
        <v>879</v>
      </c>
      <c r="J29" s="626"/>
      <c r="L29" s="530" t="s">
        <v>717</v>
      </c>
      <c r="M29" s="537">
        <v>1564.9700000000003</v>
      </c>
      <c r="O29" s="530" t="s">
        <v>867</v>
      </c>
      <c r="P29" s="1113">
        <v>269.04000000000002</v>
      </c>
      <c r="R29" s="530" t="s">
        <v>601</v>
      </c>
      <c r="S29" s="537">
        <v>48816.420000000006</v>
      </c>
      <c r="U29" s="530" t="s">
        <v>887</v>
      </c>
      <c r="V29" s="537">
        <v>11146.86</v>
      </c>
      <c r="AB29" s="530" t="s">
        <v>597</v>
      </c>
      <c r="AC29" s="670"/>
      <c r="AD29" s="1253"/>
      <c r="AE29" s="1124">
        <v>31671.17</v>
      </c>
      <c r="AF29" s="559"/>
      <c r="AG29" s="559"/>
      <c r="AH29" s="530" t="s">
        <v>488</v>
      </c>
      <c r="AI29" s="555">
        <v>7023.14</v>
      </c>
      <c r="AJ29" s="667"/>
      <c r="AK29" s="796"/>
      <c r="AL29" s="550"/>
      <c r="AM29" s="797"/>
      <c r="AN29" s="702"/>
      <c r="AQ29" s="1131" t="s">
        <v>1106</v>
      </c>
      <c r="AR29" s="626">
        <v>1807.0418173197459</v>
      </c>
      <c r="AS29" s="626">
        <v>449.65975589669199</v>
      </c>
      <c r="AU29" s="701"/>
      <c r="AV29" s="626"/>
      <c r="AW29" s="626"/>
      <c r="AX29" s="537"/>
      <c r="AY29" s="616"/>
      <c r="AZ29" s="537"/>
      <c r="BA29" s="537"/>
      <c r="BC29" s="754" t="s">
        <v>971</v>
      </c>
      <c r="BD29" s="1183">
        <v>22.707055</v>
      </c>
      <c r="BE29" s="608">
        <v>3194.0867674947535</v>
      </c>
      <c r="BF29" s="608">
        <v>794.80854422884022</v>
      </c>
    </row>
    <row r="30" spans="1:68" ht="15" customHeight="1" x14ac:dyDescent="0.3">
      <c r="A30" s="1036" t="s">
        <v>422</v>
      </c>
      <c r="B30" s="1036" t="s">
        <v>683</v>
      </c>
      <c r="C30" s="1109">
        <f>+M44</f>
        <v>499895.8718790221</v>
      </c>
      <c r="D30" s="705"/>
      <c r="E30" s="705"/>
      <c r="F30" s="530" t="s">
        <v>599</v>
      </c>
      <c r="G30" s="537">
        <v>32723.16</v>
      </c>
      <c r="I30" s="530" t="s">
        <v>635</v>
      </c>
      <c r="J30" s="537"/>
      <c r="L30" s="530" t="s">
        <v>605</v>
      </c>
      <c r="M30" s="537"/>
      <c r="O30" s="591" t="s">
        <v>871</v>
      </c>
      <c r="P30" s="1113">
        <v>55.8</v>
      </c>
      <c r="R30" s="591" t="s">
        <v>867</v>
      </c>
      <c r="S30" s="537">
        <v>11196.740000000002</v>
      </c>
      <c r="U30" s="591" t="s">
        <v>999</v>
      </c>
      <c r="V30" s="537">
        <v>850</v>
      </c>
      <c r="AB30" s="530" t="s">
        <v>598</v>
      </c>
      <c r="AC30" s="971"/>
      <c r="AD30" s="536"/>
      <c r="AE30" s="1124"/>
      <c r="AF30" s="559"/>
      <c r="AG30" s="559"/>
      <c r="AH30" s="530" t="s">
        <v>489</v>
      </c>
      <c r="AI30" s="555">
        <v>6566.99</v>
      </c>
      <c r="AJ30" s="667"/>
      <c r="AK30" s="579"/>
      <c r="AL30" s="582" t="s">
        <v>526</v>
      </c>
      <c r="AM30" s="582" t="s">
        <v>527</v>
      </c>
      <c r="AN30" s="582" t="s">
        <v>448</v>
      </c>
      <c r="AQ30" s="1131" t="s">
        <v>575</v>
      </c>
      <c r="AR30" s="626">
        <v>39954.005771156655</v>
      </c>
      <c r="AS30" s="626">
        <v>9942.0546386693804</v>
      </c>
      <c r="AU30" s="701"/>
      <c r="AV30" s="626"/>
      <c r="AW30" s="626"/>
      <c r="AX30" s="537"/>
      <c r="AY30" s="616"/>
      <c r="AZ30" s="537"/>
      <c r="BA30" s="537"/>
      <c r="BC30" s="754" t="s">
        <v>972</v>
      </c>
      <c r="BD30" s="1183">
        <v>22.710540999999999</v>
      </c>
      <c r="BE30" s="608">
        <v>3194.5464576034587</v>
      </c>
      <c r="BF30" s="608">
        <v>794.92293236313094</v>
      </c>
    </row>
    <row r="31" spans="1:68" ht="15" customHeight="1" thickBot="1" x14ac:dyDescent="0.35">
      <c r="A31" s="714" t="s">
        <v>1163</v>
      </c>
      <c r="B31" s="714" t="s">
        <v>31</v>
      </c>
      <c r="C31" s="778">
        <v>0</v>
      </c>
      <c r="D31" s="715">
        <f>SUM(C24:C31)</f>
        <v>5252240.6765162982</v>
      </c>
      <c r="E31" s="705"/>
      <c r="F31" s="530" t="s">
        <v>600</v>
      </c>
      <c r="G31" s="555">
        <v>10698.5</v>
      </c>
      <c r="I31" s="530" t="s">
        <v>717</v>
      </c>
      <c r="J31" s="537">
        <v>190.98999999999998</v>
      </c>
      <c r="L31" s="530" t="s">
        <v>606</v>
      </c>
      <c r="M31" s="537"/>
      <c r="O31" s="530" t="s">
        <v>602</v>
      </c>
      <c r="P31" s="1113">
        <v>5816.9299999999994</v>
      </c>
      <c r="R31" s="591" t="s">
        <v>871</v>
      </c>
      <c r="S31" s="537">
        <v>4700.5</v>
      </c>
      <c r="U31" s="1028" t="s">
        <v>1013</v>
      </c>
      <c r="V31" s="708"/>
      <c r="AB31" s="530" t="s">
        <v>887</v>
      </c>
      <c r="AC31" s="627">
        <v>172.08</v>
      </c>
      <c r="AD31" s="627"/>
      <c r="AE31" s="1124"/>
      <c r="AF31" s="559"/>
      <c r="AG31" s="559"/>
      <c r="AH31" s="530" t="s">
        <v>490</v>
      </c>
      <c r="AI31" s="555">
        <v>175.07</v>
      </c>
      <c r="AJ31" s="667"/>
      <c r="AK31" s="648" t="s">
        <v>673</v>
      </c>
      <c r="AL31" s="670">
        <f>SUM(AL5:AL9)</f>
        <v>905700.17234402883</v>
      </c>
      <c r="AM31" s="537">
        <f>SUM(AM5:AM9)</f>
        <v>39160757.087257825</v>
      </c>
      <c r="AN31" s="537">
        <f>SUM(AN5:AN9)</f>
        <v>9744664.6246981677</v>
      </c>
      <c r="AQ31" s="1130" t="s">
        <v>620</v>
      </c>
      <c r="AR31" s="626">
        <v>140130.18391659684</v>
      </c>
      <c r="AS31" s="626">
        <v>34869.643684923132</v>
      </c>
      <c r="AU31" s="701"/>
      <c r="AV31" s="626"/>
      <c r="AW31" s="626"/>
      <c r="AX31" s="537"/>
      <c r="AY31" s="678"/>
      <c r="AZ31" s="626"/>
      <c r="BA31" s="626"/>
      <c r="BC31" s="754" t="s">
        <v>973</v>
      </c>
      <c r="BD31" s="1183">
        <v>22.707055</v>
      </c>
      <c r="BE31" s="608">
        <v>3194.0867674947535</v>
      </c>
      <c r="BF31" s="608">
        <v>794.80854422884022</v>
      </c>
    </row>
    <row r="32" spans="1:68" ht="15" customHeight="1" thickBot="1" x14ac:dyDescent="0.4">
      <c r="A32" s="728" t="s">
        <v>858</v>
      </c>
      <c r="B32" s="728" t="s">
        <v>414</v>
      </c>
      <c r="C32" s="1111">
        <f>P48</f>
        <v>216854.18000000005</v>
      </c>
      <c r="D32" s="792">
        <f>+C32</f>
        <v>216854.18000000005</v>
      </c>
      <c r="F32" s="530" t="s">
        <v>868</v>
      </c>
      <c r="G32" s="537">
        <v>24958.75</v>
      </c>
      <c r="I32" s="530" t="s">
        <v>605</v>
      </c>
      <c r="J32" s="538"/>
      <c r="K32" s="536"/>
      <c r="L32" s="530" t="s">
        <v>607</v>
      </c>
      <c r="M32" s="537">
        <v>162445.39000000001</v>
      </c>
      <c r="O32" s="530" t="s">
        <v>604</v>
      </c>
      <c r="P32" s="1113">
        <v>8833.01</v>
      </c>
      <c r="R32" s="591" t="s">
        <v>985</v>
      </c>
      <c r="S32" s="537"/>
      <c r="U32" s="530" t="s">
        <v>1000</v>
      </c>
      <c r="V32" s="537"/>
      <c r="AB32" s="530"/>
      <c r="AC32" s="1124"/>
      <c r="AD32" s="670"/>
      <c r="AE32" s="1258"/>
      <c r="AF32" s="559"/>
      <c r="AG32" s="559"/>
      <c r="AH32" s="530" t="s">
        <v>491</v>
      </c>
      <c r="AI32" s="555">
        <v>2139.36</v>
      </c>
      <c r="AJ32" s="667"/>
      <c r="AK32" s="648" t="s">
        <v>674</v>
      </c>
      <c r="AL32" s="670">
        <f>SUM(AL10:AL13)</f>
        <v>108973.51006701365</v>
      </c>
      <c r="AM32" s="537">
        <f>SUM(AM10:AM13)</f>
        <v>5140210.2144839335</v>
      </c>
      <c r="AN32" s="537">
        <f>SUM(AN10:AN13)</f>
        <v>1279076.7329834495</v>
      </c>
      <c r="AQ32" s="1130" t="s">
        <v>621</v>
      </c>
      <c r="AR32" s="626">
        <v>69209.503736734303</v>
      </c>
      <c r="AS32" s="626">
        <v>17221.919414211599</v>
      </c>
      <c r="AU32" s="701"/>
      <c r="AV32" s="626"/>
      <c r="AW32" s="626"/>
      <c r="AX32" s="537"/>
      <c r="AY32" s="678"/>
      <c r="AZ32" s="626"/>
      <c r="BA32" s="626"/>
      <c r="BC32" s="754" t="s">
        <v>974</v>
      </c>
      <c r="BD32" s="1183">
        <v>22.710540999999999</v>
      </c>
      <c r="BE32" s="608">
        <v>3194.5464576034587</v>
      </c>
      <c r="BF32" s="608">
        <v>794.92293236313094</v>
      </c>
    </row>
    <row r="33" spans="1:59" ht="15" customHeight="1" x14ac:dyDescent="0.3">
      <c r="A33" s="572" t="s">
        <v>433</v>
      </c>
      <c r="B33" s="572" t="s">
        <v>105</v>
      </c>
      <c r="C33" s="1039">
        <v>75896</v>
      </c>
      <c r="F33" s="530" t="s">
        <v>601</v>
      </c>
      <c r="G33" s="537">
        <v>115940.56999999999</v>
      </c>
      <c r="I33" s="530" t="s">
        <v>606</v>
      </c>
      <c r="J33" s="537"/>
      <c r="K33" s="536"/>
      <c r="L33" s="591" t="s">
        <v>875</v>
      </c>
      <c r="M33" s="537">
        <v>318391.87</v>
      </c>
      <c r="O33" s="530" t="s">
        <v>985</v>
      </c>
      <c r="P33" s="537"/>
      <c r="R33" s="530" t="s">
        <v>603</v>
      </c>
      <c r="S33" s="537"/>
      <c r="U33" s="530" t="s">
        <v>1002</v>
      </c>
      <c r="V33" s="537">
        <v>18905.88</v>
      </c>
      <c r="AB33" s="591" t="s">
        <v>1000</v>
      </c>
      <c r="AC33" s="670"/>
      <c r="AD33" s="670"/>
      <c r="AE33" s="1124"/>
      <c r="AF33" s="559"/>
      <c r="AG33" s="559"/>
      <c r="AH33" s="530" t="s">
        <v>492</v>
      </c>
      <c r="AI33" s="555">
        <v>4512.16</v>
      </c>
      <c r="AJ33" s="667"/>
      <c r="AK33" s="648" t="s">
        <v>675</v>
      </c>
      <c r="AL33" s="947">
        <f>SUM(AL14:AL17)</f>
        <v>610740.36032295774</v>
      </c>
      <c r="AM33" s="801">
        <f>SUM(AM14:AM17)</f>
        <v>25255773.513687197</v>
      </c>
      <c r="AN33" s="801">
        <f>SUM(AN14:AN17)</f>
        <v>6284583.3695154982</v>
      </c>
      <c r="AQ33" s="1130" t="s">
        <v>894</v>
      </c>
      <c r="AR33" s="626">
        <v>65824.995338340057</v>
      </c>
      <c r="AS33" s="626">
        <v>16379.726828702122</v>
      </c>
      <c r="AU33" s="701"/>
      <c r="AV33" s="626"/>
      <c r="AW33" s="626"/>
      <c r="AX33" s="537"/>
      <c r="AY33" s="701"/>
      <c r="AZ33" s="626"/>
      <c r="BA33" s="626"/>
      <c r="BC33" s="1197" t="s">
        <v>1170</v>
      </c>
      <c r="BD33" s="1184">
        <v>0</v>
      </c>
      <c r="BE33" s="847">
        <v>-5.6805124772378995E-14</v>
      </c>
      <c r="BF33" s="847">
        <v>-1.4135244848243257E-14</v>
      </c>
    </row>
    <row r="34" spans="1:59" ht="15" customHeight="1" x14ac:dyDescent="0.3">
      <c r="A34" s="572" t="s">
        <v>434</v>
      </c>
      <c r="B34" s="572" t="s">
        <v>106</v>
      </c>
      <c r="C34" s="1148">
        <v>0</v>
      </c>
      <c r="D34" s="1174" t="s">
        <v>1164</v>
      </c>
      <c r="F34" s="530" t="s">
        <v>867</v>
      </c>
      <c r="G34" s="537">
        <v>45698.84</v>
      </c>
      <c r="I34" s="530" t="s">
        <v>607</v>
      </c>
      <c r="J34" s="537">
        <v>54789</v>
      </c>
      <c r="L34" s="530" t="s">
        <v>866</v>
      </c>
      <c r="M34" s="537"/>
      <c r="O34" s="530" t="s">
        <v>986</v>
      </c>
      <c r="P34" s="1113">
        <v>958.33999999999992</v>
      </c>
      <c r="R34" s="591" t="s">
        <v>890</v>
      </c>
      <c r="S34" s="537">
        <v>6823.2</v>
      </c>
      <c r="U34" s="530" t="s">
        <v>600</v>
      </c>
      <c r="V34" s="537">
        <v>3184.33</v>
      </c>
      <c r="AB34" s="530" t="s">
        <v>599</v>
      </c>
      <c r="AC34" s="670"/>
      <c r="AD34" s="1126"/>
      <c r="AE34" s="1124">
        <v>-69.94</v>
      </c>
      <c r="AF34" s="559"/>
      <c r="AG34" s="559"/>
      <c r="AH34" s="530" t="s">
        <v>493</v>
      </c>
      <c r="AI34" s="555">
        <v>2310.8000000000002</v>
      </c>
      <c r="AJ34" s="667"/>
      <c r="AK34" s="718" t="s">
        <v>825</v>
      </c>
      <c r="AL34" s="670">
        <f>SUM(AL31:AL33)</f>
        <v>1625414.0427340004</v>
      </c>
      <c r="AM34" s="537">
        <f>SUM(AM31:AM33)</f>
        <v>69556740.815428957</v>
      </c>
      <c r="AN34" s="537">
        <f>SUM(AN31:AN33)</f>
        <v>17308324.727197114</v>
      </c>
      <c r="AQ34" s="1130" t="s">
        <v>446</v>
      </c>
      <c r="AR34" s="626">
        <v>259404.22760124324</v>
      </c>
      <c r="AS34" s="626">
        <v>64549.497717077764</v>
      </c>
      <c r="AU34" s="701"/>
      <c r="AV34" s="626"/>
      <c r="AW34" s="626"/>
      <c r="AX34" s="537"/>
      <c r="AY34" s="701"/>
      <c r="AZ34" s="626"/>
      <c r="BA34" s="626"/>
      <c r="BC34" s="530" t="s">
        <v>549</v>
      </c>
      <c r="BD34" s="537">
        <v>384.56258300000002</v>
      </c>
      <c r="BE34" s="537">
        <v>45572.268326907753</v>
      </c>
      <c r="BF34" s="537">
        <v>11340.089009080159</v>
      </c>
    </row>
    <row r="35" spans="1:59" ht="15" customHeight="1" x14ac:dyDescent="0.3">
      <c r="A35" s="572" t="s">
        <v>435</v>
      </c>
      <c r="B35" s="572" t="s">
        <v>167</v>
      </c>
      <c r="C35" s="1039">
        <v>1112968.48</v>
      </c>
      <c r="F35" s="591" t="s">
        <v>871</v>
      </c>
      <c r="G35" s="537">
        <v>11414.960000000003</v>
      </c>
      <c r="I35" s="591" t="s">
        <v>875</v>
      </c>
      <c r="J35" s="537">
        <v>141951.85</v>
      </c>
      <c r="L35" s="530" t="s">
        <v>608</v>
      </c>
      <c r="M35" s="626"/>
      <c r="O35" s="530" t="s">
        <v>879</v>
      </c>
      <c r="P35" s="1113">
        <v>-113.77000000000001</v>
      </c>
      <c r="R35" s="591"/>
      <c r="S35" s="537"/>
      <c r="U35" s="591" t="s">
        <v>885</v>
      </c>
      <c r="V35" s="537">
        <v>29174.309999999998</v>
      </c>
      <c r="AB35" s="530" t="s">
        <v>600</v>
      </c>
      <c r="AC35" s="536"/>
      <c r="AD35" s="536"/>
      <c r="AE35" s="1124">
        <v>1969</v>
      </c>
      <c r="AF35" s="559"/>
      <c r="AG35" s="559"/>
      <c r="AH35" s="530" t="s">
        <v>494</v>
      </c>
      <c r="AI35" s="555">
        <v>3877.89</v>
      </c>
      <c r="AJ35" s="667"/>
      <c r="AK35" s="579"/>
      <c r="AL35" s="627"/>
      <c r="AQ35" s="1130" t="s">
        <v>639</v>
      </c>
      <c r="AR35" s="626">
        <v>64345.562669578532</v>
      </c>
      <c r="AS35" s="626">
        <v>16011.588512076112</v>
      </c>
      <c r="AU35" s="701"/>
      <c r="AV35" s="626"/>
      <c r="AW35" s="626"/>
      <c r="AX35" s="537"/>
      <c r="AY35" s="701"/>
      <c r="AZ35" s="626"/>
      <c r="BA35" s="626"/>
      <c r="BC35" s="530" t="s">
        <v>550</v>
      </c>
      <c r="BD35" s="537">
        <v>101.43674400000003</v>
      </c>
      <c r="BE35" s="537">
        <v>20394.501436914885</v>
      </c>
      <c r="BF35" s="537">
        <v>5074.9166122563493</v>
      </c>
    </row>
    <row r="36" spans="1:59" ht="15" customHeight="1" x14ac:dyDescent="0.3">
      <c r="A36" s="572" t="s">
        <v>436</v>
      </c>
      <c r="B36" s="572" t="s">
        <v>108</v>
      </c>
      <c r="C36" s="1039">
        <v>634312.69000000006</v>
      </c>
      <c r="F36" s="530" t="s">
        <v>602</v>
      </c>
      <c r="G36" s="537">
        <v>223406.25</v>
      </c>
      <c r="H36" s="702"/>
      <c r="I36" s="530" t="s">
        <v>866</v>
      </c>
      <c r="J36" s="537">
        <v>5371.56</v>
      </c>
      <c r="K36" s="702"/>
      <c r="L36" s="530" t="s">
        <v>610</v>
      </c>
      <c r="M36" s="537">
        <v>36210.520000000004</v>
      </c>
      <c r="O36" s="530" t="s">
        <v>717</v>
      </c>
      <c r="P36" s="1113">
        <v>350.19</v>
      </c>
      <c r="R36" s="591" t="s">
        <v>879</v>
      </c>
      <c r="S36" s="537">
        <v>23987.62</v>
      </c>
      <c r="U36" s="591" t="s">
        <v>868</v>
      </c>
      <c r="V36" s="537"/>
      <c r="AB36" s="530" t="s">
        <v>885</v>
      </c>
      <c r="AC36" s="1124">
        <v>25151.32</v>
      </c>
      <c r="AD36" s="670"/>
      <c r="AE36" s="1124"/>
      <c r="AF36" s="559"/>
      <c r="AG36" s="559"/>
      <c r="AH36" s="530" t="s">
        <v>495</v>
      </c>
      <c r="AI36" s="555">
        <v>1662.34</v>
      </c>
      <c r="AJ36" s="667"/>
      <c r="AK36" s="718" t="s">
        <v>826</v>
      </c>
      <c r="AL36" s="945">
        <f>SUM(AL18:AL21)</f>
        <v>255888.07126400003</v>
      </c>
      <c r="AM36" s="800">
        <f>SUM(AM18:AM21)</f>
        <v>9497419.1864999663</v>
      </c>
      <c r="AN36" s="800">
        <f>SUM(AN18:AN21)</f>
        <v>2363313.9820662332</v>
      </c>
      <c r="AQ36" s="1130" t="s">
        <v>842</v>
      </c>
      <c r="AR36" s="626">
        <v>103632.62804584666</v>
      </c>
      <c r="AS36" s="626">
        <v>25787.683374779692</v>
      </c>
      <c r="AU36" s="701"/>
      <c r="AV36" s="626"/>
      <c r="AW36" s="626"/>
      <c r="AX36" s="537"/>
      <c r="AY36" s="701"/>
      <c r="AZ36" s="626"/>
      <c r="BA36" s="626"/>
      <c r="BC36" s="530"/>
      <c r="BD36" s="530"/>
      <c r="BE36" s="537"/>
      <c r="BF36" s="537"/>
    </row>
    <row r="37" spans="1:59" ht="15" customHeight="1" thickBot="1" x14ac:dyDescent="0.35">
      <c r="A37" s="572" t="s">
        <v>437</v>
      </c>
      <c r="B37" s="572" t="s">
        <v>109</v>
      </c>
      <c r="C37" s="1039">
        <v>1683120.63</v>
      </c>
      <c r="F37" s="530" t="s">
        <v>603</v>
      </c>
      <c r="G37" s="537"/>
      <c r="H37" s="702"/>
      <c r="I37" s="530" t="s">
        <v>608</v>
      </c>
      <c r="J37" s="537">
        <v>1287.1199999999999</v>
      </c>
      <c r="K37" s="702"/>
      <c r="L37" s="530" t="s">
        <v>873</v>
      </c>
      <c r="M37" s="537"/>
      <c r="N37" s="536"/>
      <c r="O37" s="530" t="s">
        <v>605</v>
      </c>
      <c r="P37" s="1113">
        <v>75</v>
      </c>
      <c r="R37" s="530" t="s">
        <v>605</v>
      </c>
      <c r="S37" s="537">
        <v>2032.5700000000002</v>
      </c>
      <c r="U37" s="530" t="s">
        <v>601</v>
      </c>
      <c r="V37" s="537">
        <v>2761.96</v>
      </c>
      <c r="AB37" s="591" t="s">
        <v>868</v>
      </c>
      <c r="AC37" s="1255"/>
      <c r="AD37" s="670"/>
      <c r="AE37" s="1124">
        <v>3905.7</v>
      </c>
      <c r="AF37" s="559"/>
      <c r="AG37" s="559"/>
      <c r="AH37" s="530" t="s">
        <v>496</v>
      </c>
      <c r="AI37" s="555">
        <v>3914.44</v>
      </c>
      <c r="AJ37" s="667"/>
      <c r="AK37" s="718" t="s">
        <v>827</v>
      </c>
      <c r="AL37" s="944">
        <f>SUM(AL34:AL36)</f>
        <v>1881302.1139980005</v>
      </c>
      <c r="AM37" s="799">
        <f>SUM(AM34:AM36)</f>
        <v>79054160.001928926</v>
      </c>
      <c r="AN37" s="799">
        <f>SUM(AN34:AN36)</f>
        <v>19671638.709263347</v>
      </c>
      <c r="AQ37" s="1130" t="s">
        <v>632</v>
      </c>
      <c r="AR37" s="626">
        <v>106199.28778127517</v>
      </c>
      <c r="AS37" s="626">
        <v>26426.364549194615</v>
      </c>
      <c r="AU37" s="701"/>
      <c r="AV37" s="626"/>
      <c r="AW37" s="626"/>
      <c r="AX37" s="537"/>
      <c r="AY37" s="701"/>
      <c r="AZ37" s="626"/>
      <c r="BA37" s="626"/>
      <c r="BC37" s="530"/>
      <c r="BD37" s="530"/>
      <c r="BE37" s="537"/>
      <c r="BF37" s="537"/>
    </row>
    <row r="38" spans="1:59" ht="15" customHeight="1" thickTop="1" thickBot="1" x14ac:dyDescent="0.35">
      <c r="A38" s="572" t="s">
        <v>438</v>
      </c>
      <c r="B38" s="572" t="s">
        <v>111</v>
      </c>
      <c r="C38" s="1112">
        <v>3003446.03</v>
      </c>
      <c r="F38" s="530" t="s">
        <v>604</v>
      </c>
      <c r="G38" s="537">
        <v>221354.84999999998</v>
      </c>
      <c r="H38" s="702"/>
      <c r="I38" s="530" t="s">
        <v>610</v>
      </c>
      <c r="J38" s="537">
        <v>10624.199999999999</v>
      </c>
      <c r="K38" s="702"/>
      <c r="L38" s="530" t="s">
        <v>612</v>
      </c>
      <c r="M38" s="537">
        <v>5422.33</v>
      </c>
      <c r="N38" s="536"/>
      <c r="O38" s="530" t="s">
        <v>606</v>
      </c>
      <c r="P38" s="1113">
        <v>14.29</v>
      </c>
      <c r="R38" s="530" t="s">
        <v>606</v>
      </c>
      <c r="S38" s="537">
        <v>73635.89</v>
      </c>
      <c r="U38" s="591" t="s">
        <v>867</v>
      </c>
      <c r="V38" s="537"/>
      <c r="AB38" s="530" t="s">
        <v>601</v>
      </c>
      <c r="AC38" s="1255"/>
      <c r="AD38" s="670"/>
      <c r="AE38" s="1124">
        <v>21857.69</v>
      </c>
      <c r="AF38" s="559"/>
      <c r="AG38" s="559"/>
      <c r="AH38" s="530" t="s">
        <v>497</v>
      </c>
      <c r="AI38" s="555">
        <v>1134.6400000000001</v>
      </c>
      <c r="AJ38" s="667"/>
      <c r="AK38" s="560"/>
      <c r="AL38" s="560"/>
      <c r="AQ38" s="1130" t="s">
        <v>843</v>
      </c>
      <c r="AR38" s="626"/>
      <c r="AS38" s="626"/>
      <c r="AU38" s="701"/>
      <c r="AV38" s="626"/>
      <c r="AW38" s="626"/>
      <c r="AX38" s="537"/>
      <c r="AY38" s="701"/>
      <c r="AZ38" s="626"/>
      <c r="BA38" s="626"/>
      <c r="BC38" s="534" t="s">
        <v>546</v>
      </c>
      <c r="BD38" s="534"/>
      <c r="BE38" s="576">
        <f>SUM(BE4:BE35)</f>
        <v>4582198.6983851194</v>
      </c>
      <c r="BF38" s="576">
        <f>SUM(BF4:BF35)</f>
        <v>1140222.8373674715</v>
      </c>
    </row>
    <row r="39" spans="1:59" ht="16.5" customHeight="1" thickTop="1" thickBot="1" x14ac:dyDescent="0.35">
      <c r="A39" s="711" t="s">
        <v>439</v>
      </c>
      <c r="B39" s="711" t="s">
        <v>451</v>
      </c>
      <c r="C39" s="1040">
        <v>334346.94</v>
      </c>
      <c r="D39" s="715">
        <f>SUM(C33:C39)</f>
        <v>6844090.7700000005</v>
      </c>
      <c r="E39" s="892" t="s">
        <v>857</v>
      </c>
      <c r="F39" s="530" t="s">
        <v>634</v>
      </c>
      <c r="G39" s="537"/>
      <c r="H39" s="702"/>
      <c r="I39" s="1141" t="s">
        <v>1099</v>
      </c>
      <c r="J39" s="626">
        <v>61497.1</v>
      </c>
      <c r="K39" s="702"/>
      <c r="L39" s="1043" t="s">
        <v>1022</v>
      </c>
      <c r="M39" s="537"/>
      <c r="O39" s="530" t="s">
        <v>607</v>
      </c>
      <c r="P39" s="1113">
        <v>1800</v>
      </c>
      <c r="R39" s="530" t="s">
        <v>616</v>
      </c>
      <c r="S39" s="537">
        <v>13138.32</v>
      </c>
      <c r="U39" s="591" t="s">
        <v>871</v>
      </c>
      <c r="V39" s="537">
        <v>10895.69</v>
      </c>
      <c r="AB39" s="530" t="s">
        <v>867</v>
      </c>
      <c r="AC39" s="670"/>
      <c r="AD39" s="670"/>
      <c r="AE39" s="1124">
        <v>14491.87</v>
      </c>
      <c r="AF39" s="559"/>
      <c r="AG39" s="559"/>
      <c r="AH39" s="530" t="s">
        <v>498</v>
      </c>
      <c r="AI39" s="555">
        <v>426.38</v>
      </c>
      <c r="AJ39" s="667"/>
      <c r="AQ39" s="1130" t="s">
        <v>844</v>
      </c>
      <c r="AR39" s="626">
        <v>280322.54591702763</v>
      </c>
      <c r="AS39" s="626">
        <v>69754.759608358348</v>
      </c>
      <c r="AU39" s="701"/>
      <c r="AV39" s="626"/>
      <c r="AW39" s="626"/>
      <c r="AX39" s="537"/>
      <c r="AY39" s="701"/>
      <c r="AZ39" s="626"/>
      <c r="BA39" s="626"/>
      <c r="BC39" s="534"/>
      <c r="BD39" s="564" t="s">
        <v>526</v>
      </c>
    </row>
    <row r="40" spans="1:59" ht="15" customHeight="1" x14ac:dyDescent="0.3">
      <c r="A40" s="572" t="s">
        <v>440</v>
      </c>
      <c r="B40" s="572" t="s">
        <v>119</v>
      </c>
      <c r="C40" s="1039">
        <v>152181.55999999997</v>
      </c>
      <c r="F40" s="530" t="s">
        <v>635</v>
      </c>
      <c r="G40" s="537"/>
      <c r="H40" s="702"/>
      <c r="I40" s="530" t="s">
        <v>865</v>
      </c>
      <c r="J40" s="537">
        <v>149.99</v>
      </c>
      <c r="K40" s="702"/>
      <c r="L40" s="530" t="s">
        <v>613</v>
      </c>
      <c r="M40" s="537"/>
      <c r="O40" s="530" t="s">
        <v>866</v>
      </c>
      <c r="P40" s="1113">
        <v>686.48</v>
      </c>
      <c r="R40" s="591" t="s">
        <v>888</v>
      </c>
      <c r="S40" s="537">
        <v>14460.89</v>
      </c>
      <c r="U40" s="530" t="s">
        <v>602</v>
      </c>
      <c r="V40" s="537">
        <v>1472.3899999999999</v>
      </c>
      <c r="AB40" s="591" t="s">
        <v>994</v>
      </c>
      <c r="AC40" s="670"/>
      <c r="AD40" s="670"/>
      <c r="AE40" s="1124">
        <v>346.77</v>
      </c>
      <c r="AF40" s="559"/>
      <c r="AG40" s="559"/>
      <c r="AH40" s="530" t="s">
        <v>499</v>
      </c>
      <c r="AI40" s="555">
        <v>4854</v>
      </c>
      <c r="AJ40" s="667"/>
      <c r="AK40" s="850" t="s">
        <v>847</v>
      </c>
      <c r="AL40" s="560"/>
      <c r="AQ40" s="1130" t="s">
        <v>895</v>
      </c>
      <c r="AR40" s="626">
        <v>4859.6339707024226</v>
      </c>
      <c r="AS40" s="626">
        <v>1209.2591350511441</v>
      </c>
      <c r="AU40" s="701"/>
      <c r="AV40" s="626"/>
      <c r="AW40" s="626"/>
      <c r="AX40" s="537"/>
      <c r="AY40" s="701"/>
      <c r="AZ40" s="626"/>
      <c r="BA40" s="626"/>
      <c r="BB40" s="534" t="s">
        <v>516</v>
      </c>
      <c r="BC40" s="551" t="s">
        <v>42</v>
      </c>
      <c r="BD40" s="575">
        <f>+$BD$43*Z4</f>
        <v>83181.864008258664</v>
      </c>
      <c r="BE40" s="733">
        <f>+BE38*Z4</f>
        <v>2486220.7345148404</v>
      </c>
      <c r="BF40" s="575">
        <f>+BF38*Z4</f>
        <v>618664.9350735097</v>
      </c>
    </row>
    <row r="41" spans="1:59" ht="15" customHeight="1" thickBot="1" x14ac:dyDescent="0.35">
      <c r="A41" s="572" t="s">
        <v>441</v>
      </c>
      <c r="B41" s="572" t="s">
        <v>120</v>
      </c>
      <c r="C41" s="1175">
        <v>105512.85</v>
      </c>
      <c r="F41" s="530" t="s">
        <v>717</v>
      </c>
      <c r="G41" s="537">
        <v>71382.399999999994</v>
      </c>
      <c r="I41" s="704" t="s">
        <v>425</v>
      </c>
      <c r="J41" s="707">
        <f>SUM(J4:J40)</f>
        <v>728698.55</v>
      </c>
      <c r="L41" s="704" t="s">
        <v>425</v>
      </c>
      <c r="M41" s="707">
        <f>SUM(M4:M40)</f>
        <v>964089.64</v>
      </c>
      <c r="O41" s="530" t="s">
        <v>983</v>
      </c>
      <c r="P41" s="1113">
        <v>1200</v>
      </c>
      <c r="R41" s="591" t="s">
        <v>983</v>
      </c>
      <c r="S41" s="537">
        <v>481237.28</v>
      </c>
      <c r="U41" s="530" t="s">
        <v>880</v>
      </c>
      <c r="V41" s="708">
        <v>5968.8599999999988</v>
      </c>
      <c r="AB41" s="530" t="s">
        <v>602</v>
      </c>
      <c r="AC41" s="878"/>
      <c r="AD41" s="627"/>
      <c r="AE41" s="1124">
        <v>99666.99</v>
      </c>
      <c r="AF41" s="559"/>
      <c r="AG41" s="559"/>
      <c r="AH41" s="530" t="s">
        <v>707</v>
      </c>
      <c r="AI41" s="555"/>
      <c r="AJ41" s="667"/>
      <c r="AK41" s="718" t="s">
        <v>528</v>
      </c>
      <c r="AL41" s="846">
        <f>+AL8+AL9</f>
        <v>518229.51253002882</v>
      </c>
      <c r="AM41" s="846">
        <f>+AM8+AM9</f>
        <v>14583232.645298686</v>
      </c>
      <c r="AN41" s="846">
        <f>+AN8+AN9</f>
        <v>3628855.0539444261</v>
      </c>
      <c r="AQ41" s="1131" t="s">
        <v>623</v>
      </c>
      <c r="AR41" s="626">
        <v>211318.1239283552</v>
      </c>
      <c r="AS41" s="626">
        <v>52583.872222231839</v>
      </c>
      <c r="AU41" s="701"/>
      <c r="AV41" s="626"/>
      <c r="AW41" s="626"/>
      <c r="AX41" s="537"/>
      <c r="AY41" s="701"/>
      <c r="AZ41" s="626"/>
      <c r="BA41" s="626"/>
      <c r="BC41" s="551" t="s">
        <v>24</v>
      </c>
      <c r="BD41" s="575">
        <f>+$BD$43*Z5</f>
        <v>10870.792655945514</v>
      </c>
      <c r="BE41" s="575">
        <f>+BE38*Z5</f>
        <v>324916.86047261464</v>
      </c>
      <c r="BF41" s="575">
        <f>+BF38*Z5</f>
        <v>80851.497052535298</v>
      </c>
    </row>
    <row r="42" spans="1:59" ht="15" customHeight="1" thickTop="1" x14ac:dyDescent="0.3">
      <c r="A42" s="572" t="s">
        <v>442</v>
      </c>
      <c r="B42" s="572" t="s">
        <v>121</v>
      </c>
      <c r="C42" s="1175">
        <v>10926.64</v>
      </c>
      <c r="F42" s="530" t="s">
        <v>605</v>
      </c>
      <c r="G42" s="537">
        <v>24309.06</v>
      </c>
      <c r="I42" s="701"/>
      <c r="J42" s="708"/>
      <c r="L42" s="1044"/>
      <c r="M42" s="570"/>
      <c r="O42" s="530" t="s">
        <v>990</v>
      </c>
      <c r="P42" s="1113">
        <v>1300</v>
      </c>
      <c r="R42" s="530" t="s">
        <v>609</v>
      </c>
      <c r="S42" s="537"/>
      <c r="U42" s="530" t="s">
        <v>604</v>
      </c>
      <c r="V42" s="537">
        <v>52995.59</v>
      </c>
      <c r="AB42" s="530" t="s">
        <v>603</v>
      </c>
      <c r="AC42" s="670"/>
      <c r="AD42" s="670"/>
      <c r="AE42" s="1124">
        <v>0</v>
      </c>
      <c r="AF42" s="559"/>
      <c r="AG42" s="559"/>
      <c r="AH42" s="530" t="s">
        <v>500</v>
      </c>
      <c r="AI42" s="555">
        <v>56885.82</v>
      </c>
      <c r="AJ42" s="667"/>
      <c r="AK42" s="560" t="s">
        <v>630</v>
      </c>
      <c r="AL42" s="793">
        <f>+AL12+AL13</f>
        <v>58791.600067013649</v>
      </c>
      <c r="AM42" s="793">
        <f>+AM12+AM13</f>
        <v>1627412.8796226147</v>
      </c>
      <c r="AN42" s="793">
        <f>+AN12+AN13</f>
        <v>404961.05012053531</v>
      </c>
      <c r="AQ42" s="1014" t="s">
        <v>1108</v>
      </c>
      <c r="AR42" s="626">
        <v>87532.451671822535</v>
      </c>
      <c r="AS42" s="626">
        <v>21781.355846081238</v>
      </c>
      <c r="AU42" s="701"/>
      <c r="AV42" s="626"/>
      <c r="AW42" s="626"/>
      <c r="AX42" s="537"/>
      <c r="AY42" s="701"/>
      <c r="AZ42" s="626"/>
      <c r="BA42" s="626"/>
      <c r="BC42" s="551" t="s">
        <v>43</v>
      </c>
      <c r="BD42" s="575">
        <f>+$BD$43*Z6</f>
        <v>59254.659816795815</v>
      </c>
      <c r="BE42" s="575">
        <f>+BE38*Z6</f>
        <v>1771061.1033976646</v>
      </c>
      <c r="BF42" s="575">
        <f>+BF38*Z6</f>
        <v>440706.4052414266</v>
      </c>
    </row>
    <row r="43" spans="1:59" ht="15" customHeight="1" thickBot="1" x14ac:dyDescent="0.35">
      <c r="A43" s="572" t="s">
        <v>443</v>
      </c>
      <c r="B43" s="572" t="s">
        <v>122</v>
      </c>
      <c r="C43" s="1039">
        <v>67108.09</v>
      </c>
      <c r="F43" s="530" t="s">
        <v>606</v>
      </c>
      <c r="G43" s="537"/>
      <c r="H43" s="702"/>
      <c r="I43" s="702" t="s">
        <v>555</v>
      </c>
      <c r="J43" s="740">
        <f>+V66</f>
        <v>315582.41390155553</v>
      </c>
      <c r="K43" s="702"/>
      <c r="L43" s="627" t="s">
        <v>662</v>
      </c>
      <c r="M43" s="740">
        <f>+V67</f>
        <v>1720180.7790596175</v>
      </c>
      <c r="O43" s="530" t="s">
        <v>608</v>
      </c>
      <c r="P43" s="1113">
        <v>18059.13</v>
      </c>
      <c r="R43" s="530" t="s">
        <v>610</v>
      </c>
      <c r="S43" s="537">
        <v>73169.150000000009</v>
      </c>
      <c r="U43" s="591" t="s">
        <v>998</v>
      </c>
      <c r="V43" s="1016"/>
      <c r="AB43" s="530" t="s">
        <v>604</v>
      </c>
      <c r="AC43" s="670"/>
      <c r="AD43" s="670"/>
      <c r="AE43" s="1124">
        <v>84564.62</v>
      </c>
      <c r="AF43" s="559"/>
      <c r="AG43" s="559"/>
      <c r="AH43" s="530" t="s">
        <v>501</v>
      </c>
      <c r="AI43" s="555">
        <v>59256.74</v>
      </c>
      <c r="AJ43" s="667"/>
      <c r="AK43" s="560" t="s">
        <v>714</v>
      </c>
      <c r="AL43" s="847">
        <f>+AL16+AL17</f>
        <v>169253.26032295771</v>
      </c>
      <c r="AM43" s="847">
        <f>+AM16+AM17</f>
        <v>8512863.4762694985</v>
      </c>
      <c r="AN43" s="847">
        <f>+AN16+AN17</f>
        <v>2118319.6072345725</v>
      </c>
      <c r="AQ43" s="1014" t="s">
        <v>1109</v>
      </c>
      <c r="AR43" s="626">
        <v>37874.467652007108</v>
      </c>
      <c r="AS43" s="626">
        <v>9424.5875861240238</v>
      </c>
      <c r="AU43" s="701"/>
      <c r="AV43" s="626"/>
      <c r="AW43" s="626"/>
      <c r="AX43" s="537"/>
      <c r="AY43" s="701"/>
      <c r="AZ43" s="626"/>
      <c r="BA43" s="626"/>
      <c r="BC43" s="551" t="s">
        <v>547</v>
      </c>
      <c r="BD43" s="706">
        <v>153307.31648099999</v>
      </c>
      <c r="BE43" s="576">
        <f>SUM(BE40:BE42)</f>
        <v>4582198.6983851194</v>
      </c>
      <c r="BF43" s="576">
        <f>SUM(BF40:BF42)</f>
        <v>1140222.8373674715</v>
      </c>
    </row>
    <row r="44" spans="1:59" ht="14" thickTop="1" thickBot="1" x14ac:dyDescent="0.35">
      <c r="A44" s="711" t="s">
        <v>421</v>
      </c>
      <c r="B44" s="711" t="s">
        <v>415</v>
      </c>
      <c r="C44" s="1041">
        <v>28567188.539999992</v>
      </c>
      <c r="D44" s="715">
        <f>SUM(C40:C44)</f>
        <v>28902917.679999992</v>
      </c>
      <c r="E44" s="892" t="s">
        <v>857</v>
      </c>
      <c r="F44" s="530" t="s">
        <v>607</v>
      </c>
      <c r="H44" s="702"/>
      <c r="I44" s="702" t="s">
        <v>480</v>
      </c>
      <c r="J44" s="740">
        <f>+AI183</f>
        <v>96169.49000000002</v>
      </c>
      <c r="K44" s="702"/>
      <c r="L44" s="702" t="s">
        <v>480</v>
      </c>
      <c r="M44" s="740">
        <f>+AI184</f>
        <v>499895.8718790221</v>
      </c>
      <c r="O44" s="530" t="s">
        <v>610</v>
      </c>
      <c r="P44" s="1113">
        <v>775.11</v>
      </c>
      <c r="R44" s="591" t="s">
        <v>1100</v>
      </c>
      <c r="S44" s="626">
        <v>3313.85</v>
      </c>
      <c r="U44" s="591" t="s">
        <v>879</v>
      </c>
      <c r="V44" s="537">
        <v>3528.87</v>
      </c>
      <c r="AB44" s="530" t="s">
        <v>1137</v>
      </c>
      <c r="AC44" s="1253">
        <v>115.9</v>
      </c>
      <c r="AD44" s="627"/>
      <c r="AE44" s="1124"/>
      <c r="AF44" s="559"/>
      <c r="AG44" s="559"/>
      <c r="AH44" s="530" t="s">
        <v>502</v>
      </c>
      <c r="AI44" s="555">
        <v>22319.200000000001</v>
      </c>
      <c r="AJ44" s="667"/>
      <c r="AK44" s="848" t="s">
        <v>711</v>
      </c>
      <c r="AL44" s="849">
        <f>SUM(AL41:AL43)</f>
        <v>746274.37292000023</v>
      </c>
      <c r="AM44" s="849">
        <f>SUM(AM41:AM43)</f>
        <v>24723509.001190796</v>
      </c>
      <c r="AN44" s="849">
        <f>SUM(AN41:AN43)</f>
        <v>6152135.711299534</v>
      </c>
      <c r="AQ44" s="1014" t="s">
        <v>624</v>
      </c>
      <c r="AR44" s="626">
        <v>71662.400163521437</v>
      </c>
      <c r="AS44" s="626">
        <v>17832.292012088121</v>
      </c>
      <c r="AU44" s="701"/>
      <c r="AV44" s="626"/>
      <c r="AW44" s="626"/>
      <c r="AX44" s="537"/>
      <c r="AY44" s="701"/>
      <c r="AZ44" s="626"/>
      <c r="BA44" s="626"/>
      <c r="BC44" s="534"/>
      <c r="BD44" s="534"/>
      <c r="BG44" s="547"/>
    </row>
    <row r="45" spans="1:59" ht="13.5" thickBot="1" x14ac:dyDescent="0.35">
      <c r="A45" s="619"/>
      <c r="B45" s="619"/>
      <c r="C45" s="547"/>
      <c r="F45" s="591" t="s">
        <v>875</v>
      </c>
      <c r="G45" s="537">
        <v>632729.13</v>
      </c>
      <c r="I45" s="702"/>
      <c r="J45" s="706">
        <f>+J41+J43+J44</f>
        <v>1140450.4539015556</v>
      </c>
      <c r="L45" s="702"/>
      <c r="M45" s="706">
        <f>+M41+M43+M44</f>
        <v>3184166.2909386395</v>
      </c>
      <c r="O45" s="530" t="s">
        <v>612</v>
      </c>
      <c r="P45" s="1113">
        <v>14889.97</v>
      </c>
      <c r="R45" s="591" t="s">
        <v>873</v>
      </c>
      <c r="S45" s="626">
        <v>56</v>
      </c>
      <c r="U45" s="530" t="s">
        <v>635</v>
      </c>
      <c r="V45" s="708"/>
      <c r="AB45" s="591" t="s">
        <v>1101</v>
      </c>
      <c r="AC45" s="1253">
        <v>304.41000000000003</v>
      </c>
      <c r="AD45" s="536"/>
      <c r="AE45" s="1125"/>
      <c r="AF45" s="559"/>
      <c r="AG45" s="559"/>
      <c r="AH45" s="530" t="s">
        <v>503</v>
      </c>
      <c r="AI45" s="555">
        <v>9269.1200000000008</v>
      </c>
      <c r="AJ45" s="667"/>
      <c r="AQ45" s="1130" t="s">
        <v>640</v>
      </c>
      <c r="AR45" s="626">
        <v>41205.022422207869</v>
      </c>
      <c r="AS45" s="626">
        <v>10253.354486045768</v>
      </c>
      <c r="AU45" s="701"/>
      <c r="AV45" s="626"/>
      <c r="AW45" s="626"/>
      <c r="AX45" s="537"/>
      <c r="AY45" s="701"/>
      <c r="AZ45" s="626"/>
      <c r="BA45" s="626"/>
    </row>
    <row r="46" spans="1:59" ht="13.5" thickTop="1" x14ac:dyDescent="0.3">
      <c r="A46" s="619" t="s">
        <v>691</v>
      </c>
      <c r="B46" s="619"/>
      <c r="C46" s="710">
        <f>SUM(C4:C45)</f>
        <v>179979416.00000021</v>
      </c>
      <c r="F46" s="530" t="s">
        <v>866</v>
      </c>
      <c r="G46" s="537">
        <v>66803.249999999985</v>
      </c>
      <c r="O46" s="530" t="s">
        <v>865</v>
      </c>
      <c r="P46" s="1113">
        <v>16739.7</v>
      </c>
      <c r="R46" s="530" t="s">
        <v>634</v>
      </c>
      <c r="S46" s="626">
        <v>203703.88</v>
      </c>
      <c r="U46" s="530" t="s">
        <v>717</v>
      </c>
      <c r="V46" s="537">
        <v>935.02</v>
      </c>
      <c r="AB46" s="530" t="s">
        <v>635</v>
      </c>
      <c r="AC46" s="1125"/>
      <c r="AD46" s="536"/>
      <c r="AE46" s="1254"/>
      <c r="AF46" s="559"/>
      <c r="AG46" s="559"/>
      <c r="AH46" s="530" t="s">
        <v>504</v>
      </c>
      <c r="AI46" s="555">
        <v>32069.98</v>
      </c>
      <c r="AJ46" s="667"/>
      <c r="AQ46" s="1130" t="s">
        <v>964</v>
      </c>
      <c r="AR46" s="626">
        <v>241635.64595072684</v>
      </c>
      <c r="AS46" s="626">
        <v>60128.008401765524</v>
      </c>
      <c r="AT46" s="610"/>
      <c r="AU46" s="1261"/>
      <c r="AV46" s="1262"/>
      <c r="AW46" s="1262"/>
      <c r="AX46" s="537"/>
      <c r="AY46" s="701"/>
      <c r="AZ46" s="626"/>
      <c r="BA46" s="626"/>
    </row>
    <row r="47" spans="1:59" ht="14.5" x14ac:dyDescent="0.35">
      <c r="A47" s="1015" t="s">
        <v>819</v>
      </c>
      <c r="B47" s="789"/>
      <c r="C47" s="586">
        <v>179979416</v>
      </c>
      <c r="F47" s="530" t="s">
        <v>978</v>
      </c>
      <c r="G47" s="537">
        <v>1387.3400000000001</v>
      </c>
      <c r="O47" s="530" t="s">
        <v>613</v>
      </c>
      <c r="P47" s="1113">
        <v>2631.99</v>
      </c>
      <c r="R47" s="648" t="s">
        <v>1133</v>
      </c>
      <c r="S47" s="537">
        <v>28000</v>
      </c>
      <c r="U47" s="530" t="s">
        <v>605</v>
      </c>
      <c r="V47" s="537">
        <v>54449.22</v>
      </c>
      <c r="AB47" s="530" t="s">
        <v>717</v>
      </c>
      <c r="AC47" s="1255"/>
      <c r="AD47" s="670"/>
      <c r="AE47" s="1253">
        <v>575.91</v>
      </c>
      <c r="AF47" s="559"/>
      <c r="AG47" s="559"/>
      <c r="AH47" s="530" t="s">
        <v>505</v>
      </c>
      <c r="AI47" s="555">
        <v>8538.1200000000008</v>
      </c>
      <c r="AJ47" s="667"/>
      <c r="AQ47" s="1130" t="s">
        <v>965</v>
      </c>
      <c r="AR47" s="626">
        <v>350962.42539331387</v>
      </c>
      <c r="AS47" s="626">
        <v>87332.610135908268</v>
      </c>
      <c r="AU47" s="702"/>
      <c r="AV47" s="702"/>
      <c r="AW47" s="702"/>
      <c r="AX47" s="537"/>
      <c r="AY47" s="701"/>
      <c r="AZ47" s="626"/>
      <c r="BA47" s="626"/>
      <c r="BC47" s="550"/>
      <c r="BD47" s="550"/>
      <c r="BE47" s="766" t="s">
        <v>423</v>
      </c>
      <c r="BF47" s="766" t="s">
        <v>424</v>
      </c>
    </row>
    <row r="48" spans="1:59" ht="15" thickBot="1" x14ac:dyDescent="0.4">
      <c r="A48" s="677" t="s">
        <v>818</v>
      </c>
      <c r="B48" s="534"/>
      <c r="C48" s="790">
        <f>+C46-C47</f>
        <v>0</v>
      </c>
      <c r="F48" s="530" t="s">
        <v>608</v>
      </c>
      <c r="G48" s="537">
        <v>19262.509999999998</v>
      </c>
      <c r="O48" s="561" t="s">
        <v>425</v>
      </c>
      <c r="P48" s="576">
        <f>SUM(P4:P47)</f>
        <v>216854.18000000005</v>
      </c>
      <c r="R48" s="591" t="s">
        <v>874</v>
      </c>
      <c r="S48" s="626">
        <v>133170.88</v>
      </c>
      <c r="U48" s="530" t="s">
        <v>606</v>
      </c>
      <c r="V48" s="1016"/>
      <c r="AB48" s="530" t="s">
        <v>605</v>
      </c>
      <c r="AC48" s="1256"/>
      <c r="AD48" s="627"/>
      <c r="AE48" s="1124">
        <v>3604</v>
      </c>
      <c r="AF48" s="559"/>
      <c r="AG48" s="559"/>
      <c r="AH48" s="530" t="s">
        <v>506</v>
      </c>
      <c r="AI48" s="555">
        <v>15596.51</v>
      </c>
      <c r="AJ48" s="667"/>
      <c r="AQ48" s="1014" t="s">
        <v>1110</v>
      </c>
      <c r="AR48" s="626">
        <v>83.87345831221522</v>
      </c>
      <c r="AS48" s="626">
        <v>20.870861110907374</v>
      </c>
      <c r="AU48" s="702"/>
      <c r="AV48" s="702"/>
      <c r="AW48" s="702"/>
      <c r="AX48" s="537"/>
      <c r="AY48" s="701"/>
      <c r="AZ48" s="626"/>
      <c r="BA48" s="626"/>
      <c r="BC48" s="765" t="s">
        <v>42</v>
      </c>
      <c r="BD48" s="765"/>
      <c r="BE48" s="951">
        <v>357105</v>
      </c>
      <c r="BF48" s="953">
        <v>0.54258248019472533</v>
      </c>
      <c r="BG48" s="1181">
        <f>+BE38*BF48</f>
        <v>2486220.7345148404</v>
      </c>
    </row>
    <row r="49" spans="1:60" ht="15" thickTop="1" x14ac:dyDescent="0.35">
      <c r="B49" s="677"/>
      <c r="F49" s="530" t="s">
        <v>609</v>
      </c>
      <c r="G49" s="537">
        <v>1698956.9900000002</v>
      </c>
      <c r="I49" s="734" t="s">
        <v>629</v>
      </c>
      <c r="J49" s="735" t="s">
        <v>630</v>
      </c>
      <c r="L49" s="734" t="s">
        <v>629</v>
      </c>
      <c r="M49" s="735" t="s">
        <v>626</v>
      </c>
      <c r="P49" s="555"/>
      <c r="R49" s="591"/>
      <c r="S49" s="555"/>
      <c r="U49" s="530" t="s">
        <v>866</v>
      </c>
      <c r="V49" s="708"/>
      <c r="AB49" s="530" t="s">
        <v>1012</v>
      </c>
      <c r="AC49" s="1254"/>
      <c r="AD49" s="536"/>
      <c r="AE49" s="1124"/>
      <c r="AF49" s="559"/>
      <c r="AG49" s="559"/>
      <c r="AH49" s="530" t="s">
        <v>507</v>
      </c>
      <c r="AI49" s="555">
        <v>9931.93</v>
      </c>
      <c r="AJ49" s="667"/>
      <c r="AK49" s="560"/>
      <c r="AL49" s="560"/>
      <c r="AQ49" s="1130" t="s">
        <v>576</v>
      </c>
      <c r="AR49" s="626">
        <v>414598.77616452961</v>
      </c>
      <c r="AS49" s="626">
        <v>103167.72013706101</v>
      </c>
      <c r="AX49" s="537"/>
      <c r="AY49" s="701"/>
      <c r="AZ49" s="626"/>
      <c r="BA49" s="626"/>
      <c r="BC49" s="765" t="s">
        <v>24</v>
      </c>
      <c r="BD49" s="765"/>
      <c r="BE49" s="951">
        <v>46669</v>
      </c>
      <c r="BF49" s="953">
        <v>7.090850525253814E-2</v>
      </c>
      <c r="BG49" s="1181">
        <f>+BE38*BF49</f>
        <v>324916.86047261464</v>
      </c>
    </row>
    <row r="50" spans="1:60" ht="15" thickBot="1" x14ac:dyDescent="0.4">
      <c r="A50" s="677" t="s">
        <v>581</v>
      </c>
      <c r="B50" s="534" t="s">
        <v>832</v>
      </c>
      <c r="C50" s="609">
        <f>'P7 Form A-5 - OH '!J52</f>
        <v>179979415.61000007</v>
      </c>
      <c r="F50" s="530" t="s">
        <v>610</v>
      </c>
      <c r="G50" s="537">
        <v>786770.32000000018</v>
      </c>
      <c r="I50" s="737" t="s">
        <v>627</v>
      </c>
      <c r="J50" s="933">
        <f>+C15</f>
        <v>84714</v>
      </c>
      <c r="L50" s="738" t="s">
        <v>628</v>
      </c>
      <c r="M50" s="933">
        <f>+C23</f>
        <v>761694.65999999992</v>
      </c>
      <c r="O50" s="547"/>
      <c r="P50" s="562"/>
      <c r="R50" s="561" t="s">
        <v>425</v>
      </c>
      <c r="S50" s="576">
        <f>SUM(S4:S49)</f>
        <v>28567188.540000007</v>
      </c>
      <c r="U50" s="591" t="s">
        <v>888</v>
      </c>
      <c r="V50" s="537">
        <v>2690</v>
      </c>
      <c r="Y50" s="927"/>
      <c r="AB50" s="591" t="s">
        <v>866</v>
      </c>
      <c r="AC50" s="1254"/>
      <c r="AD50" s="536"/>
      <c r="AE50" s="1124"/>
      <c r="AF50" s="559"/>
      <c r="AG50" s="559"/>
      <c r="AH50" s="530" t="s">
        <v>508</v>
      </c>
      <c r="AI50" s="555">
        <v>7248.63</v>
      </c>
      <c r="AJ50" s="667"/>
      <c r="AK50" s="718"/>
      <c r="AL50" s="560"/>
      <c r="AQ50" s="1014" t="s">
        <v>1111</v>
      </c>
      <c r="AR50" s="626">
        <v>14309.523508406084</v>
      </c>
      <c r="AS50" s="626">
        <v>3560.7459584590906</v>
      </c>
      <c r="AX50" s="537"/>
      <c r="AY50" s="701"/>
      <c r="AZ50" s="626"/>
      <c r="BA50" s="626"/>
      <c r="BC50" s="765" t="s">
        <v>43</v>
      </c>
      <c r="BD50" s="765"/>
      <c r="BE50" s="952">
        <v>254384</v>
      </c>
      <c r="BF50" s="954">
        <v>0.38650901455273656</v>
      </c>
      <c r="BG50" s="1181">
        <f>+BE38*BF50</f>
        <v>1771061.1033976646</v>
      </c>
    </row>
    <row r="51" spans="1:60" ht="13.5" thickTop="1" x14ac:dyDescent="0.3">
      <c r="A51" s="677" t="s">
        <v>818</v>
      </c>
      <c r="C51" s="609">
        <f>+C46-C50</f>
        <v>0.39000013470649719</v>
      </c>
      <c r="F51" s="530" t="s">
        <v>611</v>
      </c>
      <c r="G51" s="537"/>
      <c r="O51" s="547"/>
      <c r="P51" s="547"/>
      <c r="R51" s="530"/>
      <c r="S51" s="555"/>
      <c r="U51" s="591" t="s">
        <v>996</v>
      </c>
      <c r="V51" s="537">
        <v>607996.54</v>
      </c>
      <c r="AB51" s="701" t="s">
        <v>990</v>
      </c>
      <c r="AC51" s="878"/>
      <c r="AD51" s="878"/>
      <c r="AE51" s="1124"/>
      <c r="AF51" s="559"/>
      <c r="AG51" s="559"/>
      <c r="AH51" s="530" t="s">
        <v>509</v>
      </c>
      <c r="AI51" s="555">
        <v>31181.54</v>
      </c>
      <c r="AJ51" s="667"/>
      <c r="AK51" s="560"/>
      <c r="AL51" s="560"/>
      <c r="AQ51" s="1130" t="s">
        <v>622</v>
      </c>
      <c r="AR51" s="626">
        <v>114545.51133429409</v>
      </c>
      <c r="AS51" s="626">
        <v>28503.217895663482</v>
      </c>
      <c r="AX51" s="537"/>
      <c r="AY51" s="701"/>
      <c r="AZ51" s="626"/>
      <c r="BA51" s="626"/>
      <c r="BC51" s="550" t="s">
        <v>547</v>
      </c>
      <c r="BD51" s="550"/>
      <c r="BE51" s="955">
        <v>658158</v>
      </c>
      <c r="BF51" s="1180">
        <v>1</v>
      </c>
      <c r="BG51" s="1181">
        <f>SUM(BG48:BG50)</f>
        <v>4582198.6983851194</v>
      </c>
    </row>
    <row r="52" spans="1:60" ht="13" x14ac:dyDescent="0.3">
      <c r="F52" s="591" t="s">
        <v>873</v>
      </c>
      <c r="G52" s="537">
        <v>415.27</v>
      </c>
      <c r="R52" s="530"/>
      <c r="S52" s="555"/>
      <c r="U52" s="591" t="s">
        <v>1012</v>
      </c>
      <c r="V52" s="537"/>
      <c r="AB52" s="591" t="s">
        <v>1136</v>
      </c>
      <c r="AC52" s="1254"/>
      <c r="AD52" s="536"/>
      <c r="AE52" s="1124"/>
      <c r="AF52" s="559"/>
      <c r="AG52" s="559"/>
      <c r="AH52" s="530" t="s">
        <v>510</v>
      </c>
      <c r="AI52" s="555">
        <v>8884.81</v>
      </c>
      <c r="AJ52" s="667"/>
      <c r="AK52" s="560"/>
      <c r="AL52" s="560"/>
      <c r="AQ52" s="1129" t="s">
        <v>966</v>
      </c>
      <c r="AR52" s="708"/>
      <c r="AS52" s="708"/>
      <c r="AX52" s="537"/>
      <c r="AY52" s="701"/>
      <c r="AZ52" s="626"/>
      <c r="BA52" s="626"/>
      <c r="BC52" s="550"/>
      <c r="BD52" s="550"/>
      <c r="BE52" s="955"/>
      <c r="BF52" s="550"/>
      <c r="BH52" s="547"/>
    </row>
    <row r="53" spans="1:60" ht="21" x14ac:dyDescent="0.5">
      <c r="C53" s="537"/>
      <c r="F53" s="530" t="s">
        <v>612</v>
      </c>
      <c r="G53" s="537">
        <v>4097.38</v>
      </c>
      <c r="R53" s="530"/>
      <c r="S53" s="555"/>
      <c r="U53" s="530" t="s">
        <v>610</v>
      </c>
      <c r="V53" s="537">
        <v>3541.86</v>
      </c>
      <c r="X53" s="764"/>
      <c r="Y53" s="550"/>
      <c r="Z53" s="550"/>
      <c r="AB53" s="591" t="s">
        <v>1099</v>
      </c>
      <c r="AC53" s="536"/>
      <c r="AD53" s="536"/>
      <c r="AE53" s="1124"/>
      <c r="AF53" s="559"/>
      <c r="AG53" s="559"/>
      <c r="AH53" s="530" t="s">
        <v>511</v>
      </c>
      <c r="AI53" s="555">
        <v>13864.05</v>
      </c>
      <c r="AJ53" s="667"/>
      <c r="AK53" s="560"/>
      <c r="AL53" s="560"/>
      <c r="AQ53" s="1014" t="s">
        <v>1112</v>
      </c>
      <c r="AR53" s="626">
        <v>126494.04645786427</v>
      </c>
      <c r="AS53" s="626">
        <v>31476.461423008459</v>
      </c>
      <c r="AX53" s="1086"/>
      <c r="AY53" s="1261"/>
      <c r="AZ53" s="1262"/>
      <c r="BA53" s="1262"/>
      <c r="BC53" s="701"/>
      <c r="BD53" s="701"/>
      <c r="BE53" s="537"/>
      <c r="BF53" s="537"/>
      <c r="BH53" s="547"/>
    </row>
    <row r="54" spans="1:60" ht="13" x14ac:dyDescent="0.3">
      <c r="F54" s="530" t="s">
        <v>865</v>
      </c>
      <c r="G54" s="537">
        <v>6055.83</v>
      </c>
      <c r="R54" s="530"/>
      <c r="S54" s="555"/>
      <c r="U54" s="530" t="s">
        <v>873</v>
      </c>
      <c r="V54" s="537">
        <v>1978.75</v>
      </c>
      <c r="X54" s="550"/>
      <c r="Y54" s="550"/>
      <c r="Z54" s="550"/>
      <c r="AB54" s="530" t="s">
        <v>610</v>
      </c>
      <c r="AC54" s="627"/>
      <c r="AD54" s="627"/>
      <c r="AE54" s="1124">
        <v>17142.009999999998</v>
      </c>
      <c r="AF54" s="559"/>
      <c r="AG54" s="559"/>
      <c r="AH54" s="530" t="s">
        <v>512</v>
      </c>
      <c r="AI54" s="555">
        <v>9647.43</v>
      </c>
      <c r="AJ54" s="667"/>
      <c r="AK54" s="560"/>
      <c r="AL54" s="560"/>
      <c r="AQ54" s="1014" t="s">
        <v>1113</v>
      </c>
      <c r="AR54" s="626">
        <v>377412.04488819832</v>
      </c>
      <c r="AS54" s="626">
        <v>93914.267146630125</v>
      </c>
      <c r="AU54" s="552"/>
      <c r="AV54" s="553"/>
      <c r="AW54" s="553"/>
      <c r="AX54" s="553"/>
      <c r="AY54" s="702"/>
      <c r="AZ54" s="702"/>
      <c r="BA54" s="702"/>
      <c r="BH54" s="664"/>
    </row>
    <row r="55" spans="1:60" ht="14.5" x14ac:dyDescent="0.35">
      <c r="A55" s="534" t="s">
        <v>1008</v>
      </c>
      <c r="F55" s="530" t="s">
        <v>613</v>
      </c>
      <c r="G55" s="537"/>
      <c r="R55" s="572"/>
      <c r="S55" s="575"/>
      <c r="U55" s="530" t="s">
        <v>612</v>
      </c>
      <c r="V55" s="537">
        <v>3468.01</v>
      </c>
      <c r="X55" s="765"/>
      <c r="Y55" s="766"/>
      <c r="Z55" s="766"/>
      <c r="AB55" s="530" t="s">
        <v>873</v>
      </c>
      <c r="AC55" s="536"/>
      <c r="AD55" s="536"/>
      <c r="AE55" s="1124"/>
      <c r="AF55" s="559"/>
      <c r="AG55" s="559"/>
      <c r="AH55" s="530" t="s">
        <v>618</v>
      </c>
      <c r="AI55" s="555">
        <v>16194.94</v>
      </c>
      <c r="AJ55" s="667"/>
      <c r="AK55" s="560"/>
      <c r="AL55" s="560"/>
      <c r="AQ55" s="1014" t="s">
        <v>1114</v>
      </c>
      <c r="AR55" s="626">
        <v>136530.4006416433</v>
      </c>
      <c r="AS55" s="626">
        <v>33973.882638785595</v>
      </c>
      <c r="AU55" s="552"/>
      <c r="AV55" s="553"/>
      <c r="AW55" s="553"/>
      <c r="AX55" s="553"/>
      <c r="BC55" s="1208" t="s">
        <v>915</v>
      </c>
      <c r="BD55" s="1208" t="s">
        <v>1173</v>
      </c>
      <c r="BE55" s="1208" t="s">
        <v>1171</v>
      </c>
      <c r="BF55" s="1208" t="s">
        <v>1172</v>
      </c>
    </row>
    <row r="56" spans="1:60" ht="14.5" x14ac:dyDescent="0.35">
      <c r="A56" s="677" t="s">
        <v>824</v>
      </c>
      <c r="C56" s="771">
        <f>+C13+C22+C30</f>
        <v>1786843.11</v>
      </c>
      <c r="F56" s="561" t="s">
        <v>1017</v>
      </c>
      <c r="G56" s="586"/>
      <c r="R56" s="572"/>
      <c r="S56" s="575"/>
      <c r="U56" s="530" t="s">
        <v>865</v>
      </c>
      <c r="V56" s="708"/>
      <c r="X56" s="550"/>
      <c r="Y56" s="767"/>
      <c r="Z56" s="768"/>
      <c r="AB56" s="591" t="s">
        <v>612</v>
      </c>
      <c r="AC56" s="536"/>
      <c r="AD56" s="536"/>
      <c r="AE56" s="1253">
        <v>59.58</v>
      </c>
      <c r="AF56" s="559"/>
      <c r="AG56" s="559"/>
      <c r="AH56" s="530" t="s">
        <v>708</v>
      </c>
      <c r="AI56" s="555">
        <v>49352.97</v>
      </c>
      <c r="AJ56" s="667"/>
      <c r="AK56" s="560"/>
      <c r="AL56" s="560"/>
      <c r="AQ56" s="1130" t="s">
        <v>845</v>
      </c>
      <c r="AR56" s="626">
        <v>113218.34601740951</v>
      </c>
      <c r="AS56" s="626">
        <v>28172.969405171978</v>
      </c>
      <c r="AU56" s="675"/>
      <c r="AV56" s="662"/>
      <c r="AW56" s="662"/>
      <c r="AX56" s="553"/>
      <c r="BC56" s="530" t="s">
        <v>636</v>
      </c>
      <c r="BD56" s="537">
        <v>18399.549999999996</v>
      </c>
      <c r="BE56" s="537">
        <v>453541.67355506285</v>
      </c>
      <c r="BF56" s="537">
        <v>112858.17310096088</v>
      </c>
    </row>
    <row r="57" spans="1:60" ht="15" thickBot="1" x14ac:dyDescent="0.4">
      <c r="A57" s="534" t="s">
        <v>817</v>
      </c>
      <c r="C57" s="676">
        <f>+C12+C21+C29</f>
        <v>4450557.9799999995</v>
      </c>
      <c r="F57" s="561" t="s">
        <v>425</v>
      </c>
      <c r="G57" s="706">
        <f>SUM(G4:G56)</f>
        <v>4999879.0099999988</v>
      </c>
      <c r="R57" s="572"/>
      <c r="S57" s="575"/>
      <c r="U57" s="530" t="s">
        <v>1001</v>
      </c>
      <c r="V57" s="1016"/>
      <c r="X57" s="550"/>
      <c r="Y57" s="767"/>
      <c r="Z57" s="768"/>
      <c r="AB57" s="591" t="s">
        <v>865</v>
      </c>
      <c r="AC57" s="536"/>
      <c r="AD57" s="536"/>
      <c r="AE57" s="1253"/>
      <c r="AF57" s="559"/>
      <c r="AG57" s="559"/>
      <c r="AH57" s="530" t="s">
        <v>709</v>
      </c>
      <c r="AI57" s="555">
        <v>6496.24</v>
      </c>
      <c r="AJ57" s="667"/>
      <c r="AK57" s="560"/>
      <c r="AL57" s="560"/>
      <c r="AQ57" s="1130" t="s">
        <v>577</v>
      </c>
      <c r="AR57" s="626">
        <v>331792.0087630382</v>
      </c>
      <c r="AS57" s="626">
        <v>82562.291718378023</v>
      </c>
      <c r="AU57" s="675"/>
      <c r="AV57" s="662"/>
      <c r="AW57" s="662"/>
      <c r="AX57" s="662"/>
      <c r="BC57" s="530" t="s">
        <v>1174</v>
      </c>
      <c r="BD57" s="537">
        <v>2064.7999999999997</v>
      </c>
      <c r="BE57" s="537">
        <v>104997.13818743189</v>
      </c>
      <c r="BF57" s="537">
        <v>26127.224657833023</v>
      </c>
    </row>
    <row r="58" spans="1:60" ht="15.5" thickTop="1" thickBot="1" x14ac:dyDescent="0.4">
      <c r="F58" s="648" t="s">
        <v>1166</v>
      </c>
      <c r="G58" s="708"/>
      <c r="R58" s="547"/>
      <c r="S58" s="575"/>
      <c r="U58" s="561" t="s">
        <v>1159</v>
      </c>
      <c r="V58" s="576">
        <f>SUM(V4:V56)</f>
        <v>4450557.9799999995</v>
      </c>
      <c r="X58" s="662"/>
      <c r="Y58" s="767"/>
      <c r="Z58" s="768"/>
      <c r="AB58" s="746" t="s">
        <v>425</v>
      </c>
      <c r="AC58" s="930">
        <f>SUM(AC5:AC57)</f>
        <v>29446.98</v>
      </c>
      <c r="AD58" s="930">
        <f>SUM(AD5:AD57)</f>
        <v>76447.16</v>
      </c>
      <c r="AE58" s="930">
        <f>SUM(AE5:AE57)</f>
        <v>498318.77999999997</v>
      </c>
      <c r="AF58" s="559"/>
      <c r="AG58" s="559"/>
      <c r="AH58" s="530">
        <v>411800</v>
      </c>
      <c r="AI58" s="555">
        <v>130</v>
      </c>
      <c r="AJ58" s="667"/>
      <c r="AK58" s="560"/>
      <c r="AL58" s="560"/>
      <c r="AQ58" s="1014" t="s">
        <v>1115</v>
      </c>
      <c r="AR58" s="626">
        <v>24810.384553768396</v>
      </c>
      <c r="AS58" s="626">
        <v>6173.7538972384073</v>
      </c>
      <c r="AU58" s="571"/>
      <c r="AV58" s="662"/>
      <c r="AW58" s="662"/>
      <c r="AX58" s="662"/>
      <c r="BC58" s="530" t="s">
        <v>1175</v>
      </c>
      <c r="BD58" s="537">
        <v>2080</v>
      </c>
      <c r="BE58" s="537">
        <v>102251.42915466279</v>
      </c>
      <c r="BF58" s="537">
        <v>25443.989305111892</v>
      </c>
    </row>
    <row r="59" spans="1:60" ht="15" thickTop="1" x14ac:dyDescent="0.35">
      <c r="A59" s="775" t="s">
        <v>716</v>
      </c>
      <c r="B59" s="776"/>
      <c r="C59" s="777">
        <v>1043668.18</v>
      </c>
      <c r="D59" s="925" t="s">
        <v>2</v>
      </c>
      <c r="F59" t="s">
        <v>555</v>
      </c>
      <c r="G59" s="1115">
        <f>+V65</f>
        <v>2414794.7870388264</v>
      </c>
      <c r="R59" s="547"/>
      <c r="S59" s="575"/>
      <c r="U59" s="530"/>
      <c r="X59" s="1042"/>
      <c r="Y59" s="769"/>
      <c r="Z59" s="768"/>
      <c r="AF59" s="559"/>
      <c r="AG59" s="559"/>
      <c r="AH59" s="1024">
        <v>412100</v>
      </c>
      <c r="AI59" s="662">
        <v>197.69</v>
      </c>
      <c r="AJ59" s="667"/>
      <c r="AK59" s="560"/>
      <c r="AL59" s="560"/>
      <c r="AQ59" s="1130" t="s">
        <v>836</v>
      </c>
      <c r="AR59" s="626">
        <v>100997.78427538143</v>
      </c>
      <c r="AS59" s="626">
        <v>25132.035456011203</v>
      </c>
      <c r="AU59" s="588"/>
      <c r="AV59" s="676"/>
      <c r="AW59" s="676"/>
      <c r="AX59" s="662"/>
      <c r="BC59" s="530" t="s">
        <v>1176</v>
      </c>
      <c r="BD59" s="537">
        <v>110950.55</v>
      </c>
      <c r="BE59" s="537">
        <v>2383619.8282810994</v>
      </c>
      <c r="BF59" s="537">
        <v>593133.98276811535</v>
      </c>
    </row>
    <row r="60" spans="1:60" ht="13" x14ac:dyDescent="0.3">
      <c r="A60" s="677"/>
      <c r="B60" s="551" t="s">
        <v>528</v>
      </c>
      <c r="C60" s="1140">
        <v>580152</v>
      </c>
      <c r="F60" s="536" t="s">
        <v>1153</v>
      </c>
      <c r="G60" s="1115">
        <f>AI182</f>
        <v>1190777.748120978</v>
      </c>
      <c r="U60" s="721" t="s">
        <v>660</v>
      </c>
      <c r="V60" s="962">
        <v>1809801.93</v>
      </c>
      <c r="X60" s="550"/>
      <c r="Y60" s="550"/>
      <c r="Z60" s="770"/>
      <c r="AB60" s="1142" t="s">
        <v>1139</v>
      </c>
      <c r="AC60" s="1143" t="s">
        <v>454</v>
      </c>
      <c r="AD60" s="1143" t="s">
        <v>432</v>
      </c>
      <c r="AE60" s="1144" t="s">
        <v>420</v>
      </c>
      <c r="AF60" s="559"/>
      <c r="AG60" s="559"/>
      <c r="AH60" s="1024">
        <v>412300</v>
      </c>
      <c r="AI60" s="662">
        <v>197.69</v>
      </c>
      <c r="AJ60" s="667"/>
      <c r="AK60" s="560"/>
      <c r="AL60" s="560"/>
      <c r="AQ60" s="1014" t="s">
        <v>1116</v>
      </c>
      <c r="AR60" s="626">
        <v>53987.265517494205</v>
      </c>
      <c r="AS60" s="626">
        <v>13434.055815118338</v>
      </c>
      <c r="AU60" s="552"/>
      <c r="AV60" s="647"/>
      <c r="AW60" s="647"/>
      <c r="AX60" s="662"/>
      <c r="BC60" s="530" t="s">
        <v>1177</v>
      </c>
      <c r="BD60" s="537">
        <v>4277</v>
      </c>
      <c r="BE60" s="537">
        <v>99320.34508892677</v>
      </c>
      <c r="BF60" s="537">
        <v>24714.62569388876</v>
      </c>
    </row>
    <row r="61" spans="1:60" ht="13.5" thickBot="1" x14ac:dyDescent="0.35">
      <c r="A61" s="772"/>
      <c r="B61" s="551" t="s">
        <v>630</v>
      </c>
      <c r="C61" s="1140">
        <v>81034</v>
      </c>
      <c r="F61" s="534" t="s">
        <v>580</v>
      </c>
      <c r="G61" s="663">
        <f>+G57+G59+G60</f>
        <v>8605451.5451598037</v>
      </c>
      <c r="M61" s="536"/>
      <c r="U61" s="721" t="s">
        <v>661</v>
      </c>
      <c r="V61" s="962">
        <f>V58-V60</f>
        <v>2640756.0499999998</v>
      </c>
      <c r="X61" s="550"/>
      <c r="Y61" s="550"/>
      <c r="Z61" s="550"/>
      <c r="AB61" s="1145" t="s">
        <v>1140</v>
      </c>
      <c r="AC61" s="782">
        <f>+AC58*$AD$68</f>
        <v>25286.816753980416</v>
      </c>
      <c r="AD61" s="782">
        <f>+AD58*$AD$68</f>
        <v>65646.980650722806</v>
      </c>
      <c r="AE61" s="1259">
        <f>+AE58*$AD$68</f>
        <v>427918.09805036307</v>
      </c>
      <c r="AF61" s="559"/>
      <c r="AG61" s="559"/>
      <c r="AH61" s="1023" t="s">
        <v>722</v>
      </c>
      <c r="AI61" s="1019"/>
      <c r="AJ61" s="667"/>
      <c r="AK61" s="560"/>
      <c r="AL61" s="560"/>
      <c r="AQ61" s="1130" t="s">
        <v>846</v>
      </c>
      <c r="AR61" s="708"/>
      <c r="AS61" s="708"/>
      <c r="AU61" s="677"/>
      <c r="AV61" s="676"/>
      <c r="AW61" s="676"/>
      <c r="AX61" s="662"/>
      <c r="AY61" s="675"/>
      <c r="AZ61" s="662"/>
      <c r="BA61" s="662"/>
      <c r="BC61" s="530" t="s">
        <v>1178</v>
      </c>
      <c r="BD61" s="537">
        <v>2720</v>
      </c>
      <c r="BE61" s="537">
        <v>75313.758670018971</v>
      </c>
      <c r="BF61" s="537">
        <v>18740.886909553341</v>
      </c>
    </row>
    <row r="62" spans="1:60" ht="13.5" thickTop="1" x14ac:dyDescent="0.3">
      <c r="A62" s="571"/>
      <c r="B62" s="551" t="s">
        <v>668</v>
      </c>
      <c r="C62" s="1140">
        <v>382483</v>
      </c>
      <c r="X62" s="550"/>
      <c r="Y62" s="550"/>
      <c r="Z62" s="550"/>
      <c r="AB62" s="755"/>
      <c r="AC62" s="756"/>
      <c r="AD62" s="756"/>
      <c r="AE62" s="1146"/>
      <c r="AF62" s="559"/>
      <c r="AG62" s="559"/>
      <c r="AH62" s="754" t="s">
        <v>723</v>
      </c>
      <c r="AI62" s="555">
        <v>213.15</v>
      </c>
      <c r="AJ62" s="667"/>
      <c r="AK62" s="560"/>
      <c r="AL62" s="560"/>
      <c r="AQ62" s="1130" t="s">
        <v>837</v>
      </c>
      <c r="AR62" s="647"/>
      <c r="AS62" s="647"/>
      <c r="AU62" s="550"/>
      <c r="AV62" s="550"/>
      <c r="AW62" s="550"/>
      <c r="AX62" s="662"/>
      <c r="AY62" s="675"/>
      <c r="AZ62" s="662"/>
      <c r="BA62" s="662"/>
      <c r="BC62" s="530" t="s">
        <v>1179</v>
      </c>
      <c r="BD62" s="537">
        <v>2092.0000000000009</v>
      </c>
      <c r="BE62" s="537">
        <v>292630.56869886856</v>
      </c>
      <c r="BF62" s="537">
        <v>72817.457143417239</v>
      </c>
      <c r="BH62" s="547"/>
    </row>
    <row r="63" spans="1:60" ht="15.5" x14ac:dyDescent="0.35">
      <c r="A63" s="677"/>
      <c r="B63" s="550"/>
      <c r="F63" s="734" t="s">
        <v>629</v>
      </c>
      <c r="G63" s="735" t="s">
        <v>528</v>
      </c>
      <c r="U63" s="590" t="s">
        <v>416</v>
      </c>
      <c r="V63" s="1017"/>
      <c r="X63" s="765"/>
      <c r="Y63" s="766"/>
      <c r="Z63" s="766"/>
      <c r="AF63" s="559"/>
      <c r="AG63" s="559"/>
      <c r="AH63" s="754" t="s">
        <v>724</v>
      </c>
      <c r="AI63" s="555">
        <v>1665.49</v>
      </c>
      <c r="AJ63" s="667"/>
      <c r="AK63" s="560"/>
      <c r="AL63" s="560"/>
      <c r="AQ63" s="1132" t="s">
        <v>697</v>
      </c>
      <c r="AR63" s="626"/>
      <c r="AS63" s="626"/>
      <c r="AU63" s="552"/>
      <c r="AV63" s="550"/>
      <c r="AW63" s="662"/>
      <c r="AX63" s="662"/>
      <c r="AY63" s="675"/>
      <c r="AZ63" s="662"/>
      <c r="BA63" s="662"/>
      <c r="BC63" s="530" t="s">
        <v>1180</v>
      </c>
      <c r="BD63" s="537">
        <v>2080.0000000000014</v>
      </c>
      <c r="BE63" s="537">
        <v>439910.06304457475</v>
      </c>
      <c r="BF63" s="537">
        <v>109466.1173134991</v>
      </c>
      <c r="BH63" s="547"/>
    </row>
    <row r="64" spans="1:60" ht="14.5" x14ac:dyDescent="0.35">
      <c r="A64" s="571"/>
      <c r="B64" s="550"/>
      <c r="F64" s="737" t="s">
        <v>896</v>
      </c>
      <c r="G64" s="586">
        <f>+C6</f>
        <v>2548505</v>
      </c>
      <c r="U64" s="565" t="s">
        <v>617</v>
      </c>
      <c r="V64" s="1018"/>
      <c r="X64" s="550"/>
      <c r="Y64" s="767"/>
      <c r="Z64" s="768"/>
      <c r="AF64" s="559"/>
      <c r="AG64" s="559"/>
      <c r="AH64" s="754" t="s">
        <v>725</v>
      </c>
      <c r="AI64" s="555">
        <v>2109.31</v>
      </c>
      <c r="AJ64" s="667"/>
      <c r="AK64" s="560"/>
      <c r="AL64" s="560"/>
      <c r="AQ64" s="1133" t="s">
        <v>967</v>
      </c>
      <c r="AR64" s="626">
        <v>82579.300743788321</v>
      </c>
      <c r="AS64" s="626">
        <v>20548.826185797654</v>
      </c>
      <c r="AU64" s="552"/>
      <c r="AX64" s="647"/>
      <c r="AY64" s="675"/>
      <c r="AZ64" s="662"/>
      <c r="BA64" s="662"/>
      <c r="BC64" s="530" t="s">
        <v>1122</v>
      </c>
      <c r="BD64" s="537">
        <v>0</v>
      </c>
      <c r="BE64" s="537">
        <v>2997.9789698158661</v>
      </c>
      <c r="BF64" s="537">
        <v>746.00957146100461</v>
      </c>
      <c r="BH64" s="547"/>
    </row>
    <row r="65" spans="1:60" ht="14.5" x14ac:dyDescent="0.35">
      <c r="A65" s="773" t="s">
        <v>93</v>
      </c>
      <c r="B65" s="774" t="s">
        <v>423</v>
      </c>
      <c r="C65" s="774" t="s">
        <v>424</v>
      </c>
      <c r="U65" s="589" t="s">
        <v>42</v>
      </c>
      <c r="V65" s="962">
        <f>+V58*Z4</f>
        <v>2414794.7870388264</v>
      </c>
      <c r="X65" s="550"/>
      <c r="Y65" s="767"/>
      <c r="Z65" s="768"/>
      <c r="AB65" s="564" t="s">
        <v>1066</v>
      </c>
      <c r="AC65" s="555"/>
      <c r="AD65" s="555"/>
      <c r="AE65" s="555"/>
      <c r="AF65" s="559"/>
      <c r="AG65" s="559"/>
      <c r="AH65" s="754" t="s">
        <v>726</v>
      </c>
      <c r="AI65" s="555">
        <v>1265.3900000000001</v>
      </c>
      <c r="AJ65" s="667"/>
      <c r="AK65" s="560"/>
      <c r="AL65" s="560"/>
      <c r="AQ65" s="1130" t="s">
        <v>968</v>
      </c>
      <c r="AR65" s="626">
        <v>36049.158149497933</v>
      </c>
      <c r="AS65" s="626">
        <v>8970.38214523856</v>
      </c>
      <c r="AU65" s="552"/>
      <c r="AX65" s="676"/>
      <c r="AY65" s="675"/>
      <c r="AZ65" s="662"/>
      <c r="BA65" s="662"/>
      <c r="BC65" s="530" t="s">
        <v>1181</v>
      </c>
      <c r="BD65" s="537">
        <v>4090.25</v>
      </c>
      <c r="BE65" s="537">
        <v>102243.8842409221</v>
      </c>
      <c r="BF65" s="537">
        <v>25442.111847690379</v>
      </c>
      <c r="BH65" s="547"/>
    </row>
    <row r="66" spans="1:60" ht="14.5" x14ac:dyDescent="0.35">
      <c r="A66" s="529" t="s">
        <v>42</v>
      </c>
      <c r="B66" s="757">
        <v>357105</v>
      </c>
      <c r="C66" s="716">
        <f>+B66/B69</f>
        <v>0.54258248019472533</v>
      </c>
      <c r="U66" s="589" t="s">
        <v>24</v>
      </c>
      <c r="V66" s="962">
        <f>+V58*Z5</f>
        <v>315582.41390155553</v>
      </c>
      <c r="X66" s="550"/>
      <c r="Y66" s="769"/>
      <c r="Z66" s="768"/>
      <c r="AB66" s="564" t="s">
        <v>1154</v>
      </c>
      <c r="AC66" s="555"/>
      <c r="AD66" s="555"/>
      <c r="AE66" s="555"/>
      <c r="AF66" s="559"/>
      <c r="AG66" s="559"/>
      <c r="AH66" s="754" t="s">
        <v>727</v>
      </c>
      <c r="AI66" s="555">
        <v>8065.21</v>
      </c>
      <c r="AJ66" s="667"/>
      <c r="AK66" s="560"/>
      <c r="AL66" s="560"/>
      <c r="AQ66" s="702"/>
      <c r="AR66" s="702"/>
      <c r="AS66" s="702"/>
      <c r="AU66" s="552"/>
      <c r="AX66" s="550"/>
      <c r="AY66" s="675"/>
      <c r="AZ66" s="662"/>
      <c r="BA66" s="662"/>
      <c r="BC66" s="530" t="s">
        <v>1182</v>
      </c>
      <c r="BD66" s="537">
        <v>4553.1664810000002</v>
      </c>
      <c r="BE66" s="537">
        <v>525372.03049373673</v>
      </c>
      <c r="BF66" s="537">
        <v>130732.2590559408</v>
      </c>
    </row>
    <row r="67" spans="1:60" ht="14.5" x14ac:dyDescent="0.35">
      <c r="A67" s="529" t="s">
        <v>24</v>
      </c>
      <c r="B67" s="757">
        <v>46669</v>
      </c>
      <c r="C67" s="716">
        <f>+B67/B69</f>
        <v>7.090850525253814E-2</v>
      </c>
      <c r="U67" s="589" t="s">
        <v>43</v>
      </c>
      <c r="V67" s="962">
        <f>+V58*Z6</f>
        <v>1720180.7790596175</v>
      </c>
      <c r="X67" s="550"/>
      <c r="Y67" s="550"/>
      <c r="Z67" s="550"/>
      <c r="AA67" s="722"/>
      <c r="AB67" s="783" t="s">
        <v>720</v>
      </c>
      <c r="AC67" s="939">
        <f>+'SPECIAL INPUTS'!J5</f>
        <v>21207</v>
      </c>
      <c r="AD67" s="784">
        <f>+AC67/AC69</f>
        <v>0.14127639730864033</v>
      </c>
      <c r="AE67" s="555"/>
      <c r="AF67" s="559"/>
      <c r="AG67" s="559"/>
      <c r="AH67" s="754" t="s">
        <v>728</v>
      </c>
      <c r="AI67" s="555">
        <v>2062.14</v>
      </c>
      <c r="AJ67" s="667"/>
      <c r="AK67" s="560"/>
      <c r="AL67" s="560"/>
      <c r="AQ67" s="551" t="s">
        <v>670</v>
      </c>
      <c r="AR67" s="679">
        <f>SUM(AR5:AR66)</f>
        <v>12097011.910783846</v>
      </c>
      <c r="AS67" s="679">
        <f>SUM(AS5:AS66)</f>
        <v>3010190.1188709154</v>
      </c>
      <c r="AU67" s="552"/>
      <c r="AX67" s="550"/>
      <c r="AY67" s="552"/>
      <c r="AZ67" s="553"/>
      <c r="BA67" s="553"/>
      <c r="BC67" s="1209" t="s">
        <v>425</v>
      </c>
      <c r="BD67" s="1086">
        <v>153307.31648099999</v>
      </c>
      <c r="BE67" s="1086">
        <v>4582198.6983851204</v>
      </c>
      <c r="BF67" s="1086">
        <v>1140222.8373674718</v>
      </c>
    </row>
    <row r="68" spans="1:60" ht="15" thickBot="1" x14ac:dyDescent="0.4">
      <c r="A68" s="529" t="s">
        <v>43</v>
      </c>
      <c r="B68" s="757">
        <v>254384</v>
      </c>
      <c r="C68" s="716">
        <f>+B68/B69</f>
        <v>0.38650901455273656</v>
      </c>
      <c r="U68" s="589" t="s">
        <v>547</v>
      </c>
      <c r="V68" s="576">
        <f>SUM(V65:V67)</f>
        <v>4450557.9799999995</v>
      </c>
      <c r="AB68" s="783" t="s">
        <v>721</v>
      </c>
      <c r="AC68" s="939">
        <f>+'SPECIAL INPUTS'!J6</f>
        <v>128903</v>
      </c>
      <c r="AD68" s="784">
        <f>+AC68/AC69</f>
        <v>0.85872360269135972</v>
      </c>
      <c r="AE68" s="555"/>
      <c r="AF68" s="559"/>
      <c r="AG68" s="559"/>
      <c r="AH68" s="754" t="s">
        <v>729</v>
      </c>
      <c r="AI68" s="555">
        <v>4047.25</v>
      </c>
      <c r="AJ68" s="667"/>
      <c r="AK68" s="560"/>
      <c r="AL68" s="560"/>
      <c r="AQ68" s="613" t="s">
        <v>479</v>
      </c>
      <c r="AR68" s="680">
        <f>+BE40</f>
        <v>2486220.7345148404</v>
      </c>
      <c r="AS68" s="680">
        <f>+BF40</f>
        <v>618664.9350735097</v>
      </c>
      <c r="AU68" s="552"/>
      <c r="AX68" s="550"/>
      <c r="AY68" s="552"/>
      <c r="AZ68" s="553"/>
      <c r="BA68" s="553"/>
    </row>
    <row r="69" spans="1:60" ht="15.5" thickTop="1" thickBot="1" x14ac:dyDescent="0.4">
      <c r="A69" s="529" t="s">
        <v>547</v>
      </c>
      <c r="B69" s="758">
        <f>SUM(B66:B68)</f>
        <v>658158</v>
      </c>
      <c r="C69" s="717">
        <f>SUM(C66:C68)</f>
        <v>1</v>
      </c>
      <c r="AC69" s="940">
        <f>SUM(AC67:AC68)</f>
        <v>150110</v>
      </c>
      <c r="AD69" s="785">
        <f>SUM(AD67:AD68)</f>
        <v>1</v>
      </c>
      <c r="AF69" s="559"/>
      <c r="AG69" s="559"/>
      <c r="AH69" s="754" t="s">
        <v>730</v>
      </c>
      <c r="AI69" s="555">
        <v>1302.07</v>
      </c>
      <c r="AJ69" s="667"/>
      <c r="AK69" s="560"/>
      <c r="AL69" s="560"/>
      <c r="AQ69" s="565" t="s">
        <v>671</v>
      </c>
      <c r="AR69" s="681">
        <f>+AR67+AR68</f>
        <v>14583232.645298686</v>
      </c>
      <c r="AS69" s="681">
        <f>+AS67+AS68</f>
        <v>3628855.0539444252</v>
      </c>
      <c r="AU69" s="552"/>
      <c r="AX69" s="550"/>
      <c r="BC69" s="765"/>
      <c r="BD69" s="765"/>
      <c r="BE69" s="766"/>
      <c r="BF69" s="766"/>
    </row>
    <row r="70" spans="1:60" ht="15" thickTop="1" x14ac:dyDescent="0.35">
      <c r="U70" s="589" t="s">
        <v>1160</v>
      </c>
      <c r="V70" s="555">
        <f>+V7</f>
        <v>-37914</v>
      </c>
      <c r="AC70" s="555"/>
      <c r="AD70" s="555"/>
      <c r="AE70" s="555"/>
      <c r="AF70" s="559"/>
      <c r="AG70" s="559"/>
      <c r="AH70" s="754" t="s">
        <v>731</v>
      </c>
      <c r="AI70" s="555">
        <v>766.98</v>
      </c>
      <c r="AJ70" s="667"/>
      <c r="AK70" s="560"/>
      <c r="AL70" s="560"/>
      <c r="AQ70" s="535"/>
      <c r="AR70" s="608">
        <f>AR67-AM9</f>
        <v>9610791.176269006</v>
      </c>
      <c r="AS70" s="608">
        <f>AS67-AN9</f>
        <v>2391525.1837974056</v>
      </c>
      <c r="AU70" s="552"/>
    </row>
    <row r="71" spans="1:60" ht="13" x14ac:dyDescent="0.3">
      <c r="AC71" s="555"/>
      <c r="AD71" s="555"/>
      <c r="AE71" s="555"/>
      <c r="AF71" s="559"/>
      <c r="AG71" s="559"/>
      <c r="AH71" s="754" t="s">
        <v>732</v>
      </c>
      <c r="AI71" s="555">
        <v>1835.25</v>
      </c>
      <c r="AJ71" s="667"/>
      <c r="AK71" s="560"/>
      <c r="AL71" s="560"/>
      <c r="AQ71" s="675"/>
      <c r="AR71" s="662"/>
      <c r="AS71" s="662"/>
      <c r="AU71" s="552"/>
      <c r="AY71" s="588"/>
      <c r="AZ71" s="662"/>
      <c r="BA71" s="662"/>
    </row>
    <row r="72" spans="1:60" ht="13" x14ac:dyDescent="0.3">
      <c r="AC72" s="555"/>
      <c r="AD72" s="555"/>
      <c r="AE72" s="555"/>
      <c r="AF72" s="559"/>
      <c r="AG72" s="559"/>
      <c r="AH72" s="754" t="s">
        <v>733</v>
      </c>
      <c r="AI72" s="555">
        <v>1138.44</v>
      </c>
      <c r="AJ72" s="667"/>
      <c r="AK72" s="560"/>
      <c r="AL72" s="560"/>
      <c r="AQ72" s="675"/>
      <c r="AR72" s="662"/>
      <c r="AS72" s="662"/>
      <c r="AU72" s="552"/>
      <c r="AY72" s="550"/>
      <c r="AZ72" s="662"/>
      <c r="BA72" s="662"/>
    </row>
    <row r="73" spans="1:60" ht="26" x14ac:dyDescent="0.5">
      <c r="A73" s="677" t="s">
        <v>1014</v>
      </c>
      <c r="B73" s="677"/>
      <c r="C73" s="1159" t="s">
        <v>1147</v>
      </c>
      <c r="D73" s="882"/>
      <c r="E73" s="882"/>
      <c r="U73" s="764"/>
      <c r="V73" s="647"/>
      <c r="W73" s="917"/>
      <c r="X73" s="917"/>
      <c r="Y73" s="917"/>
      <c r="Z73" s="550"/>
      <c r="AA73" s="550"/>
      <c r="AB73" s="917"/>
      <c r="AC73" s="555"/>
      <c r="AD73" s="555"/>
      <c r="AE73" s="555"/>
      <c r="AF73" s="559"/>
      <c r="AG73" s="559"/>
      <c r="AH73" s="754" t="s">
        <v>734</v>
      </c>
      <c r="AI73" s="555">
        <v>751.61</v>
      </c>
      <c r="AJ73" s="667"/>
      <c r="AK73" s="560"/>
      <c r="AL73" s="560"/>
      <c r="AQ73" s="675"/>
      <c r="AR73" s="662"/>
      <c r="AS73" s="662"/>
      <c r="AU73" s="552"/>
      <c r="AY73" s="551"/>
      <c r="AZ73" s="676"/>
      <c r="BA73" s="676"/>
    </row>
    <row r="74" spans="1:60" ht="14.5" x14ac:dyDescent="0.35">
      <c r="A74" s="551" t="s">
        <v>1015</v>
      </c>
      <c r="B74" s="1137">
        <f>B77*C74</f>
        <v>2185941.103899064</v>
      </c>
      <c r="C74" s="1158">
        <f>+C66</f>
        <v>0.54258248019472533</v>
      </c>
      <c r="D74" s="882"/>
      <c r="E74" s="882"/>
      <c r="U74" s="765"/>
      <c r="V74" s="1161"/>
      <c r="W74" s="894"/>
      <c r="X74" s="1162"/>
      <c r="Y74" s="1162"/>
      <c r="Z74" s="1162"/>
      <c r="AA74" s="894"/>
      <c r="AB74" s="917"/>
      <c r="AC74" s="555"/>
      <c r="AD74" s="555"/>
      <c r="AE74" s="555"/>
      <c r="AF74" s="559"/>
      <c r="AG74" s="559"/>
      <c r="AH74" s="754" t="s">
        <v>735</v>
      </c>
      <c r="AI74" s="555">
        <v>570.95000000000005</v>
      </c>
      <c r="AJ74" s="667"/>
      <c r="AK74" s="560"/>
      <c r="AL74" s="560"/>
      <c r="AQ74" s="675"/>
      <c r="AR74" s="662"/>
      <c r="AS74" s="662"/>
      <c r="AU74" s="552"/>
    </row>
    <row r="75" spans="1:60" ht="14.5" x14ac:dyDescent="0.35">
      <c r="A75" s="551" t="s">
        <v>1016</v>
      </c>
      <c r="B75" s="1137">
        <f>B77*C75</f>
        <v>285674.20052327856</v>
      </c>
      <c r="C75" s="1158">
        <f>+C67</f>
        <v>7.090850525253814E-2</v>
      </c>
      <c r="D75" s="882"/>
      <c r="E75" s="882"/>
      <c r="F75" s="550"/>
      <c r="G75" s="550"/>
      <c r="U75" s="550"/>
      <c r="V75" s="647"/>
      <c r="W75" s="550"/>
      <c r="X75" s="647"/>
      <c r="Y75" s="1163"/>
      <c r="Z75" s="1163"/>
      <c r="AA75" s="1163"/>
      <c r="AB75" s="1042"/>
      <c r="AC75" s="555"/>
      <c r="AD75" s="555"/>
      <c r="AE75" s="555"/>
      <c r="AF75" s="559"/>
      <c r="AG75" s="559"/>
      <c r="AH75" s="754" t="s">
        <v>736</v>
      </c>
      <c r="AI75" s="555">
        <v>842.79</v>
      </c>
      <c r="AJ75" s="667"/>
      <c r="AK75" s="560"/>
      <c r="AL75" s="560"/>
      <c r="AQ75" s="675"/>
      <c r="AR75" s="662"/>
      <c r="AS75" s="662"/>
      <c r="AU75" s="552"/>
    </row>
    <row r="76" spans="1:60" ht="14.5" x14ac:dyDescent="0.35">
      <c r="A76" s="551" t="s">
        <v>1146</v>
      </c>
      <c r="B76" s="1137">
        <f>B77*C76</f>
        <v>1557156.6955776575</v>
      </c>
      <c r="C76" s="1158">
        <f>+C68</f>
        <v>0.38650901455273656</v>
      </c>
      <c r="D76" s="882"/>
      <c r="E76" s="882"/>
      <c r="F76" s="550"/>
      <c r="G76" s="550"/>
      <c r="U76" s="550"/>
      <c r="V76" s="647"/>
      <c r="W76" s="550"/>
      <c r="X76" s="647"/>
      <c r="Y76" s="1163"/>
      <c r="Z76" s="1163"/>
      <c r="AA76" s="1163"/>
      <c r="AB76" s="1042"/>
      <c r="AC76" s="574"/>
      <c r="AD76" s="574"/>
      <c r="AE76" s="574"/>
      <c r="AH76" s="754" t="s">
        <v>737</v>
      </c>
      <c r="AI76" s="555">
        <v>406.64</v>
      </c>
      <c r="AJ76" s="667"/>
      <c r="AK76" s="560"/>
      <c r="AL76" s="560"/>
      <c r="AQ76" s="675"/>
      <c r="AR76" s="662"/>
      <c r="AS76" s="662"/>
      <c r="AU76" s="552"/>
    </row>
    <row r="77" spans="1:60" ht="14.5" x14ac:dyDescent="0.35">
      <c r="A77" s="551" t="s">
        <v>1020</v>
      </c>
      <c r="B77" s="1157">
        <v>4028772</v>
      </c>
      <c r="C77" s="1158">
        <v>1</v>
      </c>
      <c r="D77" s="883"/>
      <c r="E77" s="883"/>
      <c r="F77" s="550"/>
      <c r="G77" s="550"/>
      <c r="U77" s="550"/>
      <c r="V77" s="647"/>
      <c r="W77" s="550"/>
      <c r="X77" s="647"/>
      <c r="Y77" s="1163"/>
      <c r="Z77" s="1163"/>
      <c r="AA77" s="1163"/>
      <c r="AB77" s="1042"/>
      <c r="AC77" s="574"/>
      <c r="AD77" s="574"/>
      <c r="AE77" s="574"/>
      <c r="AH77" s="754" t="s">
        <v>738</v>
      </c>
      <c r="AI77" s="555">
        <v>1274.3599999999999</v>
      </c>
      <c r="AJ77" s="667"/>
      <c r="AK77" s="560"/>
      <c r="AL77" s="560"/>
      <c r="AQ77" s="675"/>
      <c r="AR77" s="662"/>
      <c r="AS77" s="662"/>
      <c r="AU77" s="552"/>
    </row>
    <row r="78" spans="1:60" ht="14.5" x14ac:dyDescent="0.35">
      <c r="A78" s="551"/>
      <c r="B78" s="677"/>
      <c r="C78" s="662"/>
      <c r="D78" s="795"/>
      <c r="E78" s="795"/>
      <c r="F78" s="550"/>
      <c r="G78" s="550"/>
      <c r="U78" s="571"/>
      <c r="V78" s="1164"/>
      <c r="W78" s="550"/>
      <c r="X78" s="647"/>
      <c r="Y78" s="1165"/>
      <c r="Z78" s="1163"/>
      <c r="AA78" s="1163"/>
      <c r="AB78" s="1042"/>
      <c r="AH78" s="754" t="s">
        <v>739</v>
      </c>
      <c r="AI78" s="555">
        <v>856.81</v>
      </c>
      <c r="AJ78" s="667"/>
      <c r="AK78" s="560"/>
      <c r="AL78" s="560"/>
      <c r="AQ78" s="675"/>
      <c r="AR78" s="662"/>
      <c r="AS78" s="662"/>
      <c r="AU78" s="552"/>
    </row>
    <row r="79" spans="1:60" ht="14.5" x14ac:dyDescent="0.35">
      <c r="A79" s="885"/>
      <c r="B79" s="888"/>
      <c r="C79" s="889"/>
      <c r="D79" s="882"/>
      <c r="E79" s="882"/>
      <c r="F79" s="588"/>
      <c r="G79" s="550"/>
      <c r="U79" s="571"/>
      <c r="V79" s="1164"/>
      <c r="W79" s="550"/>
      <c r="X79" s="647"/>
      <c r="Y79" s="917"/>
      <c r="Z79" s="1163"/>
      <c r="AA79" s="1163"/>
      <c r="AB79" s="1042"/>
      <c r="AH79" s="754" t="s">
        <v>740</v>
      </c>
      <c r="AI79" s="555">
        <v>857.72</v>
      </c>
      <c r="AJ79" s="667"/>
      <c r="AK79" s="560"/>
      <c r="AL79" s="560"/>
      <c r="AQ79" s="675"/>
      <c r="AR79" s="662"/>
      <c r="AS79" s="662"/>
      <c r="AU79" s="552"/>
      <c r="AV79" s="553"/>
      <c r="AW79" s="553"/>
    </row>
    <row r="80" spans="1:60" ht="14.5" x14ac:dyDescent="0.35">
      <c r="A80" s="885"/>
      <c r="B80" s="888"/>
      <c r="C80" s="889"/>
      <c r="D80" s="882"/>
      <c r="E80" s="882"/>
      <c r="F80" s="794"/>
      <c r="G80" s="794"/>
      <c r="U80" s="550"/>
      <c r="V80" s="1250"/>
      <c r="W80" s="550"/>
      <c r="X80" s="647"/>
      <c r="Y80" s="1163"/>
      <c r="Z80" s="1163"/>
      <c r="AA80" s="1163"/>
      <c r="AB80" s="1042"/>
      <c r="AH80" s="754" t="s">
        <v>741</v>
      </c>
      <c r="AI80" s="555">
        <v>610.35</v>
      </c>
      <c r="AJ80" s="667"/>
      <c r="AK80" s="560"/>
      <c r="AL80" s="560"/>
      <c r="AQ80" s="675"/>
      <c r="AR80" s="662"/>
      <c r="AS80" s="662"/>
      <c r="AU80" s="552"/>
      <c r="AV80" s="553"/>
      <c r="AW80" s="553"/>
    </row>
    <row r="81" spans="1:61" ht="14.5" x14ac:dyDescent="0.35">
      <c r="A81" s="886" t="s">
        <v>1097</v>
      </c>
      <c r="B81" s="888"/>
      <c r="C81" s="771"/>
      <c r="D81" s="882"/>
      <c r="E81" s="882"/>
      <c r="F81" s="550"/>
      <c r="G81" s="550"/>
      <c r="U81" s="766"/>
      <c r="V81" s="1251"/>
      <c r="W81" s="550"/>
      <c r="X81" s="889"/>
      <c r="Y81" s="889"/>
      <c r="Z81" s="889"/>
      <c r="AA81" s="550"/>
      <c r="AB81" s="1252"/>
      <c r="AH81" s="754" t="s">
        <v>742</v>
      </c>
      <c r="AI81" s="555">
        <v>1352.11</v>
      </c>
      <c r="AJ81" s="667"/>
      <c r="AK81" s="560"/>
      <c r="AL81" s="560"/>
      <c r="AQ81" s="675"/>
      <c r="AR81" s="662"/>
      <c r="AS81" s="662"/>
      <c r="AU81" s="552"/>
      <c r="AV81" s="553"/>
      <c r="AW81" s="553"/>
    </row>
    <row r="82" spans="1:61" ht="13" x14ac:dyDescent="0.3">
      <c r="A82" s="886" t="s">
        <v>694</v>
      </c>
      <c r="B82" s="888"/>
      <c r="C82" s="889"/>
      <c r="D82" s="882"/>
      <c r="E82" s="882"/>
      <c r="F82" s="550"/>
      <c r="G82" s="550"/>
      <c r="U82" s="550"/>
      <c r="V82" s="647"/>
      <c r="W82" s="550"/>
      <c r="X82" s="550"/>
      <c r="Y82" s="550"/>
      <c r="Z82" s="550"/>
      <c r="AA82" s="550"/>
      <c r="AB82" s="917"/>
      <c r="AH82" s="754" t="s">
        <v>743</v>
      </c>
      <c r="AI82" s="555">
        <v>1346.41</v>
      </c>
      <c r="AJ82" s="667"/>
      <c r="AK82" s="560"/>
      <c r="AL82" s="560"/>
      <c r="AQ82" s="675"/>
      <c r="AR82" s="662"/>
      <c r="AS82" s="662"/>
      <c r="AU82" s="552"/>
      <c r="AV82" s="553"/>
      <c r="AW82" s="553"/>
    </row>
    <row r="83" spans="1:61" ht="13" x14ac:dyDescent="0.3">
      <c r="A83" s="886"/>
      <c r="B83" s="893"/>
      <c r="C83" s="890"/>
      <c r="D83" s="884"/>
      <c r="E83" s="884"/>
      <c r="F83" s="550"/>
      <c r="G83" s="550"/>
      <c r="AH83" s="754" t="s">
        <v>744</v>
      </c>
      <c r="AI83" s="555">
        <v>2064.4699999999998</v>
      </c>
      <c r="AJ83" s="667"/>
      <c r="AK83" s="560"/>
      <c r="AL83" s="560"/>
      <c r="AQ83" s="675"/>
      <c r="AR83" s="662"/>
      <c r="AS83" s="662"/>
      <c r="AU83" s="552"/>
      <c r="AV83" s="553"/>
      <c r="AW83" s="553"/>
      <c r="BC83" s="534"/>
      <c r="BD83" s="534"/>
    </row>
    <row r="84" spans="1:61" ht="13" x14ac:dyDescent="0.3">
      <c r="A84" s="886" t="s">
        <v>1026</v>
      </c>
      <c r="B84" s="913" t="s">
        <v>820</v>
      </c>
      <c r="C84" s="891"/>
      <c r="D84" s="882"/>
      <c r="E84" s="882"/>
      <c r="F84" s="550"/>
      <c r="G84" s="550"/>
      <c r="AH84" s="754" t="s">
        <v>745</v>
      </c>
      <c r="AI84" s="555">
        <v>4355.3999999999996</v>
      </c>
      <c r="AJ84" s="667"/>
      <c r="AK84" s="560"/>
      <c r="AL84" s="560"/>
      <c r="AQ84" s="675"/>
      <c r="AR84" s="662"/>
      <c r="AS84" s="662"/>
      <c r="AU84" s="552"/>
      <c r="AV84" s="553"/>
      <c r="AW84" s="553"/>
      <c r="AX84" s="553"/>
      <c r="BC84" s="534"/>
      <c r="BD84" s="534"/>
    </row>
    <row r="85" spans="1:61" ht="13" x14ac:dyDescent="0.3">
      <c r="A85" s="886" t="s">
        <v>428</v>
      </c>
      <c r="B85" s="1166">
        <v>21135192</v>
      </c>
      <c r="C85" s="890"/>
      <c r="D85" s="882"/>
      <c r="E85" s="882"/>
      <c r="F85" s="884"/>
      <c r="G85" s="916"/>
      <c r="AF85" s="559"/>
      <c r="AG85" s="559"/>
      <c r="AH85" s="754" t="s">
        <v>746</v>
      </c>
      <c r="AI85" s="555">
        <v>2962.71</v>
      </c>
      <c r="AJ85" s="667"/>
      <c r="AK85" s="560"/>
      <c r="AL85" s="560"/>
      <c r="AQ85" s="675"/>
      <c r="AR85" s="662"/>
      <c r="AS85" s="662"/>
      <c r="AU85" s="552"/>
      <c r="AV85" s="553"/>
      <c r="AW85" s="553"/>
      <c r="AX85" s="553"/>
      <c r="BC85" s="534"/>
      <c r="BD85" s="534"/>
    </row>
    <row r="86" spans="1:61" ht="13" x14ac:dyDescent="0.3">
      <c r="A86" s="886" t="s">
        <v>452</v>
      </c>
      <c r="B86" s="1166">
        <v>253660.05999999991</v>
      </c>
      <c r="C86" s="891"/>
      <c r="D86" s="882"/>
      <c r="E86" s="882"/>
      <c r="F86" s="550"/>
      <c r="G86" s="550"/>
      <c r="AF86" s="559"/>
      <c r="AG86" s="559"/>
      <c r="AH86" s="754" t="s">
        <v>747</v>
      </c>
      <c r="AI86" s="555">
        <v>3364.23</v>
      </c>
      <c r="AJ86" s="667"/>
      <c r="AK86" s="560"/>
      <c r="AL86" s="560"/>
      <c r="AQ86" s="616"/>
      <c r="AR86" s="537"/>
      <c r="AS86" s="537"/>
      <c r="AU86" s="552"/>
      <c r="AV86" s="553"/>
      <c r="AW86" s="553"/>
      <c r="AX86" s="553"/>
      <c r="BC86" s="534"/>
      <c r="BD86" s="534"/>
    </row>
    <row r="87" spans="1:61" ht="13" x14ac:dyDescent="0.3">
      <c r="A87" s="886" t="s">
        <v>429</v>
      </c>
      <c r="B87" s="1167">
        <v>1386814.4599999997</v>
      </c>
      <c r="C87" s="917"/>
      <c r="D87" s="882"/>
      <c r="E87" s="882"/>
      <c r="F87" s="550"/>
      <c r="G87" s="550"/>
      <c r="AF87" s="559"/>
      <c r="AG87" s="559"/>
      <c r="AH87" s="754" t="s">
        <v>748</v>
      </c>
      <c r="AI87" s="555">
        <v>1695.02</v>
      </c>
      <c r="AJ87" s="667"/>
      <c r="AK87" s="560"/>
      <c r="AL87" s="560"/>
      <c r="AQ87" s="616"/>
      <c r="AR87" s="537"/>
      <c r="AS87" s="537"/>
      <c r="AU87" s="552"/>
      <c r="AV87" s="553"/>
      <c r="AW87" s="553"/>
      <c r="AX87" s="553"/>
      <c r="BC87" s="565"/>
      <c r="BD87" s="565"/>
    </row>
    <row r="88" spans="1:61" ht="13" x14ac:dyDescent="0.3">
      <c r="A88" s="886" t="s">
        <v>1155</v>
      </c>
      <c r="B88" s="1167">
        <v>271.19</v>
      </c>
      <c r="C88" s="918"/>
      <c r="D88" s="882"/>
      <c r="E88" s="882"/>
      <c r="F88" s="550"/>
      <c r="G88" s="550"/>
      <c r="AB88" s="871"/>
      <c r="AC88" s="555"/>
      <c r="AD88" s="555"/>
      <c r="AE88" s="555"/>
      <c r="AF88" s="555"/>
      <c r="AG88" s="559"/>
      <c r="AH88" s="754" t="s">
        <v>749</v>
      </c>
      <c r="AI88" s="555">
        <v>4943.51</v>
      </c>
      <c r="AJ88" s="667"/>
      <c r="AK88" s="560"/>
      <c r="AL88" s="560"/>
      <c r="AQ88" s="535"/>
      <c r="AR88" s="548"/>
      <c r="AS88" s="548"/>
      <c r="AU88" s="552"/>
      <c r="AV88" s="553"/>
      <c r="AW88" s="553"/>
      <c r="AX88" s="553"/>
      <c r="BC88" s="565"/>
      <c r="BD88" s="565"/>
    </row>
    <row r="89" spans="1:61" ht="13" x14ac:dyDescent="0.3">
      <c r="A89" s="886" t="s">
        <v>418</v>
      </c>
      <c r="B89" s="1167">
        <v>4999879.0100000119</v>
      </c>
      <c r="C89" s="918"/>
      <c r="D89" s="882"/>
      <c r="E89" s="882"/>
      <c r="F89" s="550"/>
      <c r="G89" s="550"/>
      <c r="AB89" s="871"/>
      <c r="AC89" s="555"/>
      <c r="AD89" s="555"/>
      <c r="AE89" s="555"/>
      <c r="AF89" s="555"/>
      <c r="AG89" s="559"/>
      <c r="AH89" s="754" t="s">
        <v>750</v>
      </c>
      <c r="AI89" s="555">
        <v>4734.49</v>
      </c>
      <c r="AJ89" s="667"/>
      <c r="AK89" s="560"/>
      <c r="AL89" s="560"/>
      <c r="AU89" s="552"/>
      <c r="AV89" s="553"/>
      <c r="AW89" s="553"/>
      <c r="AX89" s="553"/>
      <c r="AY89" s="552"/>
      <c r="AZ89" s="553"/>
      <c r="BA89" s="553"/>
      <c r="BC89" s="565"/>
      <c r="BD89" s="565"/>
    </row>
    <row r="90" spans="1:61" ht="13" x14ac:dyDescent="0.3">
      <c r="A90" s="886" t="s">
        <v>822</v>
      </c>
      <c r="B90" s="1167">
        <v>4488471.9799999986</v>
      </c>
      <c r="C90" s="918"/>
      <c r="D90" s="882"/>
      <c r="E90" s="882"/>
      <c r="F90" s="550"/>
      <c r="G90" s="550"/>
      <c r="AB90" s="871"/>
      <c r="AC90" s="555"/>
      <c r="AD90" s="555"/>
      <c r="AE90" s="555"/>
      <c r="AF90" s="555"/>
      <c r="AG90" s="559"/>
      <c r="AH90" s="754" t="s">
        <v>751</v>
      </c>
      <c r="AI90" s="555">
        <v>116.46</v>
      </c>
      <c r="AJ90" s="667"/>
      <c r="AK90" s="560"/>
      <c r="AL90" s="560"/>
      <c r="AU90" s="552"/>
      <c r="AV90" s="553"/>
      <c r="AW90" s="553"/>
      <c r="AX90" s="553"/>
      <c r="AY90" s="552"/>
      <c r="AZ90" s="553"/>
      <c r="BA90" s="553"/>
      <c r="BC90" s="565"/>
      <c r="BD90" s="565"/>
    </row>
    <row r="91" spans="1:61" ht="13" x14ac:dyDescent="0.3">
      <c r="A91" s="886" t="s">
        <v>1156</v>
      </c>
      <c r="B91" s="1167">
        <v>-37913.660000024749</v>
      </c>
      <c r="C91" s="918"/>
      <c r="D91" s="882"/>
      <c r="E91" s="882"/>
      <c r="F91" s="550"/>
      <c r="G91" s="550"/>
      <c r="AB91" s="871"/>
      <c r="AC91" s="555"/>
      <c r="AD91" s="555"/>
      <c r="AE91" s="555"/>
      <c r="AF91" s="555"/>
      <c r="AG91" s="559"/>
      <c r="AH91" s="754" t="s">
        <v>752</v>
      </c>
      <c r="AI91" s="555">
        <v>951.39</v>
      </c>
      <c r="AJ91" s="667"/>
      <c r="AK91" s="560"/>
      <c r="AL91" s="560"/>
      <c r="AU91" s="552"/>
      <c r="AV91" s="553"/>
      <c r="AW91" s="553"/>
      <c r="AX91" s="553"/>
      <c r="AY91" s="552"/>
      <c r="AZ91" s="553"/>
      <c r="BA91" s="553"/>
      <c r="BC91" s="565"/>
      <c r="BD91" s="565"/>
      <c r="BI91" s="531"/>
    </row>
    <row r="92" spans="1:61" ht="13" x14ac:dyDescent="0.3">
      <c r="A92" s="886" t="s">
        <v>430</v>
      </c>
      <c r="B92" s="1167">
        <v>736339.77</v>
      </c>
      <c r="C92" s="918"/>
      <c r="D92" s="882"/>
      <c r="E92" s="882"/>
      <c r="F92" s="550"/>
      <c r="G92" s="550"/>
      <c r="AB92" s="871"/>
      <c r="AC92" s="555"/>
      <c r="AD92" s="555"/>
      <c r="AE92" s="555"/>
      <c r="AF92" s="574"/>
      <c r="AG92" s="559"/>
      <c r="AH92" s="754" t="s">
        <v>753</v>
      </c>
      <c r="AI92" s="555">
        <v>730.06</v>
      </c>
      <c r="AJ92" s="667"/>
      <c r="AK92" s="560"/>
      <c r="AL92" s="560"/>
      <c r="AU92" s="552"/>
      <c r="AV92" s="553"/>
      <c r="AW92" s="553"/>
      <c r="AX92" s="553"/>
      <c r="AY92" s="552"/>
      <c r="AZ92" s="553"/>
      <c r="BA92" s="553"/>
      <c r="BC92" s="565"/>
      <c r="BD92" s="565"/>
      <c r="BE92" s="566"/>
      <c r="BF92" s="566"/>
    </row>
    <row r="93" spans="1:61" ht="13" x14ac:dyDescent="0.3">
      <c r="A93" s="886" t="s">
        <v>453</v>
      </c>
      <c r="B93" s="1167">
        <v>19801.640000000003</v>
      </c>
      <c r="C93" s="918"/>
      <c r="D93" s="882"/>
      <c r="E93" s="882"/>
      <c r="F93" s="550"/>
      <c r="G93" s="550"/>
      <c r="AB93" s="871"/>
      <c r="AC93" s="555"/>
      <c r="AD93" s="555"/>
      <c r="AE93" s="555"/>
      <c r="AF93" s="574"/>
      <c r="AG93" s="562"/>
      <c r="AH93" s="754" t="s">
        <v>754</v>
      </c>
      <c r="AI93" s="555">
        <v>957.56</v>
      </c>
      <c r="AJ93" s="667"/>
      <c r="AK93" s="560"/>
      <c r="AL93" s="560"/>
      <c r="AU93" s="552"/>
      <c r="AV93" s="553"/>
      <c r="AW93" s="553"/>
      <c r="AX93" s="553"/>
      <c r="AY93" s="552"/>
      <c r="AZ93" s="553"/>
      <c r="BA93" s="553"/>
      <c r="BC93" s="565"/>
      <c r="BD93" s="565"/>
      <c r="BE93" s="566"/>
      <c r="BF93" s="566"/>
    </row>
    <row r="94" spans="1:61" ht="13" x14ac:dyDescent="0.3">
      <c r="A94" s="886" t="s">
        <v>431</v>
      </c>
      <c r="B94" s="1167">
        <v>231815.97</v>
      </c>
      <c r="C94" s="918"/>
      <c r="D94" s="882"/>
      <c r="E94" s="882"/>
      <c r="F94" s="550"/>
      <c r="G94" s="550"/>
      <c r="AB94" s="871"/>
      <c r="AC94" s="555"/>
      <c r="AD94" s="555"/>
      <c r="AE94" s="555"/>
      <c r="AF94" s="574"/>
      <c r="AG94" s="559"/>
      <c r="AH94" s="754" t="s">
        <v>755</v>
      </c>
      <c r="AI94" s="555">
        <v>574.01</v>
      </c>
      <c r="AJ94" s="667"/>
      <c r="AK94" s="560"/>
      <c r="AL94" s="560"/>
      <c r="AU94" s="552"/>
      <c r="AV94" s="553"/>
      <c r="AW94" s="553"/>
      <c r="AX94" s="553"/>
      <c r="AY94" s="552"/>
      <c r="AZ94" s="553"/>
      <c r="BA94" s="553"/>
    </row>
    <row r="95" spans="1:61" ht="13" x14ac:dyDescent="0.3">
      <c r="A95" s="886" t="s">
        <v>419</v>
      </c>
      <c r="B95" s="1166">
        <v>728698.54999999981</v>
      </c>
      <c r="C95" s="794"/>
      <c r="D95" s="882"/>
      <c r="E95" s="882"/>
      <c r="F95" s="550"/>
      <c r="G95" s="550"/>
      <c r="AB95" s="871"/>
      <c r="AC95" s="555"/>
      <c r="AD95" s="555"/>
      <c r="AE95" s="555"/>
      <c r="AF95" s="555"/>
      <c r="AG95" s="559"/>
      <c r="AH95" s="754" t="s">
        <v>756</v>
      </c>
      <c r="AI95" s="555">
        <v>2404.4499999999998</v>
      </c>
      <c r="AJ95" s="667"/>
      <c r="AK95" s="560"/>
      <c r="AL95" s="560"/>
      <c r="AU95" s="552"/>
      <c r="AV95" s="553"/>
      <c r="AW95" s="553"/>
      <c r="AX95" s="553"/>
      <c r="AY95" s="552"/>
      <c r="AZ95" s="553"/>
      <c r="BA95" s="553"/>
      <c r="BC95" s="565"/>
      <c r="BD95" s="565"/>
      <c r="BE95" s="566"/>
      <c r="BF95" s="566"/>
    </row>
    <row r="96" spans="1:61" ht="13" x14ac:dyDescent="0.3">
      <c r="A96" s="1169" t="s">
        <v>823</v>
      </c>
      <c r="B96" s="1167">
        <v>19671639.269999985</v>
      </c>
      <c r="C96" s="550"/>
      <c r="D96" s="914"/>
      <c r="E96" s="914"/>
      <c r="F96" s="550"/>
      <c r="G96" s="550"/>
      <c r="AB96" s="871"/>
      <c r="AC96" s="555"/>
      <c r="AD96" s="555"/>
      <c r="AE96" s="555"/>
      <c r="AF96" s="555"/>
      <c r="AH96" s="754" t="s">
        <v>757</v>
      </c>
      <c r="AI96" s="555">
        <v>1306.8800000000001</v>
      </c>
      <c r="AJ96" s="667"/>
      <c r="AK96" s="560"/>
      <c r="AL96" s="560"/>
      <c r="AM96" s="532">
        <v>0</v>
      </c>
      <c r="AN96" s="532">
        <v>0</v>
      </c>
      <c r="AU96" s="552"/>
      <c r="AV96" s="553"/>
      <c r="AW96" s="553"/>
      <c r="AX96" s="553"/>
      <c r="AY96" s="552"/>
      <c r="AZ96" s="553"/>
      <c r="BA96" s="553"/>
      <c r="BC96" s="565"/>
      <c r="BD96" s="565"/>
      <c r="BE96" s="566"/>
      <c r="BF96" s="566"/>
    </row>
    <row r="97" spans="1:58" ht="13" x14ac:dyDescent="0.3">
      <c r="A97" s="886" t="s">
        <v>586</v>
      </c>
      <c r="B97" s="1167">
        <v>2973.11</v>
      </c>
      <c r="C97" s="550"/>
      <c r="D97" s="882"/>
      <c r="E97" s="882"/>
      <c r="F97" s="550"/>
      <c r="G97" s="550"/>
      <c r="AB97" s="871"/>
      <c r="AC97" s="555"/>
      <c r="AD97" s="555"/>
      <c r="AE97" s="555"/>
      <c r="AF97" s="555"/>
      <c r="AH97" s="754" t="s">
        <v>758</v>
      </c>
      <c r="AI97" s="555">
        <v>1544.01</v>
      </c>
      <c r="AJ97" s="667"/>
      <c r="AK97" s="560"/>
      <c r="AL97" s="560"/>
      <c r="AO97" s="874"/>
      <c r="AU97" s="552"/>
      <c r="AV97" s="553"/>
      <c r="AW97" s="553"/>
      <c r="AX97" s="553"/>
      <c r="AY97" s="552"/>
      <c r="AZ97" s="553"/>
      <c r="BA97" s="553"/>
      <c r="BC97" s="565"/>
      <c r="BD97" s="565"/>
      <c r="BE97" s="566"/>
      <c r="BF97" s="566"/>
    </row>
    <row r="98" spans="1:58" ht="13" x14ac:dyDescent="0.3">
      <c r="A98" s="886" t="s">
        <v>454</v>
      </c>
      <c r="B98" s="1167">
        <v>23228.49</v>
      </c>
      <c r="C98" s="550"/>
      <c r="D98" s="882"/>
      <c r="E98" s="882"/>
      <c r="F98" s="914"/>
      <c r="G98" s="914"/>
      <c r="AB98" s="871"/>
      <c r="AC98" s="555"/>
      <c r="AD98" s="555"/>
      <c r="AE98" s="555"/>
      <c r="AF98" s="555"/>
      <c r="AH98" s="754" t="s">
        <v>759</v>
      </c>
      <c r="AI98" s="555">
        <v>1725.19</v>
      </c>
      <c r="AJ98" s="667"/>
      <c r="AK98" s="560"/>
      <c r="AL98" s="560"/>
      <c r="AU98" s="552"/>
      <c r="AV98" s="553"/>
      <c r="AW98" s="553"/>
      <c r="AX98" s="553"/>
      <c r="AY98" s="552"/>
      <c r="AZ98" s="553"/>
      <c r="BA98" s="553"/>
      <c r="BC98" s="565"/>
      <c r="BD98" s="565"/>
      <c r="BE98" s="566"/>
      <c r="BF98" s="566"/>
    </row>
    <row r="99" spans="1:58" ht="13" x14ac:dyDescent="0.3">
      <c r="A99" s="886" t="s">
        <v>432</v>
      </c>
      <c r="B99" s="1166">
        <v>102232.73</v>
      </c>
      <c r="C99" s="550"/>
      <c r="D99" s="882"/>
      <c r="E99" s="882"/>
      <c r="F99" s="550"/>
      <c r="G99" s="550"/>
      <c r="AB99" s="871"/>
      <c r="AC99" s="555"/>
      <c r="AD99" s="555"/>
      <c r="AE99" s="555"/>
      <c r="AF99" s="575"/>
      <c r="AH99" s="754" t="s">
        <v>760</v>
      </c>
      <c r="AI99" s="555">
        <v>238.31</v>
      </c>
      <c r="AJ99" s="667"/>
      <c r="AK99" s="560"/>
      <c r="AL99" s="560"/>
      <c r="AU99" s="552"/>
      <c r="AV99" s="553"/>
      <c r="AW99" s="553"/>
      <c r="AX99" s="553"/>
      <c r="AY99" s="552"/>
      <c r="AZ99" s="553"/>
      <c r="BA99" s="553"/>
      <c r="BC99" s="565"/>
      <c r="BD99" s="565"/>
      <c r="BE99" s="566"/>
      <c r="BF99" s="566"/>
    </row>
    <row r="100" spans="1:58" ht="13" x14ac:dyDescent="0.3">
      <c r="A100" s="886" t="s">
        <v>420</v>
      </c>
      <c r="B100" s="1167">
        <v>964089.63999999978</v>
      </c>
      <c r="C100" s="550"/>
      <c r="D100" s="882"/>
      <c r="E100" s="882"/>
      <c r="F100" s="550"/>
      <c r="G100" s="550"/>
      <c r="AB100" s="871"/>
      <c r="AC100" s="555"/>
      <c r="AD100" s="555"/>
      <c r="AE100" s="555"/>
      <c r="AF100" s="661"/>
      <c r="AH100" s="754" t="s">
        <v>761</v>
      </c>
      <c r="AI100" s="555">
        <v>992.96</v>
      </c>
      <c r="AJ100" s="667"/>
      <c r="AK100" s="560"/>
      <c r="AL100" s="560"/>
      <c r="AU100" s="552"/>
      <c r="AV100" s="553"/>
      <c r="AW100" s="553"/>
      <c r="AX100" s="553"/>
      <c r="AY100" s="552"/>
      <c r="AZ100" s="553"/>
      <c r="BA100" s="553"/>
      <c r="BC100" s="565"/>
      <c r="BD100" s="565"/>
      <c r="BE100" s="566"/>
      <c r="BF100" s="566"/>
    </row>
    <row r="101" spans="1:58" ht="13" x14ac:dyDescent="0.3">
      <c r="A101" s="886" t="s">
        <v>918</v>
      </c>
      <c r="B101" s="1166">
        <v>1786843.1099999996</v>
      </c>
      <c r="C101" s="550"/>
      <c r="D101" s="919"/>
      <c r="E101" s="882"/>
      <c r="F101" s="550"/>
      <c r="G101" s="550"/>
      <c r="AB101" s="871"/>
      <c r="AC101" s="555"/>
      <c r="AD101" s="555"/>
      <c r="AE101" s="555"/>
      <c r="AF101" s="555"/>
      <c r="AH101" s="754" t="s">
        <v>762</v>
      </c>
      <c r="AI101" s="555">
        <v>451.1</v>
      </c>
      <c r="AJ101" s="667"/>
      <c r="AK101" s="560"/>
      <c r="AL101" s="560"/>
      <c r="AU101" s="552"/>
      <c r="AV101" s="553"/>
      <c r="AW101" s="553"/>
      <c r="AX101" s="553"/>
      <c r="AY101" s="552"/>
      <c r="AZ101" s="553"/>
      <c r="BA101" s="553"/>
      <c r="BC101" s="565"/>
      <c r="BD101" s="565"/>
      <c r="BE101" s="566"/>
      <c r="BF101" s="566"/>
    </row>
    <row r="102" spans="1:58" ht="13" x14ac:dyDescent="0.3">
      <c r="A102" s="886" t="s">
        <v>481</v>
      </c>
      <c r="B102" s="1167">
        <v>216854.18000000005</v>
      </c>
      <c r="C102" s="550"/>
      <c r="D102" s="918"/>
      <c r="E102" s="882"/>
      <c r="F102" s="550"/>
      <c r="G102" s="550"/>
      <c r="AB102" s="871"/>
      <c r="AC102" s="555"/>
      <c r="AD102" s="555"/>
      <c r="AE102" s="555"/>
      <c r="AF102" s="555"/>
      <c r="AH102" s="754" t="s">
        <v>763</v>
      </c>
      <c r="AI102" s="555">
        <v>1437.49</v>
      </c>
      <c r="AJ102" s="667"/>
      <c r="AK102" s="560"/>
      <c r="AL102" s="560"/>
      <c r="AU102" s="552"/>
      <c r="AV102" s="553"/>
      <c r="AW102" s="553"/>
      <c r="AX102" s="553"/>
      <c r="AY102" s="552"/>
      <c r="AZ102" s="553"/>
      <c r="BA102" s="553"/>
      <c r="BC102" s="565"/>
      <c r="BD102" s="565"/>
      <c r="BE102" s="566"/>
      <c r="BF102" s="566"/>
    </row>
    <row r="103" spans="1:58" ht="13" x14ac:dyDescent="0.3">
      <c r="A103" s="886" t="s">
        <v>433</v>
      </c>
      <c r="B103" s="1167">
        <v>75896</v>
      </c>
      <c r="C103" s="550"/>
      <c r="D103" s="920"/>
      <c r="E103" s="882"/>
      <c r="F103" s="550"/>
      <c r="G103" s="550"/>
      <c r="AB103" s="871"/>
      <c r="AC103" s="555"/>
      <c r="AD103" s="555"/>
      <c r="AE103" s="555"/>
      <c r="AF103" s="555"/>
      <c r="AH103" s="754" t="s">
        <v>764</v>
      </c>
      <c r="AI103" s="555">
        <v>1129.02</v>
      </c>
      <c r="AJ103" s="667"/>
      <c r="AK103" s="560"/>
      <c r="AL103" s="560"/>
      <c r="AU103" s="552"/>
      <c r="AV103" s="553"/>
      <c r="AW103" s="553"/>
      <c r="AX103" s="553"/>
      <c r="AY103" s="552"/>
      <c r="AZ103" s="553"/>
      <c r="BA103" s="553"/>
      <c r="BC103" s="565"/>
      <c r="BD103" s="565"/>
      <c r="BE103" s="566"/>
      <c r="BF103" s="566"/>
    </row>
    <row r="104" spans="1:58" ht="13" x14ac:dyDescent="0.3">
      <c r="A104" s="886" t="s">
        <v>435</v>
      </c>
      <c r="B104" s="1166">
        <v>1112968.48</v>
      </c>
      <c r="C104" s="550"/>
      <c r="D104" s="920"/>
      <c r="E104" s="882"/>
      <c r="F104" s="915"/>
      <c r="G104" s="550"/>
      <c r="AB104" s="871"/>
      <c r="AC104" s="555"/>
      <c r="AD104" s="555"/>
      <c r="AE104" s="555"/>
      <c r="AF104" s="555"/>
      <c r="AH104" s="754" t="s">
        <v>765</v>
      </c>
      <c r="AI104" s="555">
        <v>841.13</v>
      </c>
      <c r="AJ104" s="667"/>
      <c r="AK104" s="560"/>
      <c r="AL104" s="560"/>
      <c r="AU104" s="552"/>
      <c r="AV104" s="553"/>
      <c r="AW104" s="553"/>
      <c r="AX104" s="553"/>
      <c r="AY104" s="552"/>
      <c r="AZ104" s="548"/>
      <c r="BA104" s="548"/>
      <c r="BC104" s="565"/>
      <c r="BD104" s="565"/>
      <c r="BE104" s="566"/>
      <c r="BF104" s="566"/>
    </row>
    <row r="105" spans="1:58" ht="13" x14ac:dyDescent="0.3">
      <c r="A105" s="886" t="s">
        <v>436</v>
      </c>
      <c r="B105" s="1167">
        <v>634312.69000000006</v>
      </c>
      <c r="C105" s="550"/>
      <c r="D105" s="920"/>
      <c r="E105" s="882"/>
      <c r="F105" s="921"/>
      <c r="G105" s="550"/>
      <c r="AB105" s="871"/>
      <c r="AC105" s="555"/>
      <c r="AD105" s="555"/>
      <c r="AE105" s="555"/>
      <c r="AF105" s="555"/>
      <c r="AH105" s="754" t="s">
        <v>766</v>
      </c>
      <c r="AI105" s="555">
        <v>593.20000000000005</v>
      </c>
      <c r="AJ105" s="667"/>
      <c r="AK105" s="560"/>
      <c r="AL105" s="560"/>
      <c r="AU105" s="552"/>
      <c r="AV105" s="553"/>
      <c r="AW105" s="553"/>
      <c r="AX105" s="553"/>
      <c r="AY105" s="552"/>
      <c r="AZ105" s="548"/>
      <c r="BA105" s="548"/>
      <c r="BC105" s="565"/>
      <c r="BD105" s="565"/>
      <c r="BE105" s="566"/>
      <c r="BF105" s="566"/>
    </row>
    <row r="106" spans="1:58" ht="13" x14ac:dyDescent="0.3">
      <c r="A106" s="886" t="s">
        <v>437</v>
      </c>
      <c r="B106" s="1166">
        <v>1683120.63</v>
      </c>
      <c r="C106" s="886"/>
      <c r="D106" s="886"/>
      <c r="E106" s="882"/>
      <c r="F106" s="921"/>
      <c r="G106" s="550"/>
      <c r="AB106" s="871"/>
      <c r="AC106" s="555"/>
      <c r="AD106" s="555"/>
      <c r="AE106" s="555"/>
      <c r="AF106" s="555"/>
      <c r="AH106" s="754" t="s">
        <v>767</v>
      </c>
      <c r="AI106" s="555">
        <v>3883.38</v>
      </c>
      <c r="AJ106" s="667"/>
      <c r="AK106" s="560"/>
      <c r="AL106" s="560"/>
      <c r="AU106" s="552"/>
      <c r="AV106" s="548"/>
      <c r="AW106" s="548"/>
      <c r="AX106" s="553"/>
      <c r="AY106" s="552"/>
      <c r="AZ106" s="548"/>
      <c r="BA106" s="548"/>
      <c r="BC106" s="565"/>
      <c r="BD106" s="565"/>
      <c r="BE106" s="566"/>
      <c r="BF106" s="566"/>
    </row>
    <row r="107" spans="1:58" ht="13" x14ac:dyDescent="0.3">
      <c r="A107" s="794" t="s">
        <v>439</v>
      </c>
      <c r="B107" s="647">
        <v>334346.94</v>
      </c>
      <c r="C107" s="550"/>
      <c r="D107" s="882"/>
      <c r="E107" s="882"/>
      <c r="F107" s="915"/>
      <c r="G107" s="550"/>
      <c r="AB107" s="871"/>
      <c r="AC107" s="555"/>
      <c r="AD107" s="555"/>
      <c r="AE107" s="555"/>
      <c r="AF107" s="555"/>
      <c r="AH107" s="754" t="s">
        <v>768</v>
      </c>
      <c r="AI107" s="555">
        <v>446.86</v>
      </c>
      <c r="AJ107" s="667"/>
      <c r="AK107" s="560"/>
      <c r="AL107" s="560"/>
      <c r="AU107" s="552"/>
      <c r="AV107" s="548"/>
      <c r="AW107" s="548"/>
      <c r="AX107" s="553"/>
      <c r="AY107" s="552"/>
      <c r="AZ107" s="553"/>
      <c r="BA107" s="553"/>
      <c r="BC107" s="565"/>
      <c r="BD107" s="565"/>
      <c r="BE107" s="566"/>
      <c r="BF107" s="566"/>
    </row>
    <row r="108" spans="1:58" ht="13" x14ac:dyDescent="0.3">
      <c r="A108" s="794" t="s">
        <v>440</v>
      </c>
      <c r="B108" s="647">
        <v>152181.55999999997</v>
      </c>
      <c r="C108" s="550"/>
      <c r="D108" s="882"/>
      <c r="E108" s="882"/>
      <c r="F108" s="550"/>
      <c r="G108" s="550"/>
      <c r="AB108" s="871"/>
      <c r="AC108" s="555"/>
      <c r="AD108" s="555"/>
      <c r="AE108" s="555"/>
      <c r="AF108" s="555"/>
      <c r="AH108" s="754" t="s">
        <v>769</v>
      </c>
      <c r="AI108" s="555">
        <v>572.1</v>
      </c>
      <c r="AJ108" s="667"/>
      <c r="AK108" s="560"/>
      <c r="AL108" s="560"/>
      <c r="AU108" s="552"/>
      <c r="AV108" s="548"/>
      <c r="AW108" s="548"/>
      <c r="AX108" s="553"/>
      <c r="AY108" s="552"/>
      <c r="AZ108" s="553"/>
      <c r="BA108" s="553"/>
      <c r="BC108" s="565"/>
      <c r="BD108" s="565"/>
      <c r="BE108" s="566"/>
      <c r="BF108" s="566"/>
    </row>
    <row r="109" spans="1:58" ht="13" x14ac:dyDescent="0.3">
      <c r="A109" s="794" t="s">
        <v>443</v>
      </c>
      <c r="B109" s="647">
        <v>67108.09</v>
      </c>
      <c r="C109" s="550"/>
      <c r="D109" s="882"/>
      <c r="E109" s="882"/>
      <c r="F109" s="550"/>
      <c r="G109" s="550"/>
      <c r="AB109" s="871"/>
      <c r="AC109" s="555"/>
      <c r="AD109" s="555"/>
      <c r="AE109" s="555"/>
      <c r="AF109" s="555"/>
      <c r="AH109" s="754" t="s">
        <v>770</v>
      </c>
      <c r="AI109" s="555">
        <v>52.08</v>
      </c>
      <c r="AJ109" s="667"/>
      <c r="AK109" s="560"/>
      <c r="AL109" s="560"/>
      <c r="AU109" s="552"/>
      <c r="AV109" s="553"/>
      <c r="AW109" s="553"/>
      <c r="AX109" s="553"/>
      <c r="AY109" s="552"/>
      <c r="AZ109" s="553"/>
      <c r="BA109" s="553"/>
      <c r="BC109" s="565"/>
      <c r="BD109" s="565"/>
      <c r="BE109" s="566"/>
      <c r="BF109" s="566"/>
    </row>
    <row r="110" spans="1:58" ht="13" x14ac:dyDescent="0.3">
      <c r="A110" s="794" t="s">
        <v>421</v>
      </c>
      <c r="B110" s="647">
        <v>28567188.539999992</v>
      </c>
      <c r="C110" s="550"/>
      <c r="D110" s="882"/>
      <c r="E110" s="882"/>
      <c r="F110" s="550"/>
      <c r="G110" s="550"/>
      <c r="AB110" s="871"/>
      <c r="AC110" s="555"/>
      <c r="AD110" s="555"/>
      <c r="AE110" s="555"/>
      <c r="AF110" s="555"/>
      <c r="AH110" s="754" t="s">
        <v>771</v>
      </c>
      <c r="AI110" s="555">
        <v>8802.82</v>
      </c>
      <c r="AJ110" s="667"/>
      <c r="AK110" s="560"/>
      <c r="AL110" s="560"/>
      <c r="AU110" s="552"/>
      <c r="AV110" s="553"/>
      <c r="AW110" s="553"/>
      <c r="AX110" s="553"/>
      <c r="AY110" s="552"/>
      <c r="AZ110" s="553"/>
      <c r="BA110" s="553"/>
      <c r="BC110" s="565"/>
      <c r="BD110" s="565"/>
      <c r="BE110" s="566"/>
      <c r="BF110" s="566"/>
    </row>
    <row r="111" spans="1:58" ht="13" x14ac:dyDescent="0.3">
      <c r="A111" s="794" t="s">
        <v>920</v>
      </c>
      <c r="B111" s="647">
        <v>79054160.11999996</v>
      </c>
      <c r="C111" s="550"/>
      <c r="D111" s="882"/>
      <c r="E111" s="882"/>
      <c r="F111" s="550"/>
      <c r="G111" s="550"/>
      <c r="AB111" s="871"/>
      <c r="AC111" s="555"/>
      <c r="AD111" s="555"/>
      <c r="AE111" s="555"/>
      <c r="AF111" s="555"/>
      <c r="AH111" s="754" t="s">
        <v>772</v>
      </c>
      <c r="AI111" s="555">
        <v>1202.27</v>
      </c>
      <c r="AJ111" s="667"/>
      <c r="AK111" s="560"/>
      <c r="AL111" s="560"/>
      <c r="AU111" s="552"/>
      <c r="AV111" s="553"/>
      <c r="AW111" s="553"/>
      <c r="AX111" s="553"/>
      <c r="AY111" s="552"/>
      <c r="AZ111" s="553"/>
      <c r="BA111" s="553"/>
      <c r="BC111" s="565"/>
      <c r="BD111" s="565"/>
      <c r="BE111" s="566"/>
      <c r="BF111" s="566"/>
    </row>
    <row r="112" spans="1:58" ht="13" x14ac:dyDescent="0.3">
      <c r="A112" s="794"/>
      <c r="B112" s="647"/>
      <c r="C112" s="550"/>
      <c r="D112" s="882"/>
      <c r="E112" s="882"/>
      <c r="F112" s="550"/>
      <c r="G112" s="550"/>
      <c r="AB112" s="871"/>
      <c r="AC112" s="555"/>
      <c r="AD112" s="555"/>
      <c r="AE112" s="555"/>
      <c r="AF112" s="555"/>
      <c r="AH112" s="754" t="s">
        <v>773</v>
      </c>
      <c r="AI112" s="555">
        <v>1708.5</v>
      </c>
      <c r="AJ112" s="667"/>
      <c r="AK112" s="560"/>
      <c r="AL112" s="560"/>
      <c r="AU112" s="552"/>
      <c r="AV112" s="553"/>
      <c r="AW112" s="553"/>
      <c r="AX112" s="548"/>
      <c r="AY112" s="552"/>
      <c r="AZ112" s="553"/>
      <c r="BA112" s="553"/>
      <c r="BC112" s="565"/>
      <c r="BD112" s="565"/>
      <c r="BE112" s="566"/>
      <c r="BF112" s="566"/>
    </row>
    <row r="113" spans="1:58" ht="13" x14ac:dyDescent="0.3">
      <c r="A113" s="794" t="s">
        <v>1157</v>
      </c>
      <c r="B113" s="647">
        <v>4028772.0900000003</v>
      </c>
      <c r="C113" s="550"/>
      <c r="D113" s="882"/>
      <c r="E113" s="882"/>
      <c r="F113" s="550"/>
      <c r="G113" s="550"/>
      <c r="AB113" s="871"/>
      <c r="AC113" s="555"/>
      <c r="AD113" s="555"/>
      <c r="AE113" s="555"/>
      <c r="AF113" s="555"/>
      <c r="AH113" s="754" t="s">
        <v>774</v>
      </c>
      <c r="AI113" s="555">
        <v>1595.96</v>
      </c>
      <c r="AJ113" s="667"/>
      <c r="AK113" s="560"/>
      <c r="AL113" s="560"/>
      <c r="AU113" s="552"/>
      <c r="AV113" s="553"/>
      <c r="AW113" s="553"/>
      <c r="AX113" s="548"/>
      <c r="AY113" s="552"/>
      <c r="AZ113" s="553"/>
      <c r="BA113" s="553"/>
      <c r="BC113" s="565"/>
      <c r="BD113" s="565"/>
      <c r="BE113" s="566"/>
      <c r="BF113" s="566"/>
    </row>
    <row r="114" spans="1:58" ht="13" x14ac:dyDescent="0.3">
      <c r="A114" s="794" t="s">
        <v>821</v>
      </c>
      <c r="B114" s="647">
        <v>2548505.39</v>
      </c>
      <c r="C114" s="550"/>
      <c r="D114" s="882"/>
      <c r="E114" s="882"/>
      <c r="F114" s="550"/>
      <c r="G114" s="550"/>
      <c r="AB114" s="871"/>
      <c r="AC114" s="555"/>
      <c r="AD114" s="555"/>
      <c r="AE114" s="555"/>
      <c r="AF114" s="555"/>
      <c r="AH114" s="754" t="s">
        <v>775</v>
      </c>
      <c r="AI114" s="555">
        <v>805.79</v>
      </c>
      <c r="AJ114" s="667"/>
      <c r="AK114" s="560"/>
      <c r="AL114" s="560"/>
      <c r="AU114" s="552"/>
      <c r="AV114" s="553"/>
      <c r="AW114" s="553"/>
      <c r="AX114" s="548"/>
      <c r="AY114" s="552"/>
      <c r="AZ114" s="553"/>
      <c r="BA114" s="553"/>
      <c r="BC114" s="565"/>
      <c r="BD114" s="565"/>
      <c r="BE114" s="566"/>
      <c r="BF114" s="566"/>
    </row>
    <row r="115" spans="1:58" ht="13" x14ac:dyDescent="0.3">
      <c r="A115" s="794" t="s">
        <v>916</v>
      </c>
      <c r="B115" s="647">
        <v>84714.39</v>
      </c>
      <c r="C115" s="550"/>
      <c r="D115" s="882"/>
      <c r="E115" s="882"/>
      <c r="F115" s="550"/>
      <c r="G115" s="550"/>
      <c r="AB115" s="871"/>
      <c r="AC115" s="555"/>
      <c r="AD115" s="555"/>
      <c r="AE115" s="555"/>
      <c r="AF115" s="555"/>
      <c r="AH115" s="754" t="s">
        <v>776</v>
      </c>
      <c r="AI115" s="555">
        <v>894</v>
      </c>
      <c r="AJ115" s="667"/>
      <c r="AK115" s="563"/>
      <c r="AL115" s="563"/>
      <c r="AU115" s="552"/>
      <c r="AV115" s="553"/>
      <c r="AW115" s="553"/>
      <c r="AX115" s="553"/>
      <c r="AY115" s="552"/>
      <c r="AZ115" s="553"/>
      <c r="BA115" s="553"/>
      <c r="BC115" s="565"/>
      <c r="BD115" s="565"/>
      <c r="BE115" s="566"/>
      <c r="BF115" s="566"/>
    </row>
    <row r="116" spans="1:58" ht="13" x14ac:dyDescent="0.3">
      <c r="A116" s="794" t="s">
        <v>917</v>
      </c>
      <c r="B116" s="647">
        <v>761694.65999999992</v>
      </c>
      <c r="C116" s="550"/>
      <c r="D116" s="882"/>
      <c r="E116" s="882"/>
      <c r="F116" s="550"/>
      <c r="G116" s="550"/>
      <c r="AB116" s="871"/>
      <c r="AC116" s="555"/>
      <c r="AD116" s="555"/>
      <c r="AE116" s="555"/>
      <c r="AF116" s="555"/>
      <c r="AH116" s="754" t="s">
        <v>777</v>
      </c>
      <c r="AI116" s="555">
        <v>694.59</v>
      </c>
      <c r="AJ116" s="668"/>
      <c r="AU116" s="552"/>
      <c r="AV116" s="553"/>
      <c r="AW116" s="553"/>
      <c r="AX116" s="553"/>
      <c r="AY116" s="552"/>
      <c r="AZ116" s="553"/>
      <c r="BA116" s="553"/>
      <c r="BC116" s="565"/>
      <c r="BD116" s="565"/>
      <c r="BE116" s="566"/>
      <c r="BF116" s="566"/>
    </row>
    <row r="117" spans="1:58" ht="13" x14ac:dyDescent="0.3">
      <c r="A117" s="794" t="s">
        <v>434</v>
      </c>
      <c r="B117" s="647">
        <v>1043668.1799999999</v>
      </c>
      <c r="C117" s="550"/>
      <c r="D117" s="882"/>
      <c r="E117" s="882"/>
      <c r="F117" s="550"/>
      <c r="G117" s="550"/>
      <c r="AB117" s="871"/>
      <c r="AC117" s="555"/>
      <c r="AD117" s="555"/>
      <c r="AE117" s="555"/>
      <c r="AF117" s="555"/>
      <c r="AH117" s="754" t="s">
        <v>778</v>
      </c>
      <c r="AI117" s="555">
        <v>912.93</v>
      </c>
      <c r="AU117" s="552"/>
      <c r="AV117" s="553"/>
      <c r="AW117" s="553"/>
      <c r="AX117" s="553"/>
      <c r="AY117" s="552"/>
      <c r="AZ117" s="553"/>
      <c r="BA117" s="553"/>
      <c r="BC117" s="565"/>
      <c r="BD117" s="565"/>
      <c r="BE117" s="566"/>
      <c r="BF117" s="566"/>
    </row>
    <row r="118" spans="1:58" ht="13" x14ac:dyDescent="0.3">
      <c r="A118" s="794" t="s">
        <v>442</v>
      </c>
      <c r="B118" s="795">
        <v>10926.64</v>
      </c>
      <c r="C118" s="891"/>
      <c r="D118" s="882"/>
      <c r="E118" s="882"/>
      <c r="F118" s="550"/>
      <c r="G118" s="550"/>
      <c r="AB118" s="871"/>
      <c r="AC118" s="555"/>
      <c r="AD118" s="555"/>
      <c r="AE118" s="555"/>
      <c r="AF118" s="555"/>
      <c r="AH118" s="754" t="s">
        <v>779</v>
      </c>
      <c r="AI118" s="555">
        <v>4142.99</v>
      </c>
      <c r="AK118" s="560"/>
      <c r="AL118" s="560"/>
      <c r="AM118" s="587"/>
      <c r="AN118" s="587"/>
      <c r="AU118" s="552"/>
      <c r="AV118" s="553"/>
      <c r="AW118" s="553"/>
      <c r="AX118" s="553"/>
      <c r="AY118" s="552"/>
      <c r="AZ118" s="553"/>
      <c r="BA118" s="553"/>
      <c r="BC118" s="565"/>
      <c r="BD118" s="565"/>
      <c r="BE118" s="566"/>
      <c r="BF118" s="566"/>
    </row>
    <row r="119" spans="1:58" ht="13" x14ac:dyDescent="0.3">
      <c r="A119" s="794" t="s">
        <v>441</v>
      </c>
      <c r="B119" s="647">
        <v>105512.84999999999</v>
      </c>
      <c r="C119" s="922"/>
      <c r="D119" s="882"/>
      <c r="E119" s="882"/>
      <c r="F119" s="550"/>
      <c r="G119" s="550"/>
      <c r="AB119" s="871"/>
      <c r="AC119" s="555"/>
      <c r="AD119" s="555"/>
      <c r="AE119" s="555"/>
      <c r="AF119" s="555"/>
      <c r="AH119" s="754" t="s">
        <v>780</v>
      </c>
      <c r="AI119" s="555">
        <v>401.34</v>
      </c>
      <c r="AJ119" s="667"/>
      <c r="AK119" s="560"/>
      <c r="AL119" s="560"/>
      <c r="AM119" s="587"/>
      <c r="AN119" s="587"/>
      <c r="AO119" s="874"/>
      <c r="AU119" s="552"/>
      <c r="AV119" s="553"/>
      <c r="AW119" s="553"/>
      <c r="AX119" s="553"/>
      <c r="AY119" s="552"/>
      <c r="AZ119" s="553"/>
      <c r="BA119" s="553"/>
      <c r="BC119" s="565"/>
      <c r="BD119" s="565"/>
      <c r="BE119" s="566"/>
      <c r="BF119" s="566"/>
    </row>
    <row r="120" spans="1:58" ht="13" x14ac:dyDescent="0.3">
      <c r="A120" s="794" t="s">
        <v>438</v>
      </c>
      <c r="B120" s="647">
        <v>3003446.8299999991</v>
      </c>
      <c r="C120" s="662"/>
      <c r="D120" s="882"/>
      <c r="E120" s="882"/>
      <c r="F120" s="550"/>
      <c r="G120" s="550"/>
      <c r="AB120" s="871"/>
      <c r="AC120" s="555"/>
      <c r="AD120" s="555"/>
      <c r="AE120" s="555"/>
      <c r="AF120" s="555"/>
      <c r="AH120" s="754" t="s">
        <v>781</v>
      </c>
      <c r="AI120" s="555">
        <v>938.12</v>
      </c>
      <c r="AJ120" s="667"/>
      <c r="AK120" s="560"/>
      <c r="AL120" s="560"/>
      <c r="AM120" s="587"/>
      <c r="AN120" s="587"/>
      <c r="AO120" s="874"/>
      <c r="AU120" s="552"/>
      <c r="AV120" s="553"/>
      <c r="AW120" s="553"/>
      <c r="AX120" s="553"/>
      <c r="AY120" s="552"/>
      <c r="AZ120" s="553"/>
      <c r="BA120" s="553"/>
      <c r="BC120" s="565"/>
      <c r="BD120" s="565"/>
      <c r="BE120" s="566"/>
      <c r="BF120" s="566"/>
    </row>
    <row r="121" spans="1:58" ht="13" x14ac:dyDescent="0.3">
      <c r="A121" s="794" t="s">
        <v>1158</v>
      </c>
      <c r="B121" s="1168">
        <f>SUM(B85:B120)</f>
        <v>179979415.57999986</v>
      </c>
      <c r="C121" s="676"/>
      <c r="D121" s="882"/>
      <c r="E121" s="882"/>
      <c r="F121" s="550"/>
      <c r="G121" s="550"/>
      <c r="AB121" s="871"/>
      <c r="AC121" s="555"/>
      <c r="AD121" s="555"/>
      <c r="AE121" s="555"/>
      <c r="AF121" s="555"/>
      <c r="AH121" s="754" t="s">
        <v>782</v>
      </c>
      <c r="AI121" s="555">
        <v>640.45000000000005</v>
      </c>
      <c r="AJ121" s="667"/>
      <c r="AK121" s="560"/>
      <c r="AL121" s="560"/>
      <c r="AM121" s="547"/>
      <c r="AN121" s="587"/>
      <c r="AO121" s="874"/>
      <c r="AU121" s="552"/>
      <c r="AV121" s="553"/>
      <c r="AW121" s="553"/>
      <c r="AX121" s="553"/>
      <c r="AY121" s="552"/>
      <c r="AZ121" s="553"/>
      <c r="BA121" s="553"/>
      <c r="BC121" s="565"/>
      <c r="BD121" s="565"/>
      <c r="BE121" s="566"/>
      <c r="BF121" s="566"/>
    </row>
    <row r="122" spans="1:58" ht="13" x14ac:dyDescent="0.3">
      <c r="A122" s="550"/>
      <c r="B122" s="571"/>
      <c r="C122" s="662"/>
      <c r="D122" s="882"/>
      <c r="E122" s="882"/>
      <c r="F122" s="550"/>
      <c r="G122" s="550"/>
      <c r="AB122" s="871"/>
      <c r="AC122" s="555"/>
      <c r="AD122" s="555"/>
      <c r="AE122" s="555"/>
      <c r="AF122" s="555"/>
      <c r="AH122" s="754" t="s">
        <v>783</v>
      </c>
      <c r="AI122" s="555">
        <v>400.72</v>
      </c>
      <c r="AJ122" s="667"/>
      <c r="AK122" s="563"/>
      <c r="AL122" s="563"/>
      <c r="AM122" s="565"/>
      <c r="AN122" s="573"/>
      <c r="AO122" s="874"/>
      <c r="AQ122" s="535"/>
      <c r="AR122" s="548"/>
      <c r="AS122" s="548"/>
      <c r="AU122" s="552"/>
      <c r="AV122" s="553"/>
      <c r="AW122" s="553"/>
      <c r="AX122" s="553"/>
      <c r="AY122" s="552"/>
      <c r="AZ122" s="553"/>
      <c r="BA122" s="553"/>
      <c r="BC122" s="565"/>
      <c r="BD122" s="565"/>
      <c r="BE122" s="566"/>
      <c r="BF122" s="566"/>
    </row>
    <row r="123" spans="1:58" ht="13" x14ac:dyDescent="0.3">
      <c r="A123" s="550"/>
      <c r="B123" s="571"/>
      <c r="C123" s="662"/>
      <c r="D123" s="882"/>
      <c r="E123" s="882"/>
      <c r="F123" s="550"/>
      <c r="G123" s="550"/>
      <c r="AB123" s="871"/>
      <c r="AC123" s="555"/>
      <c r="AD123" s="555"/>
      <c r="AE123" s="555"/>
      <c r="AF123" s="555"/>
      <c r="AH123" s="754" t="s">
        <v>784</v>
      </c>
      <c r="AI123" s="555">
        <v>4038.25</v>
      </c>
      <c r="AJ123" s="668"/>
      <c r="AM123" s="547"/>
      <c r="AN123" s="547"/>
      <c r="AO123" s="875"/>
      <c r="AQ123" s="535"/>
      <c r="AR123" s="548"/>
      <c r="AS123" s="548"/>
      <c r="AU123" s="552"/>
      <c r="AV123" s="553"/>
      <c r="AW123" s="553"/>
      <c r="AX123" s="553"/>
      <c r="AY123" s="552"/>
      <c r="AZ123" s="553"/>
      <c r="BA123" s="553"/>
      <c r="BC123" s="565"/>
      <c r="BD123" s="565"/>
      <c r="BE123" s="566"/>
      <c r="BF123" s="566"/>
    </row>
    <row r="124" spans="1:58" ht="13" x14ac:dyDescent="0.3">
      <c r="A124" s="550"/>
      <c r="B124" s="571"/>
      <c r="C124" s="662"/>
      <c r="D124" s="882"/>
      <c r="E124" s="882"/>
      <c r="F124" s="550"/>
      <c r="G124" s="550"/>
      <c r="AH124" s="754" t="s">
        <v>785</v>
      </c>
      <c r="AI124" s="555">
        <v>2522.84</v>
      </c>
      <c r="AQ124" s="535"/>
      <c r="AR124" s="548"/>
      <c r="AS124" s="548"/>
      <c r="AU124" s="552"/>
      <c r="AV124" s="553"/>
      <c r="AW124" s="553"/>
      <c r="AX124" s="553"/>
      <c r="AY124" s="552"/>
      <c r="AZ124" s="553"/>
      <c r="BA124" s="553"/>
      <c r="BC124" s="565"/>
      <c r="BD124" s="565"/>
      <c r="BE124" s="566"/>
      <c r="BF124" s="566"/>
    </row>
    <row r="125" spans="1:58" ht="13" x14ac:dyDescent="0.3">
      <c r="A125" s="550"/>
      <c r="B125" s="571"/>
      <c r="C125" s="662"/>
      <c r="D125" s="882"/>
      <c r="E125" s="882"/>
      <c r="F125" s="550"/>
      <c r="G125" s="550"/>
      <c r="AH125" s="754" t="s">
        <v>786</v>
      </c>
      <c r="AI125" s="555">
        <v>340.77</v>
      </c>
      <c r="AQ125" s="535"/>
      <c r="AR125" s="548"/>
      <c r="AS125" s="548"/>
      <c r="AU125" s="552"/>
      <c r="AV125" s="553"/>
      <c r="AW125" s="553"/>
      <c r="AX125" s="553"/>
      <c r="AY125" s="552"/>
      <c r="AZ125" s="553"/>
      <c r="BA125" s="553"/>
      <c r="BC125" s="565"/>
      <c r="BD125" s="565"/>
      <c r="BE125" s="566"/>
      <c r="BF125" s="566"/>
    </row>
    <row r="126" spans="1:58" ht="13" x14ac:dyDescent="0.3">
      <c r="A126" s="550"/>
      <c r="B126" s="677"/>
      <c r="C126" s="676"/>
      <c r="D126" s="882"/>
      <c r="E126" s="882"/>
      <c r="F126" s="550"/>
      <c r="G126" s="550"/>
      <c r="AH126" s="754" t="s">
        <v>787</v>
      </c>
      <c r="AI126" s="555">
        <v>2200.62</v>
      </c>
      <c r="AQ126" s="535"/>
      <c r="AR126" s="548"/>
      <c r="AS126" s="548"/>
      <c r="AU126" s="552"/>
      <c r="AV126" s="553"/>
      <c r="AW126" s="553"/>
      <c r="AX126" s="553"/>
      <c r="AY126" s="552"/>
      <c r="AZ126" s="553"/>
      <c r="BA126" s="553"/>
      <c r="BC126" s="565"/>
      <c r="BD126" s="565"/>
      <c r="BE126" s="566"/>
      <c r="BF126" s="566"/>
    </row>
    <row r="127" spans="1:58" ht="13" x14ac:dyDescent="0.3">
      <c r="A127" s="550"/>
      <c r="B127" s="677"/>
      <c r="C127" s="676"/>
      <c r="D127" s="882"/>
      <c r="E127" s="882"/>
      <c r="F127" s="550"/>
      <c r="G127" s="550"/>
      <c r="AH127" s="754" t="s">
        <v>788</v>
      </c>
      <c r="AI127" s="555">
        <v>832.49</v>
      </c>
      <c r="AQ127" s="535"/>
      <c r="AR127" s="548"/>
      <c r="AS127" s="548"/>
      <c r="AU127" s="552"/>
      <c r="AV127" s="553"/>
      <c r="AW127" s="553"/>
      <c r="AX127" s="553"/>
      <c r="AY127" s="552"/>
      <c r="AZ127" s="553"/>
      <c r="BA127" s="553"/>
      <c r="BC127" s="565"/>
      <c r="BD127" s="565"/>
      <c r="BE127" s="566"/>
      <c r="BF127" s="566"/>
    </row>
    <row r="128" spans="1:58" ht="13" x14ac:dyDescent="0.3">
      <c r="A128" s="550"/>
      <c r="B128" s="571"/>
      <c r="C128" s="662"/>
      <c r="D128" s="882"/>
      <c r="E128" s="882"/>
      <c r="F128" s="550"/>
      <c r="G128" s="550"/>
      <c r="AH128" s="754" t="s">
        <v>789</v>
      </c>
      <c r="AI128" s="555">
        <v>1061.1400000000001</v>
      </c>
      <c r="AU128" s="552"/>
      <c r="AV128" s="553"/>
      <c r="AW128" s="553"/>
      <c r="AX128" s="553"/>
      <c r="AY128" s="552"/>
      <c r="AZ128" s="553"/>
      <c r="BA128" s="553"/>
      <c r="BC128" s="565"/>
      <c r="BD128" s="565"/>
      <c r="BE128" s="566"/>
      <c r="BF128" s="566"/>
    </row>
    <row r="129" spans="1:58" ht="13" x14ac:dyDescent="0.3">
      <c r="A129" s="550"/>
      <c r="B129" s="571"/>
      <c r="C129" s="662"/>
      <c r="D129" s="882"/>
      <c r="E129" s="882"/>
      <c r="F129" s="550"/>
      <c r="G129" s="550"/>
      <c r="AH129" s="754" t="s">
        <v>790</v>
      </c>
      <c r="AI129" s="555">
        <v>3125.62</v>
      </c>
      <c r="AU129" s="552"/>
      <c r="AV129" s="553"/>
      <c r="AW129" s="553"/>
      <c r="AX129" s="553"/>
      <c r="AY129" s="552"/>
      <c r="AZ129" s="553"/>
      <c r="BA129" s="553"/>
      <c r="BC129" s="565"/>
      <c r="BD129" s="565"/>
      <c r="BE129" s="566"/>
      <c r="BF129" s="566"/>
    </row>
    <row r="130" spans="1:58" ht="13" x14ac:dyDescent="0.3">
      <c r="A130" s="550"/>
      <c r="B130" s="571"/>
      <c r="C130" s="662"/>
      <c r="D130" s="882"/>
      <c r="E130" s="882"/>
      <c r="F130" s="550"/>
      <c r="G130" s="550"/>
      <c r="AH130" s="754" t="s">
        <v>791</v>
      </c>
      <c r="AI130" s="555">
        <v>181.51</v>
      </c>
      <c r="AU130" s="552"/>
      <c r="AV130" s="553"/>
      <c r="AW130" s="553"/>
      <c r="AX130" s="553"/>
      <c r="AY130" s="552"/>
      <c r="AZ130" s="553"/>
      <c r="BA130" s="553"/>
      <c r="BC130" s="565"/>
      <c r="BD130" s="565"/>
      <c r="BE130" s="566"/>
      <c r="BF130" s="566"/>
    </row>
    <row r="131" spans="1:58" ht="13" x14ac:dyDescent="0.3">
      <c r="A131" s="550"/>
      <c r="B131" s="571"/>
      <c r="C131" s="662"/>
      <c r="D131" s="882"/>
      <c r="E131" s="882"/>
      <c r="F131" s="550"/>
      <c r="G131" s="550"/>
      <c r="AH131" s="754" t="s">
        <v>792</v>
      </c>
      <c r="AI131" s="555">
        <v>853.29</v>
      </c>
      <c r="AU131" s="552"/>
      <c r="AV131" s="553"/>
      <c r="AW131" s="553"/>
      <c r="AX131" s="553"/>
      <c r="AY131" s="552"/>
      <c r="AZ131" s="553"/>
      <c r="BA131" s="553"/>
      <c r="BC131" s="565"/>
      <c r="BD131" s="565"/>
      <c r="BE131" s="566"/>
      <c r="BF131" s="566"/>
    </row>
    <row r="132" spans="1:58" ht="13" x14ac:dyDescent="0.3">
      <c r="A132" s="550"/>
      <c r="B132" s="677"/>
      <c r="C132" s="676"/>
      <c r="D132" s="882"/>
      <c r="E132" s="882"/>
      <c r="F132" s="550"/>
      <c r="G132" s="550"/>
      <c r="AH132" s="754" t="s">
        <v>793</v>
      </c>
      <c r="AI132" s="555">
        <v>362.33</v>
      </c>
      <c r="AU132" s="552"/>
      <c r="AV132" s="553"/>
      <c r="AW132" s="553"/>
      <c r="AX132" s="553"/>
      <c r="AY132" s="552"/>
      <c r="AZ132" s="553"/>
      <c r="BA132" s="553"/>
      <c r="BC132" s="565"/>
      <c r="BD132" s="565"/>
      <c r="BE132" s="566"/>
      <c r="BF132" s="566"/>
    </row>
    <row r="133" spans="1:58" ht="13" x14ac:dyDescent="0.3">
      <c r="A133" s="550"/>
      <c r="B133" s="677"/>
      <c r="C133" s="676"/>
      <c r="D133" s="882"/>
      <c r="E133" s="882"/>
      <c r="F133" s="550"/>
      <c r="G133" s="550"/>
      <c r="AH133" s="754" t="s">
        <v>794</v>
      </c>
      <c r="AI133" s="555">
        <v>449.48</v>
      </c>
      <c r="AU133" s="552"/>
      <c r="AV133" s="553"/>
      <c r="AW133" s="553"/>
      <c r="AX133" s="553"/>
      <c r="AY133" s="552"/>
      <c r="AZ133" s="553"/>
      <c r="BA133" s="553"/>
      <c r="BC133" s="565"/>
      <c r="BD133" s="565"/>
      <c r="BE133" s="566"/>
      <c r="BF133" s="566"/>
    </row>
    <row r="134" spans="1:58" ht="13" x14ac:dyDescent="0.3">
      <c r="A134" s="550"/>
      <c r="B134" s="571"/>
      <c r="C134" s="662"/>
      <c r="D134" s="882"/>
      <c r="E134" s="882"/>
      <c r="F134" s="550"/>
      <c r="G134" s="550"/>
      <c r="AH134" s="754" t="s">
        <v>795</v>
      </c>
      <c r="AI134" s="555">
        <v>439.96</v>
      </c>
      <c r="AU134" s="552"/>
      <c r="AV134" s="553"/>
      <c r="AW134" s="553"/>
      <c r="AX134" s="553"/>
      <c r="AY134" s="552"/>
      <c r="AZ134" s="553"/>
      <c r="BA134" s="553"/>
      <c r="BC134" s="565"/>
      <c r="BD134" s="565"/>
      <c r="BE134" s="566"/>
      <c r="BF134" s="566"/>
    </row>
    <row r="135" spans="1:58" ht="13" x14ac:dyDescent="0.3">
      <c r="A135" s="550"/>
      <c r="B135" s="571"/>
      <c r="C135" s="662"/>
      <c r="D135" s="882"/>
      <c r="E135" s="882"/>
      <c r="F135" s="550"/>
      <c r="G135" s="550"/>
      <c r="AH135" s="754" t="s">
        <v>796</v>
      </c>
      <c r="AI135" s="555">
        <v>257.04000000000002</v>
      </c>
      <c r="AQ135" s="535"/>
      <c r="AR135" s="548"/>
      <c r="AS135" s="548"/>
      <c r="AU135" s="552"/>
      <c r="AV135" s="553"/>
      <c r="AW135" s="553"/>
      <c r="AX135" s="553"/>
      <c r="AY135" s="552"/>
      <c r="AZ135" s="553"/>
      <c r="BA135" s="553"/>
      <c r="BC135" s="565"/>
      <c r="BD135" s="565"/>
      <c r="BE135" s="566"/>
      <c r="BF135" s="566"/>
    </row>
    <row r="136" spans="1:58" ht="13" x14ac:dyDescent="0.3">
      <c r="A136" s="550"/>
      <c r="B136" s="571"/>
      <c r="C136" s="662"/>
      <c r="D136" s="882"/>
      <c r="E136" s="882"/>
      <c r="F136" s="550"/>
      <c r="G136" s="550"/>
      <c r="AH136" s="754" t="s">
        <v>797</v>
      </c>
      <c r="AI136" s="555">
        <v>769.04</v>
      </c>
      <c r="AQ136" s="535"/>
      <c r="AR136" s="548"/>
      <c r="AS136" s="548"/>
      <c r="AU136" s="552"/>
      <c r="AV136" s="553"/>
      <c r="AW136" s="553"/>
      <c r="AX136" s="553"/>
      <c r="AY136" s="552"/>
      <c r="AZ136" s="553"/>
      <c r="BA136" s="553"/>
      <c r="BC136" s="565"/>
      <c r="BD136" s="565"/>
      <c r="BE136" s="566"/>
      <c r="BF136" s="566"/>
    </row>
    <row r="137" spans="1:58" ht="13" x14ac:dyDescent="0.3">
      <c r="A137" s="550"/>
      <c r="B137" s="571"/>
      <c r="C137" s="662"/>
      <c r="D137" s="882"/>
      <c r="E137" s="882"/>
      <c r="F137" s="550"/>
      <c r="G137" s="550"/>
      <c r="AH137" s="754" t="s">
        <v>798</v>
      </c>
      <c r="AI137" s="555">
        <v>607.27</v>
      </c>
      <c r="AQ137" s="552"/>
      <c r="AR137" s="553"/>
      <c r="AS137" s="553"/>
      <c r="AU137" s="552"/>
      <c r="AV137" s="553"/>
      <c r="AW137" s="553"/>
      <c r="AX137" s="553"/>
      <c r="AY137" s="552"/>
      <c r="AZ137" s="553"/>
      <c r="BA137" s="553"/>
      <c r="BC137" s="565"/>
      <c r="BD137" s="565"/>
      <c r="BE137" s="566"/>
      <c r="BF137" s="566"/>
    </row>
    <row r="138" spans="1:58" ht="13" x14ac:dyDescent="0.3">
      <c r="A138" s="550"/>
      <c r="B138" s="677"/>
      <c r="C138" s="676"/>
      <c r="D138" s="882"/>
      <c r="E138" s="882"/>
      <c r="F138" s="550"/>
      <c r="G138" s="550"/>
      <c r="AH138" s="754" t="s">
        <v>799</v>
      </c>
      <c r="AI138" s="555">
        <v>81.760000000000005</v>
      </c>
      <c r="AQ138" s="552"/>
      <c r="AR138" s="553"/>
      <c r="AS138" s="553"/>
      <c r="AU138" s="552"/>
      <c r="AV138" s="553"/>
      <c r="AW138" s="553"/>
      <c r="AX138" s="553"/>
      <c r="AY138" s="552"/>
      <c r="AZ138" s="553"/>
      <c r="BA138" s="553"/>
      <c r="BC138" s="565"/>
      <c r="BD138" s="565"/>
      <c r="BE138" s="566"/>
      <c r="BF138" s="566"/>
    </row>
    <row r="139" spans="1:58" ht="13" x14ac:dyDescent="0.3">
      <c r="A139" s="550"/>
      <c r="B139" s="571"/>
      <c r="C139" s="662"/>
      <c r="D139" s="882"/>
      <c r="E139" s="882"/>
      <c r="F139" s="550"/>
      <c r="G139" s="550"/>
      <c r="AH139" s="754" t="s">
        <v>800</v>
      </c>
      <c r="AI139" s="555">
        <v>439.92</v>
      </c>
      <c r="AQ139" s="552"/>
      <c r="AR139" s="553"/>
      <c r="AS139" s="553"/>
      <c r="AU139" s="552"/>
      <c r="AV139" s="553"/>
      <c r="AW139" s="553"/>
      <c r="AX139" s="553"/>
      <c r="AY139" s="552"/>
      <c r="AZ139" s="553"/>
      <c r="BA139" s="553"/>
      <c r="BC139" s="565"/>
      <c r="BD139" s="565"/>
      <c r="BE139" s="566"/>
      <c r="BF139" s="566"/>
    </row>
    <row r="140" spans="1:58" ht="13" x14ac:dyDescent="0.3">
      <c r="A140" s="550"/>
      <c r="B140" s="571"/>
      <c r="C140" s="662"/>
      <c r="D140" s="882"/>
      <c r="E140" s="882"/>
      <c r="F140" s="550"/>
      <c r="G140" s="550"/>
      <c r="AH140" s="754" t="s">
        <v>801</v>
      </c>
      <c r="AI140" s="555">
        <v>77.62</v>
      </c>
      <c r="AQ140" s="552"/>
      <c r="AR140" s="553"/>
      <c r="AS140" s="553"/>
      <c r="AU140" s="552"/>
      <c r="AV140" s="553"/>
      <c r="AW140" s="553"/>
      <c r="AX140" s="553"/>
      <c r="AY140" s="552"/>
      <c r="AZ140" s="553"/>
      <c r="BA140" s="553"/>
      <c r="BC140" s="565"/>
      <c r="BD140" s="565"/>
      <c r="BE140" s="566"/>
      <c r="BF140" s="566"/>
    </row>
    <row r="141" spans="1:58" ht="13" x14ac:dyDescent="0.3">
      <c r="A141" s="550"/>
      <c r="B141" s="571"/>
      <c r="C141" s="662"/>
      <c r="D141" s="882"/>
      <c r="E141" s="882"/>
      <c r="F141" s="550"/>
      <c r="G141" s="550"/>
      <c r="AH141" s="754" t="s">
        <v>802</v>
      </c>
      <c r="AI141" s="555">
        <v>354.2</v>
      </c>
      <c r="AQ141" s="552"/>
      <c r="AR141" s="553"/>
      <c r="AS141" s="553"/>
      <c r="AU141" s="552"/>
      <c r="AV141" s="553"/>
      <c r="AW141" s="553"/>
      <c r="AX141" s="553"/>
      <c r="AY141" s="552"/>
      <c r="AZ141" s="553"/>
      <c r="BA141" s="553"/>
      <c r="BC141" s="565"/>
      <c r="BD141" s="565"/>
      <c r="BE141" s="566"/>
      <c r="BF141" s="566"/>
    </row>
    <row r="142" spans="1:58" ht="13" x14ac:dyDescent="0.3">
      <c r="A142" s="550"/>
      <c r="B142" s="571"/>
      <c r="C142" s="662"/>
      <c r="D142" s="882"/>
      <c r="E142" s="882"/>
      <c r="F142" s="550"/>
      <c r="G142" s="550"/>
      <c r="AH142" s="754" t="s">
        <v>803</v>
      </c>
      <c r="AI142" s="555">
        <v>5382.14</v>
      </c>
      <c r="AQ142" s="552"/>
      <c r="AR142" s="553"/>
      <c r="AS142" s="553"/>
      <c r="AU142" s="552"/>
      <c r="AV142" s="553"/>
      <c r="AW142" s="553"/>
      <c r="AX142" s="553"/>
      <c r="AY142" s="552"/>
      <c r="AZ142" s="553"/>
      <c r="BA142" s="553"/>
      <c r="BC142" s="565"/>
      <c r="BD142" s="565"/>
      <c r="BE142" s="566"/>
      <c r="BF142" s="566"/>
    </row>
    <row r="143" spans="1:58" ht="13" x14ac:dyDescent="0.3">
      <c r="A143" s="550"/>
      <c r="B143" s="571"/>
      <c r="C143" s="662"/>
      <c r="D143" s="882"/>
      <c r="E143" s="882"/>
      <c r="F143" s="550"/>
      <c r="G143" s="550"/>
      <c r="AH143" s="754" t="s">
        <v>804</v>
      </c>
      <c r="AI143" s="555">
        <v>5175.46</v>
      </c>
      <c r="AQ143" s="552"/>
      <c r="AR143" s="553"/>
      <c r="AS143" s="553"/>
      <c r="AU143" s="552"/>
      <c r="AV143" s="553"/>
      <c r="AW143" s="553"/>
      <c r="AX143" s="553"/>
      <c r="AY143" s="552"/>
      <c r="AZ143" s="553"/>
      <c r="BA143" s="553"/>
      <c r="BC143" s="565"/>
      <c r="BD143" s="565"/>
      <c r="BE143" s="566"/>
      <c r="BF143" s="566"/>
    </row>
    <row r="144" spans="1:58" ht="13" x14ac:dyDescent="0.3">
      <c r="A144" s="550"/>
      <c r="B144" s="571"/>
      <c r="C144" s="662"/>
      <c r="D144" s="882"/>
      <c r="E144" s="882"/>
      <c r="F144" s="550"/>
      <c r="G144" s="550"/>
      <c r="AH144" s="754" t="s">
        <v>805</v>
      </c>
      <c r="AI144" s="555">
        <v>977.53</v>
      </c>
      <c r="AQ144" s="552"/>
      <c r="AR144" s="553"/>
      <c r="AS144" s="553"/>
      <c r="AU144" s="552"/>
      <c r="AV144" s="553"/>
      <c r="AW144" s="553"/>
      <c r="AX144" s="553"/>
      <c r="AY144" s="552"/>
      <c r="AZ144" s="553"/>
      <c r="BA144" s="553"/>
      <c r="BC144" s="565"/>
      <c r="BD144" s="565"/>
      <c r="BE144" s="566"/>
      <c r="BF144" s="566"/>
    </row>
    <row r="145" spans="1:58" ht="13" x14ac:dyDescent="0.3">
      <c r="A145" s="550"/>
      <c r="B145" s="571"/>
      <c r="C145" s="662"/>
      <c r="D145" s="882"/>
      <c r="E145" s="882"/>
      <c r="F145" s="550"/>
      <c r="G145" s="550"/>
      <c r="AH145" s="754" t="s">
        <v>806</v>
      </c>
      <c r="AI145" s="555">
        <v>142.32</v>
      </c>
      <c r="AQ145" s="552"/>
      <c r="AR145" s="553"/>
      <c r="AS145" s="553"/>
      <c r="AU145" s="552"/>
      <c r="AV145" s="553"/>
      <c r="AW145" s="553"/>
      <c r="AX145" s="553"/>
      <c r="AY145" s="552"/>
      <c r="AZ145" s="554"/>
      <c r="BA145" s="554"/>
      <c r="BC145" s="565"/>
      <c r="BD145" s="565"/>
      <c r="BE145" s="566"/>
      <c r="BF145" s="566"/>
    </row>
    <row r="146" spans="1:58" ht="13" x14ac:dyDescent="0.3">
      <c r="A146" s="550"/>
      <c r="B146" s="571"/>
      <c r="C146" s="662"/>
      <c r="D146" s="882"/>
      <c r="E146" s="882"/>
      <c r="F146" s="550"/>
      <c r="G146" s="550"/>
      <c r="AH146" s="754" t="s">
        <v>807</v>
      </c>
      <c r="AI146" s="555">
        <v>4302.8</v>
      </c>
      <c r="AQ146" s="552"/>
      <c r="AR146" s="553"/>
      <c r="AS146" s="553"/>
      <c r="AU146" s="552"/>
      <c r="AV146" s="553"/>
      <c r="AW146" s="553"/>
      <c r="AX146" s="553"/>
      <c r="BC146" s="565"/>
      <c r="BD146" s="565"/>
      <c r="BE146" s="566"/>
      <c r="BF146" s="566"/>
    </row>
    <row r="147" spans="1:58" ht="13" x14ac:dyDescent="0.3">
      <c r="A147" s="550"/>
      <c r="B147" s="571"/>
      <c r="C147" s="662"/>
      <c r="D147" s="882"/>
      <c r="E147" s="882"/>
      <c r="F147" s="550"/>
      <c r="G147" s="550"/>
      <c r="AH147" s="754" t="s">
        <v>808</v>
      </c>
      <c r="AI147" s="555">
        <v>5715.28</v>
      </c>
      <c r="AQ147" s="552"/>
      <c r="AR147" s="553"/>
      <c r="AS147" s="553"/>
      <c r="AU147" s="552"/>
      <c r="AV147" s="553"/>
      <c r="AW147" s="553"/>
      <c r="AX147" s="553"/>
      <c r="BC147" s="565"/>
      <c r="BD147" s="565"/>
      <c r="BE147" s="566"/>
      <c r="BF147" s="566"/>
    </row>
    <row r="148" spans="1:58" ht="13" x14ac:dyDescent="0.3">
      <c r="A148" s="550"/>
      <c r="B148" s="571"/>
      <c r="C148" s="662"/>
      <c r="D148" s="882"/>
      <c r="E148" s="882"/>
      <c r="F148" s="550"/>
      <c r="G148" s="550"/>
      <c r="AH148" s="754" t="s">
        <v>809</v>
      </c>
      <c r="AI148" s="555">
        <v>299.18</v>
      </c>
      <c r="AQ148" s="552"/>
      <c r="AR148" s="553"/>
      <c r="AS148" s="553"/>
      <c r="AU148" s="552"/>
      <c r="AV148" s="553"/>
      <c r="AW148" s="553"/>
      <c r="AX148" s="553"/>
      <c r="BC148" s="565"/>
      <c r="BD148" s="565"/>
      <c r="BE148" s="566"/>
      <c r="BF148" s="566"/>
    </row>
    <row r="149" spans="1:58" ht="13" x14ac:dyDescent="0.3">
      <c r="A149" s="550"/>
      <c r="B149" s="571"/>
      <c r="C149" s="662"/>
      <c r="D149" s="882"/>
      <c r="E149" s="882"/>
      <c r="F149" s="550"/>
      <c r="G149" s="550"/>
      <c r="AH149" s="754" t="s">
        <v>810</v>
      </c>
      <c r="AI149" s="555">
        <v>1776.98</v>
      </c>
      <c r="AQ149" s="552"/>
      <c r="AR149" s="553"/>
      <c r="AS149" s="553"/>
      <c r="AU149" s="552"/>
      <c r="AV149" s="553"/>
      <c r="AW149" s="553"/>
      <c r="AX149" s="553"/>
      <c r="BC149" s="565"/>
      <c r="BD149" s="565"/>
      <c r="BE149" s="566"/>
      <c r="BF149" s="566"/>
    </row>
    <row r="150" spans="1:58" ht="13" x14ac:dyDescent="0.3">
      <c r="A150" s="550"/>
      <c r="B150" s="571"/>
      <c r="C150" s="662"/>
      <c r="D150" s="882"/>
      <c r="E150" s="882"/>
      <c r="F150" s="550"/>
      <c r="G150" s="550"/>
      <c r="AH150" s="754" t="s">
        <v>811</v>
      </c>
      <c r="AI150" s="555">
        <v>226.69</v>
      </c>
      <c r="AQ150" s="552"/>
      <c r="AR150" s="553"/>
      <c r="AS150" s="553"/>
      <c r="AU150" s="552"/>
      <c r="AV150" s="554"/>
      <c r="AW150" s="554"/>
      <c r="AX150" s="553"/>
      <c r="BC150" s="565"/>
      <c r="BD150" s="565"/>
      <c r="BE150" s="566"/>
      <c r="BF150" s="566"/>
    </row>
    <row r="151" spans="1:58" ht="13" x14ac:dyDescent="0.3">
      <c r="A151" s="550"/>
      <c r="B151" s="571"/>
      <c r="C151" s="662"/>
      <c r="D151" s="882"/>
      <c r="E151" s="882"/>
      <c r="F151" s="550"/>
      <c r="G151" s="550"/>
      <c r="AH151" s="754" t="s">
        <v>812</v>
      </c>
      <c r="AI151" s="555">
        <v>2155.64</v>
      </c>
      <c r="AS151" s="553"/>
      <c r="AX151" s="553"/>
      <c r="BC151" s="565"/>
      <c r="BD151" s="565"/>
      <c r="BE151" s="566"/>
      <c r="BF151" s="566"/>
    </row>
    <row r="152" spans="1:58" ht="13" x14ac:dyDescent="0.3">
      <c r="A152" s="550"/>
      <c r="B152" s="677"/>
      <c r="C152" s="676"/>
      <c r="D152" s="882"/>
      <c r="E152" s="882"/>
      <c r="F152" s="550"/>
      <c r="G152" s="550"/>
      <c r="AH152" s="754" t="s">
        <v>813</v>
      </c>
      <c r="AI152" s="555">
        <v>246.6</v>
      </c>
      <c r="AS152" s="553"/>
      <c r="AX152" s="553"/>
      <c r="BC152" s="565"/>
      <c r="BD152" s="565"/>
      <c r="BE152" s="566"/>
      <c r="BF152" s="566"/>
    </row>
    <row r="153" spans="1:58" ht="13" x14ac:dyDescent="0.3">
      <c r="A153" s="550"/>
      <c r="B153" s="571"/>
      <c r="C153" s="662"/>
      <c r="D153" s="882"/>
      <c r="E153" s="882"/>
      <c r="F153" s="550"/>
      <c r="G153" s="550"/>
      <c r="AH153" s="754">
        <v>565700</v>
      </c>
      <c r="AI153" s="555"/>
      <c r="AS153" s="553"/>
      <c r="AX153" s="553"/>
      <c r="BC153" s="565"/>
      <c r="BD153" s="565"/>
      <c r="BE153" s="566"/>
      <c r="BF153" s="566"/>
    </row>
    <row r="154" spans="1:58" ht="13" x14ac:dyDescent="0.3">
      <c r="A154" s="550"/>
      <c r="B154" s="550"/>
      <c r="C154" s="922"/>
      <c r="D154" s="882"/>
      <c r="E154" s="882"/>
      <c r="F154" s="550"/>
      <c r="G154" s="550"/>
      <c r="AH154" s="754">
        <v>565800</v>
      </c>
      <c r="AI154" s="555">
        <v>200</v>
      </c>
      <c r="AS154" s="553"/>
      <c r="AX154" s="553"/>
      <c r="BC154" s="565"/>
      <c r="BD154" s="565"/>
      <c r="BE154" s="566"/>
      <c r="BF154" s="566"/>
    </row>
    <row r="155" spans="1:58" ht="13" x14ac:dyDescent="0.3">
      <c r="A155" s="550"/>
      <c r="B155" s="677"/>
      <c r="C155" s="923"/>
      <c r="D155" s="882"/>
      <c r="E155" s="882"/>
      <c r="F155" s="550"/>
      <c r="G155" s="550"/>
      <c r="AH155" s="754">
        <v>565900</v>
      </c>
      <c r="AI155" s="555">
        <v>958</v>
      </c>
      <c r="AS155" s="553"/>
      <c r="AX155" s="554"/>
      <c r="BC155" s="565"/>
      <c r="BD155" s="565"/>
      <c r="BE155" s="566"/>
      <c r="BF155" s="566"/>
    </row>
    <row r="156" spans="1:58" ht="13" x14ac:dyDescent="0.3">
      <c r="A156" s="550"/>
      <c r="B156" s="550"/>
      <c r="C156" s="922"/>
      <c r="D156" s="882"/>
      <c r="E156" s="882"/>
      <c r="F156" s="550"/>
      <c r="G156" s="550"/>
      <c r="AH156" s="754" t="s">
        <v>814</v>
      </c>
      <c r="AI156" s="555">
        <v>3438</v>
      </c>
      <c r="AQ156" s="535"/>
      <c r="AR156" s="548"/>
      <c r="AS156" s="553"/>
      <c r="BC156" s="565"/>
      <c r="BD156" s="565"/>
      <c r="BE156" s="566"/>
      <c r="BF156" s="566"/>
    </row>
    <row r="157" spans="1:58" ht="13" x14ac:dyDescent="0.3">
      <c r="A157" s="550"/>
      <c r="B157" s="551"/>
      <c r="C157" s="923"/>
      <c r="D157" s="882"/>
      <c r="E157" s="882"/>
      <c r="F157" s="550"/>
      <c r="G157" s="550"/>
      <c r="AH157" s="754" t="s">
        <v>815</v>
      </c>
      <c r="AI157" s="555">
        <v>1307</v>
      </c>
      <c r="AQ157" s="552"/>
      <c r="AR157" s="553"/>
      <c r="AS157" s="553"/>
      <c r="BC157" s="565"/>
      <c r="BD157" s="565"/>
      <c r="BE157" s="566"/>
      <c r="BF157" s="566"/>
    </row>
    <row r="158" spans="1:58" ht="13" x14ac:dyDescent="0.3">
      <c r="A158" s="550"/>
      <c r="B158" s="550"/>
      <c r="C158" s="922"/>
      <c r="D158" s="882"/>
      <c r="E158" s="882"/>
      <c r="F158" s="550"/>
      <c r="G158" s="550"/>
      <c r="AH158" s="754">
        <v>566400</v>
      </c>
      <c r="AI158" s="555">
        <v>65</v>
      </c>
      <c r="AQ158" s="552"/>
      <c r="AR158" s="553"/>
      <c r="AS158" s="553"/>
      <c r="BC158" s="565"/>
      <c r="BD158" s="565"/>
      <c r="BE158" s="566"/>
      <c r="BF158" s="566"/>
    </row>
    <row r="159" spans="1:58" ht="13" x14ac:dyDescent="0.3">
      <c r="A159" s="550"/>
      <c r="B159" s="550"/>
      <c r="C159" s="550"/>
      <c r="D159" s="882"/>
      <c r="E159" s="882"/>
      <c r="F159" s="550"/>
      <c r="G159" s="550"/>
      <c r="AH159" s="754">
        <v>566500</v>
      </c>
      <c r="AI159" s="555"/>
      <c r="AQ159" s="552"/>
      <c r="AR159" s="553"/>
      <c r="AS159" s="553"/>
      <c r="BC159" s="547"/>
      <c r="BD159" s="547"/>
      <c r="BE159" s="566"/>
      <c r="BF159" s="566"/>
    </row>
    <row r="160" spans="1:58" ht="13" x14ac:dyDescent="0.3">
      <c r="A160" s="550"/>
      <c r="B160" s="550"/>
      <c r="C160" s="550"/>
      <c r="D160" s="882"/>
      <c r="E160" s="882"/>
      <c r="F160" s="550"/>
      <c r="G160" s="550"/>
      <c r="AH160" s="754">
        <v>566600</v>
      </c>
      <c r="AI160" s="555">
        <v>800</v>
      </c>
      <c r="AQ160" s="552"/>
      <c r="AR160" s="553"/>
      <c r="AS160" s="553"/>
      <c r="BC160" s="547"/>
      <c r="BD160" s="547"/>
      <c r="BE160" s="566"/>
      <c r="BF160" s="566"/>
    </row>
    <row r="161" spans="1:58" ht="13" x14ac:dyDescent="0.3">
      <c r="A161" s="550"/>
      <c r="B161" s="550"/>
      <c r="C161" s="550"/>
      <c r="D161" s="882"/>
      <c r="E161" s="882"/>
      <c r="F161" s="550"/>
      <c r="G161" s="550"/>
      <c r="AH161" s="1024">
        <v>566700</v>
      </c>
      <c r="AI161" s="555">
        <v>314</v>
      </c>
      <c r="AQ161" s="552"/>
      <c r="AR161" s="553"/>
      <c r="AS161" s="553"/>
      <c r="BC161" s="547"/>
      <c r="BD161" s="547"/>
      <c r="BE161" s="566"/>
      <c r="BF161" s="566"/>
    </row>
    <row r="162" spans="1:58" ht="13" x14ac:dyDescent="0.3">
      <c r="A162" s="550"/>
      <c r="B162" s="550"/>
      <c r="C162" s="550"/>
      <c r="D162" s="882"/>
      <c r="E162" s="882"/>
      <c r="F162" s="550"/>
      <c r="G162" s="550"/>
      <c r="AH162" s="1024">
        <v>566800</v>
      </c>
      <c r="AI162" s="1127"/>
      <c r="AQ162" s="552"/>
      <c r="AR162" s="553"/>
      <c r="AS162" s="553"/>
      <c r="BC162" s="547"/>
      <c r="BD162" s="547"/>
      <c r="BE162" s="566"/>
      <c r="BF162" s="566"/>
    </row>
    <row r="163" spans="1:58" ht="13" x14ac:dyDescent="0.3">
      <c r="A163" s="550"/>
      <c r="B163" s="550"/>
      <c r="C163" s="550"/>
      <c r="D163" s="882"/>
      <c r="E163" s="882"/>
      <c r="F163" s="550"/>
      <c r="G163" s="550"/>
      <c r="AH163" s="1024">
        <v>566900</v>
      </c>
      <c r="AI163" s="575">
        <v>1000</v>
      </c>
      <c r="AQ163" s="552"/>
      <c r="AR163" s="553"/>
      <c r="AS163" s="553"/>
      <c r="BC163" s="547"/>
      <c r="BD163" s="547"/>
      <c r="BE163" s="566"/>
      <c r="BF163" s="566"/>
    </row>
    <row r="164" spans="1:58" ht="13" x14ac:dyDescent="0.3">
      <c r="A164" s="550"/>
      <c r="B164" s="550"/>
      <c r="C164" s="550"/>
      <c r="D164" s="882"/>
      <c r="E164" s="882"/>
      <c r="F164" s="550"/>
      <c r="G164" s="550"/>
      <c r="AH164" s="1024">
        <v>567600</v>
      </c>
      <c r="AI164" s="575"/>
      <c r="AQ164" s="552"/>
      <c r="AR164" s="553"/>
      <c r="AS164" s="553"/>
      <c r="BC164" s="547"/>
      <c r="BD164" s="547"/>
      <c r="BE164" s="566"/>
      <c r="BF164" s="566"/>
    </row>
    <row r="165" spans="1:58" ht="13" x14ac:dyDescent="0.3">
      <c r="A165" s="550"/>
      <c r="B165" s="550"/>
      <c r="C165" s="550"/>
      <c r="D165" s="882"/>
      <c r="E165" s="882"/>
      <c r="F165" s="550"/>
      <c r="G165" s="550"/>
      <c r="AH165" s="1024">
        <v>567700</v>
      </c>
      <c r="AI165" s="1127">
        <v>65</v>
      </c>
      <c r="AQ165" s="552"/>
      <c r="AR165" s="553"/>
      <c r="AS165" s="553"/>
      <c r="BC165" s="547"/>
      <c r="BD165" s="547"/>
      <c r="BE165" s="566"/>
      <c r="BF165" s="566"/>
    </row>
    <row r="166" spans="1:58" ht="13" x14ac:dyDescent="0.3">
      <c r="A166" s="550"/>
      <c r="B166" s="550"/>
      <c r="C166" s="550"/>
      <c r="D166" s="882"/>
      <c r="E166" s="882"/>
      <c r="F166" s="550"/>
      <c r="G166" s="550"/>
      <c r="AH166" s="1024">
        <v>567800</v>
      </c>
      <c r="AI166" s="1127">
        <v>273</v>
      </c>
      <c r="AQ166" s="552"/>
      <c r="AR166" s="553"/>
      <c r="AS166" s="553"/>
    </row>
    <row r="167" spans="1:58" ht="13" x14ac:dyDescent="0.3">
      <c r="A167" s="550"/>
      <c r="B167" s="550"/>
      <c r="C167" s="550"/>
      <c r="D167" s="882"/>
      <c r="E167" s="882"/>
      <c r="F167" s="550"/>
      <c r="G167" s="550"/>
      <c r="AH167" s="1024">
        <v>568100</v>
      </c>
      <c r="AI167" s="1127">
        <v>395.38</v>
      </c>
      <c r="AQ167" s="552"/>
      <c r="AR167" s="553"/>
      <c r="AS167" s="553"/>
    </row>
    <row r="168" spans="1:58" ht="13" x14ac:dyDescent="0.3">
      <c r="A168" s="550"/>
      <c r="B168" s="550"/>
      <c r="C168" s="550"/>
      <c r="D168" s="882"/>
      <c r="E168" s="882"/>
      <c r="F168" s="550"/>
      <c r="G168" s="550"/>
      <c r="AH168" s="1024">
        <v>568700</v>
      </c>
      <c r="AI168" s="1127">
        <v>65</v>
      </c>
      <c r="AQ168" s="552"/>
      <c r="AR168" s="553"/>
      <c r="AS168" s="553"/>
    </row>
    <row r="169" spans="1:58" ht="13" x14ac:dyDescent="0.3">
      <c r="A169" s="550"/>
      <c r="B169" s="550"/>
      <c r="C169" s="550"/>
      <c r="D169" s="882"/>
      <c r="E169" s="882"/>
      <c r="F169" s="550"/>
      <c r="G169" s="550"/>
      <c r="AH169" s="1024">
        <v>568800</v>
      </c>
      <c r="AI169" s="575">
        <v>379</v>
      </c>
      <c r="AQ169" s="552"/>
      <c r="AR169" s="553"/>
      <c r="AS169" s="553"/>
    </row>
    <row r="170" spans="1:58" ht="13" x14ac:dyDescent="0.3">
      <c r="A170" s="550"/>
      <c r="B170" s="550"/>
      <c r="C170" s="550"/>
      <c r="D170" s="882"/>
      <c r="E170" s="882"/>
      <c r="F170" s="550"/>
      <c r="G170" s="550"/>
      <c r="AH170" s="1024">
        <v>568900</v>
      </c>
      <c r="AI170" s="575">
        <v>400</v>
      </c>
      <c r="AQ170" s="552"/>
      <c r="AR170" s="553"/>
      <c r="AS170" s="553"/>
    </row>
    <row r="171" spans="1:58" ht="13" x14ac:dyDescent="0.3">
      <c r="A171" s="550"/>
      <c r="B171" s="550"/>
      <c r="C171" s="550"/>
      <c r="D171" s="882"/>
      <c r="E171" s="882"/>
      <c r="F171" s="550"/>
      <c r="G171" s="550"/>
      <c r="AH171" s="1024">
        <v>569100</v>
      </c>
      <c r="AI171" s="555">
        <v>3811</v>
      </c>
      <c r="AQ171" s="552"/>
      <c r="AR171" s="553"/>
      <c r="AS171" s="553"/>
    </row>
    <row r="172" spans="1:58" ht="13" x14ac:dyDescent="0.3">
      <c r="A172" s="550"/>
      <c r="B172" s="550"/>
      <c r="C172" s="550"/>
      <c r="D172" s="882"/>
      <c r="E172" s="882"/>
      <c r="F172" s="550"/>
      <c r="G172" s="550"/>
      <c r="AH172" s="1024">
        <v>569900</v>
      </c>
      <c r="AI172" s="555">
        <v>65</v>
      </c>
      <c r="AQ172" s="552"/>
      <c r="AR172" s="553"/>
      <c r="AS172" s="553"/>
    </row>
    <row r="173" spans="1:58" ht="13" x14ac:dyDescent="0.3">
      <c r="A173" s="550"/>
      <c r="B173" s="550"/>
      <c r="C173" s="550"/>
      <c r="D173" s="882"/>
      <c r="E173" s="882"/>
      <c r="F173" s="550"/>
      <c r="G173" s="550"/>
      <c r="AH173" s="1024">
        <v>569900</v>
      </c>
      <c r="AI173" s="555">
        <v>265</v>
      </c>
      <c r="AQ173" s="552"/>
      <c r="AR173" s="553"/>
      <c r="AS173" s="553"/>
    </row>
    <row r="174" spans="1:58" ht="13" x14ac:dyDescent="0.3">
      <c r="A174" s="550"/>
      <c r="B174" s="550"/>
      <c r="C174" s="550"/>
      <c r="D174" s="882"/>
      <c r="E174" s="882"/>
      <c r="F174" s="550"/>
      <c r="G174" s="550"/>
      <c r="AH174" s="1024">
        <v>569950</v>
      </c>
      <c r="AI174" s="555">
        <v>2925</v>
      </c>
      <c r="AQ174" s="552"/>
      <c r="AR174" s="553"/>
      <c r="AS174" s="553"/>
    </row>
    <row r="175" spans="1:58" ht="13" x14ac:dyDescent="0.3">
      <c r="A175" s="550"/>
      <c r="B175" s="550"/>
      <c r="C175" s="550"/>
      <c r="D175" s="882"/>
      <c r="E175" s="882"/>
      <c r="F175" s="550"/>
      <c r="G175" s="550"/>
      <c r="AH175" s="1024">
        <v>570000</v>
      </c>
      <c r="AI175" s="555">
        <v>400</v>
      </c>
      <c r="AQ175" s="552"/>
      <c r="AR175" s="553"/>
      <c r="AS175" s="553"/>
    </row>
    <row r="176" spans="1:58" ht="13" x14ac:dyDescent="0.3">
      <c r="A176" s="550"/>
      <c r="B176" s="550"/>
      <c r="C176" s="550"/>
      <c r="D176" s="882"/>
      <c r="E176" s="882"/>
      <c r="F176" s="550"/>
      <c r="G176" s="550"/>
      <c r="AH176" s="1024">
        <v>570100</v>
      </c>
      <c r="AI176" s="555">
        <v>1712.69</v>
      </c>
      <c r="AQ176" s="552"/>
      <c r="AR176" s="553"/>
      <c r="AS176" s="553"/>
    </row>
    <row r="177" spans="1:45" ht="13" x14ac:dyDescent="0.3">
      <c r="A177" s="550"/>
      <c r="B177" s="550"/>
      <c r="C177" s="550"/>
      <c r="D177" s="882"/>
      <c r="E177" s="882"/>
      <c r="F177" s="550"/>
      <c r="G177" s="550"/>
      <c r="AH177" s="1024">
        <v>570800</v>
      </c>
      <c r="AI177" s="555">
        <v>316</v>
      </c>
      <c r="AQ177" s="552"/>
      <c r="AR177" s="553"/>
      <c r="AS177" s="553"/>
    </row>
    <row r="178" spans="1:45" ht="13" x14ac:dyDescent="0.3">
      <c r="A178" s="550"/>
      <c r="B178" s="550"/>
      <c r="C178" s="550"/>
      <c r="D178" s="882"/>
      <c r="E178" s="882"/>
      <c r="F178" s="550"/>
      <c r="G178" s="550"/>
      <c r="AH178" s="571">
        <v>800600</v>
      </c>
      <c r="AI178" s="555">
        <v>14445</v>
      </c>
      <c r="AQ178" s="552"/>
      <c r="AR178" s="553"/>
      <c r="AS178" s="553"/>
    </row>
    <row r="179" spans="1:45" ht="13.5" thickBot="1" x14ac:dyDescent="0.35">
      <c r="A179" s="550"/>
      <c r="B179" s="550"/>
      <c r="C179" s="550"/>
      <c r="D179" s="882"/>
      <c r="E179" s="882"/>
      <c r="F179" s="550"/>
      <c r="G179" s="550"/>
      <c r="AH179" s="564" t="s">
        <v>1148</v>
      </c>
      <c r="AI179" s="577">
        <f>SUM(AI3:AI178)</f>
        <v>1786843.1099999996</v>
      </c>
      <c r="AQ179" s="552"/>
    </row>
    <row r="180" spans="1:45" ht="13.5" thickTop="1" x14ac:dyDescent="0.3">
      <c r="A180" s="550"/>
      <c r="B180" s="550"/>
      <c r="C180" s="550"/>
      <c r="D180" s="882"/>
      <c r="E180" s="882"/>
      <c r="F180" s="550"/>
      <c r="G180" s="550"/>
      <c r="AH180" s="572"/>
      <c r="AI180" s="580"/>
      <c r="AQ180" s="535"/>
    </row>
    <row r="181" spans="1:45" ht="13" x14ac:dyDescent="0.3">
      <c r="A181" s="550"/>
      <c r="B181" s="550"/>
      <c r="C181" s="550"/>
      <c r="D181" s="882"/>
      <c r="E181" s="882"/>
      <c r="F181" s="550"/>
      <c r="G181" s="550"/>
      <c r="AH181" s="1025" t="s">
        <v>651</v>
      </c>
      <c r="AI181" s="581"/>
      <c r="AQ181" s="535"/>
    </row>
    <row r="182" spans="1:45" ht="13" x14ac:dyDescent="0.3">
      <c r="A182" s="550"/>
      <c r="B182" s="550"/>
      <c r="C182" s="550"/>
      <c r="D182" s="882"/>
      <c r="E182" s="882"/>
      <c r="F182" s="550"/>
      <c r="G182" s="550"/>
      <c r="AH182" s="619" t="s">
        <v>42</v>
      </c>
      <c r="AI182" s="930">
        <f>SUM(AI3:AI22)+AI190+AI178</f>
        <v>1190777.748120978</v>
      </c>
      <c r="AQ182" s="535"/>
    </row>
    <row r="183" spans="1:45" ht="13" x14ac:dyDescent="0.3">
      <c r="A183" s="550"/>
      <c r="B183" s="550"/>
      <c r="C183" s="550"/>
      <c r="D183" s="882"/>
      <c r="E183" s="882"/>
      <c r="F183" s="550"/>
      <c r="G183" s="550"/>
      <c r="AH183" s="619" t="s">
        <v>24</v>
      </c>
      <c r="AI183" s="930">
        <f>SUM(AI24:AI40)</f>
        <v>96169.49000000002</v>
      </c>
      <c r="AQ183" s="535"/>
      <c r="AR183" s="548"/>
      <c r="AS183" s="548"/>
    </row>
    <row r="184" spans="1:45" ht="13" x14ac:dyDescent="0.3">
      <c r="A184" s="550"/>
      <c r="B184" s="550"/>
      <c r="C184" s="550"/>
      <c r="D184" s="882"/>
      <c r="E184" s="882"/>
      <c r="F184" s="550"/>
      <c r="G184" s="550"/>
      <c r="AH184" s="565" t="s">
        <v>43</v>
      </c>
      <c r="AI184" s="930">
        <f>SUM(AI41:AI60)+AI191</f>
        <v>499895.8718790221</v>
      </c>
      <c r="AQ184" s="535"/>
      <c r="AR184" s="548"/>
      <c r="AS184" s="548"/>
    </row>
    <row r="185" spans="1:45" ht="13" x14ac:dyDescent="0.3">
      <c r="A185" s="550"/>
      <c r="B185" s="550"/>
      <c r="C185" s="550"/>
      <c r="D185" s="882"/>
      <c r="E185" s="882"/>
      <c r="F185" s="550"/>
      <c r="G185" s="550"/>
      <c r="AH185" s="677"/>
      <c r="AI185" s="941"/>
      <c r="AQ185" s="535"/>
      <c r="AR185" s="548"/>
      <c r="AS185" s="548"/>
    </row>
    <row r="186" spans="1:45" ht="13.5" thickBot="1" x14ac:dyDescent="0.35">
      <c r="A186" s="550"/>
      <c r="B186" s="550"/>
      <c r="C186" s="550"/>
      <c r="D186" s="882"/>
      <c r="E186" s="882"/>
      <c r="F186" s="550"/>
      <c r="G186" s="550"/>
      <c r="AH186" s="564" t="s">
        <v>425</v>
      </c>
      <c r="AI186" s="707">
        <f>SUM(AI182:AI184)</f>
        <v>1786843.11</v>
      </c>
      <c r="AK186" s="537"/>
      <c r="AQ186" s="535"/>
      <c r="AR186" s="548"/>
      <c r="AS186" s="548"/>
    </row>
    <row r="187" spans="1:45" ht="13.5" thickTop="1" x14ac:dyDescent="0.3">
      <c r="A187" s="550"/>
      <c r="B187" s="550"/>
      <c r="C187" s="550"/>
      <c r="D187" s="882"/>
      <c r="E187" s="882"/>
      <c r="F187" s="550"/>
      <c r="G187" s="550"/>
      <c r="AH187" s="547"/>
      <c r="AI187" s="547"/>
      <c r="AQ187" s="535"/>
      <c r="AR187" s="548"/>
      <c r="AS187" s="548"/>
    </row>
    <row r="188" spans="1:45" ht="13" x14ac:dyDescent="0.3">
      <c r="A188" s="550"/>
      <c r="B188" s="550"/>
      <c r="C188" s="550"/>
      <c r="D188" s="882"/>
      <c r="E188" s="882"/>
      <c r="F188" s="550"/>
      <c r="G188" s="550"/>
      <c r="AH188" s="547"/>
      <c r="AI188" s="547"/>
      <c r="AQ188" s="535"/>
      <c r="AR188" s="548"/>
      <c r="AS188" s="548"/>
    </row>
    <row r="189" spans="1:45" ht="13" x14ac:dyDescent="0.3">
      <c r="A189" s="550"/>
      <c r="B189" s="550"/>
      <c r="C189" s="550"/>
      <c r="D189" s="882"/>
      <c r="E189" s="882"/>
      <c r="F189" s="550"/>
      <c r="G189" s="550"/>
      <c r="AH189" s="787" t="s">
        <v>816</v>
      </c>
      <c r="AI189" s="788">
        <f>SUM(AI61:AI177)</f>
        <v>166098.22</v>
      </c>
      <c r="AJ189" s="1160" t="s">
        <v>1149</v>
      </c>
      <c r="AQ189" s="535"/>
      <c r="AR189" s="548"/>
      <c r="AS189" s="548"/>
    </row>
    <row r="190" spans="1:45" ht="13" x14ac:dyDescent="0.3">
      <c r="A190" s="550"/>
      <c r="B190" s="550"/>
      <c r="C190" s="550"/>
      <c r="D190" s="882"/>
      <c r="E190" s="882"/>
      <c r="F190" s="550"/>
      <c r="G190" s="550"/>
      <c r="AH190" s="565" t="s">
        <v>528</v>
      </c>
      <c r="AI190" s="661">
        <f>+AI189*AK195</f>
        <v>23465.758120977949</v>
      </c>
      <c r="AQ190" s="535"/>
      <c r="AR190" s="548"/>
      <c r="AS190" s="548"/>
    </row>
    <row r="191" spans="1:45" ht="13" x14ac:dyDescent="0.3">
      <c r="A191" s="550"/>
      <c r="B191" s="550"/>
      <c r="C191" s="550"/>
      <c r="D191" s="882"/>
      <c r="E191" s="882"/>
      <c r="F191" s="550"/>
      <c r="G191" s="550"/>
      <c r="AH191" s="551" t="s">
        <v>626</v>
      </c>
      <c r="AI191" s="661">
        <f>+AI189*AK196</f>
        <v>142632.46187902207</v>
      </c>
      <c r="AQ191" s="535"/>
      <c r="AR191" s="548"/>
      <c r="AS191" s="548"/>
    </row>
    <row r="192" spans="1:45" ht="13" x14ac:dyDescent="0.3">
      <c r="A192" s="550"/>
      <c r="B192" s="550"/>
      <c r="C192" s="550"/>
      <c r="D192" s="882"/>
      <c r="E192" s="882"/>
      <c r="F192" s="550"/>
      <c r="G192" s="550"/>
      <c r="AQ192" s="535"/>
      <c r="AR192" s="548"/>
      <c r="AS192" s="548"/>
    </row>
    <row r="193" spans="1:45" ht="13" x14ac:dyDescent="0.3">
      <c r="A193" s="550"/>
      <c r="B193" s="550"/>
      <c r="C193" s="550"/>
      <c r="D193" s="882"/>
      <c r="E193" s="882"/>
      <c r="F193" s="550"/>
      <c r="G193" s="550"/>
      <c r="AH193" s="578"/>
      <c r="AQ193" s="535"/>
      <c r="AR193" s="548"/>
      <c r="AS193" s="548"/>
    </row>
    <row r="194" spans="1:45" ht="14.5" x14ac:dyDescent="0.35">
      <c r="A194" s="550"/>
      <c r="B194" s="550"/>
      <c r="C194" s="550"/>
      <c r="D194" s="882"/>
      <c r="E194" s="882"/>
      <c r="F194" s="550"/>
      <c r="G194" s="550"/>
      <c r="AH194" s="761" t="s">
        <v>713</v>
      </c>
      <c r="AI194" s="762" t="s">
        <v>711</v>
      </c>
      <c r="AK194" s="762" t="s">
        <v>712</v>
      </c>
      <c r="AQ194" s="535"/>
      <c r="AR194" s="548"/>
      <c r="AS194" s="548"/>
    </row>
    <row r="195" spans="1:45" ht="14.5" x14ac:dyDescent="0.35">
      <c r="A195" s="550"/>
      <c r="B195" s="550"/>
      <c r="C195" s="550"/>
      <c r="D195" s="882"/>
      <c r="E195" s="882"/>
      <c r="F195" s="550"/>
      <c r="G195" s="550"/>
      <c r="AH195" s="534" t="s">
        <v>1150</v>
      </c>
      <c r="AI195" s="937">
        <f>+'SPECIAL INPUTS'!J5</f>
        <v>21207</v>
      </c>
      <c r="AK195" s="763">
        <f>+AI195/AI197</f>
        <v>0.14127639730864033</v>
      </c>
      <c r="AQ195" s="535"/>
      <c r="AR195" s="548"/>
      <c r="AS195" s="548"/>
    </row>
    <row r="196" spans="1:45" ht="14.5" x14ac:dyDescent="0.35">
      <c r="A196" s="550"/>
      <c r="B196" s="550"/>
      <c r="C196" s="550"/>
      <c r="D196" s="882"/>
      <c r="E196" s="882"/>
      <c r="F196" s="550"/>
      <c r="G196" s="550"/>
      <c r="AH196" s="534" t="s">
        <v>1151</v>
      </c>
      <c r="AI196" s="938">
        <f>+'SPECIAL INPUTS'!J6</f>
        <v>128903</v>
      </c>
      <c r="AK196" s="759">
        <f>+AI196/AI197</f>
        <v>0.85872360269135972</v>
      </c>
      <c r="AQ196" s="535"/>
      <c r="AR196" s="548"/>
      <c r="AS196" s="548"/>
    </row>
    <row r="197" spans="1:45" ht="15" thickBot="1" x14ac:dyDescent="0.4">
      <c r="A197" s="550"/>
      <c r="B197" s="550"/>
      <c r="C197" s="550"/>
      <c r="D197" s="882"/>
      <c r="E197" s="882"/>
      <c r="F197" s="550"/>
      <c r="G197" s="550"/>
      <c r="AH197" s="534" t="s">
        <v>1152</v>
      </c>
      <c r="AI197" s="936">
        <f>+AI195+AI196</f>
        <v>150110</v>
      </c>
      <c r="AK197" s="760">
        <f>SUM(AK195:AK195)</f>
        <v>0.14127639730864033</v>
      </c>
      <c r="AQ197" s="535"/>
      <c r="AR197" s="548"/>
      <c r="AS197" s="548"/>
    </row>
    <row r="198" spans="1:45" ht="13.5" thickTop="1" x14ac:dyDescent="0.3">
      <c r="A198" s="550"/>
      <c r="B198" s="550"/>
      <c r="C198" s="550"/>
      <c r="D198" s="882"/>
      <c r="E198" s="882"/>
      <c r="F198" s="550"/>
      <c r="G198" s="550"/>
      <c r="AQ198" s="535"/>
      <c r="AR198" s="548"/>
      <c r="AS198" s="548"/>
    </row>
    <row r="199" spans="1:45" ht="13" x14ac:dyDescent="0.3">
      <c r="A199" s="550"/>
      <c r="B199" s="550"/>
      <c r="C199" s="550"/>
      <c r="D199" s="882"/>
      <c r="E199" s="882"/>
      <c r="F199" s="550"/>
      <c r="G199" s="550"/>
      <c r="AQ199" s="535"/>
      <c r="AR199" s="548"/>
      <c r="AS199" s="548"/>
    </row>
    <row r="200" spans="1:45" ht="13" x14ac:dyDescent="0.3">
      <c r="A200" s="550"/>
      <c r="B200" s="550"/>
      <c r="C200" s="550"/>
      <c r="D200" s="882"/>
      <c r="E200" s="882"/>
      <c r="F200" s="550"/>
      <c r="G200" s="550"/>
      <c r="AQ200" s="535"/>
      <c r="AR200" s="548"/>
      <c r="AS200" s="548"/>
    </row>
    <row r="201" spans="1:45" ht="13" x14ac:dyDescent="0.3">
      <c r="A201" s="550"/>
      <c r="B201" s="550"/>
      <c r="C201" s="550"/>
      <c r="D201" s="882"/>
      <c r="E201" s="882"/>
      <c r="F201" s="550"/>
      <c r="G201" s="550"/>
      <c r="AQ201" s="535"/>
      <c r="AR201" s="548"/>
      <c r="AS201" s="548"/>
    </row>
    <row r="202" spans="1:45" ht="13" x14ac:dyDescent="0.3">
      <c r="A202" s="550"/>
      <c r="B202" s="550"/>
      <c r="C202" s="550"/>
      <c r="D202" s="882"/>
      <c r="E202" s="882"/>
      <c r="F202" s="550"/>
      <c r="G202" s="550"/>
      <c r="AQ202" s="535"/>
      <c r="AR202" s="548"/>
      <c r="AS202" s="548"/>
    </row>
    <row r="203" spans="1:45" ht="13" x14ac:dyDescent="0.3">
      <c r="A203" s="550"/>
      <c r="B203" s="550"/>
      <c r="C203" s="550"/>
      <c r="D203" s="882"/>
      <c r="E203" s="882"/>
      <c r="F203" s="550"/>
      <c r="G203" s="550"/>
      <c r="AQ203" s="535"/>
      <c r="AR203" s="548"/>
      <c r="AS203" s="548"/>
    </row>
    <row r="204" spans="1:45" ht="13" x14ac:dyDescent="0.3">
      <c r="A204" s="550"/>
      <c r="B204" s="550"/>
      <c r="C204" s="550"/>
      <c r="D204" s="882"/>
      <c r="E204" s="882"/>
      <c r="F204" s="550"/>
      <c r="G204" s="550"/>
      <c r="AQ204" s="535"/>
      <c r="AR204" s="548"/>
      <c r="AS204" s="548"/>
    </row>
    <row r="205" spans="1:45" ht="13" x14ac:dyDescent="0.3">
      <c r="A205" s="550"/>
      <c r="B205" s="550"/>
      <c r="C205" s="550"/>
      <c r="D205" s="882"/>
      <c r="E205" s="882"/>
      <c r="F205" s="550"/>
      <c r="G205" s="550"/>
      <c r="AQ205" s="535"/>
      <c r="AR205" s="548"/>
      <c r="AS205" s="548"/>
    </row>
    <row r="206" spans="1:45" ht="13" x14ac:dyDescent="0.3">
      <c r="A206" s="550"/>
      <c r="B206" s="550"/>
      <c r="C206" s="550"/>
      <c r="D206" s="882"/>
      <c r="E206" s="882"/>
      <c r="F206" s="550"/>
      <c r="G206" s="550"/>
      <c r="AQ206" s="535"/>
      <c r="AR206" s="548"/>
      <c r="AS206" s="548"/>
    </row>
    <row r="207" spans="1:45" ht="13" x14ac:dyDescent="0.3">
      <c r="A207" s="550"/>
      <c r="B207" s="550"/>
      <c r="C207" s="550"/>
      <c r="D207" s="882"/>
      <c r="E207" s="882"/>
      <c r="F207" s="550"/>
      <c r="G207" s="550"/>
      <c r="AQ207" s="535"/>
      <c r="AR207" s="548"/>
      <c r="AS207" s="548"/>
    </row>
    <row r="208" spans="1:45" ht="13" x14ac:dyDescent="0.3">
      <c r="A208" s="550"/>
      <c r="B208" s="550"/>
      <c r="C208" s="550"/>
      <c r="D208" s="882"/>
      <c r="E208" s="882"/>
      <c r="F208" s="550"/>
      <c r="G208" s="550"/>
      <c r="AQ208" s="535"/>
      <c r="AR208" s="548"/>
      <c r="AS208" s="548"/>
    </row>
    <row r="209" spans="1:45" ht="13" x14ac:dyDescent="0.3">
      <c r="A209" s="550"/>
      <c r="B209" s="550"/>
      <c r="C209" s="550"/>
      <c r="D209" s="882"/>
      <c r="E209" s="882"/>
      <c r="F209" s="550"/>
      <c r="G209" s="550"/>
      <c r="AQ209" s="535"/>
      <c r="AR209" s="548"/>
      <c r="AS209" s="548"/>
    </row>
    <row r="210" spans="1:45" ht="13" x14ac:dyDescent="0.3">
      <c r="A210" s="550"/>
      <c r="B210" s="550"/>
      <c r="C210" s="550"/>
      <c r="D210" s="882"/>
      <c r="E210" s="882"/>
      <c r="F210" s="550"/>
      <c r="G210" s="550"/>
      <c r="AQ210" s="535"/>
      <c r="AR210" s="548"/>
      <c r="AS210" s="548"/>
    </row>
    <row r="211" spans="1:45" ht="13" x14ac:dyDescent="0.3">
      <c r="A211" s="550"/>
      <c r="B211" s="550"/>
      <c r="C211" s="550"/>
      <c r="D211" s="882"/>
      <c r="E211" s="882"/>
      <c r="F211" s="550"/>
      <c r="G211" s="550"/>
      <c r="AQ211" s="535"/>
      <c r="AR211" s="548"/>
      <c r="AS211" s="548"/>
    </row>
    <row r="212" spans="1:45" ht="13" x14ac:dyDescent="0.3">
      <c r="A212" s="550"/>
      <c r="B212" s="550"/>
      <c r="C212" s="550"/>
      <c r="D212" s="882"/>
      <c r="E212" s="882"/>
      <c r="F212" s="550"/>
      <c r="G212" s="550"/>
      <c r="AQ212" s="535"/>
      <c r="AR212" s="548"/>
      <c r="AS212" s="548"/>
    </row>
    <row r="213" spans="1:45" ht="13" x14ac:dyDescent="0.3">
      <c r="A213" s="550"/>
      <c r="B213" s="550"/>
      <c r="C213" s="550"/>
      <c r="D213" s="882"/>
      <c r="E213" s="882"/>
      <c r="F213" s="550"/>
      <c r="G213" s="550"/>
      <c r="AQ213" s="535"/>
      <c r="AR213" s="548"/>
      <c r="AS213" s="548"/>
    </row>
    <row r="214" spans="1:45" ht="13" x14ac:dyDescent="0.3">
      <c r="A214" s="550"/>
      <c r="B214" s="550"/>
      <c r="C214" s="550"/>
      <c r="D214" s="882"/>
      <c r="E214" s="882"/>
      <c r="F214" s="550"/>
      <c r="G214" s="550"/>
      <c r="AQ214" s="535"/>
      <c r="AR214" s="548"/>
      <c r="AS214" s="548"/>
    </row>
    <row r="215" spans="1:45" ht="13" x14ac:dyDescent="0.3">
      <c r="A215" s="550"/>
      <c r="B215" s="550"/>
      <c r="C215" s="550"/>
      <c r="D215" s="882"/>
      <c r="E215" s="882"/>
      <c r="F215" s="550"/>
      <c r="G215" s="550"/>
      <c r="AQ215" s="535"/>
      <c r="AR215" s="548"/>
      <c r="AS215" s="548"/>
    </row>
    <row r="216" spans="1:45" ht="13" x14ac:dyDescent="0.3">
      <c r="A216" s="550"/>
      <c r="B216" s="550"/>
      <c r="C216" s="550"/>
      <c r="D216" s="882"/>
      <c r="E216" s="882"/>
      <c r="F216" s="550"/>
      <c r="G216" s="550"/>
      <c r="AQ216" s="535"/>
      <c r="AR216" s="548"/>
      <c r="AS216" s="548"/>
    </row>
    <row r="217" spans="1:45" ht="13" x14ac:dyDescent="0.3">
      <c r="A217" s="550"/>
      <c r="B217" s="550"/>
      <c r="C217" s="550"/>
      <c r="D217" s="882"/>
      <c r="E217" s="882"/>
      <c r="F217" s="550"/>
      <c r="G217" s="550"/>
      <c r="AQ217" s="535"/>
      <c r="AR217" s="548"/>
      <c r="AS217" s="548"/>
    </row>
    <row r="218" spans="1:45" ht="13" x14ac:dyDescent="0.3">
      <c r="A218" s="550"/>
      <c r="B218" s="550"/>
      <c r="C218" s="550"/>
      <c r="D218" s="882"/>
      <c r="E218" s="882"/>
      <c r="F218" s="550"/>
      <c r="G218" s="550"/>
      <c r="AQ218" s="535"/>
      <c r="AR218" s="548"/>
      <c r="AS218" s="548"/>
    </row>
    <row r="219" spans="1:45" ht="13" x14ac:dyDescent="0.3">
      <c r="A219" s="550"/>
      <c r="B219" s="550"/>
      <c r="C219" s="550"/>
      <c r="D219" s="882"/>
      <c r="E219" s="882"/>
      <c r="F219" s="550"/>
      <c r="G219" s="550"/>
      <c r="AQ219" s="535"/>
      <c r="AR219" s="548"/>
      <c r="AS219" s="548"/>
    </row>
    <row r="220" spans="1:45" ht="13" x14ac:dyDescent="0.3">
      <c r="A220" s="550"/>
      <c r="B220" s="550"/>
      <c r="C220" s="550"/>
      <c r="D220" s="882"/>
      <c r="E220" s="882"/>
      <c r="F220" s="550"/>
      <c r="G220" s="550"/>
      <c r="AQ220" s="535"/>
      <c r="AR220" s="548"/>
      <c r="AS220" s="548"/>
    </row>
    <row r="221" spans="1:45" ht="13" x14ac:dyDescent="0.3">
      <c r="A221" s="550"/>
      <c r="B221" s="550"/>
      <c r="C221" s="550"/>
      <c r="D221" s="882"/>
      <c r="E221" s="882"/>
      <c r="F221" s="550"/>
      <c r="G221" s="550"/>
      <c r="AQ221" s="535"/>
      <c r="AR221" s="548"/>
      <c r="AS221" s="548"/>
    </row>
    <row r="222" spans="1:45" ht="13" x14ac:dyDescent="0.3">
      <c r="A222" s="550"/>
      <c r="B222" s="550"/>
      <c r="C222" s="550"/>
      <c r="D222" s="882"/>
      <c r="E222" s="882"/>
      <c r="F222" s="550"/>
      <c r="G222" s="550"/>
      <c r="AQ222" s="535"/>
      <c r="AR222" s="548"/>
      <c r="AS222" s="548"/>
    </row>
    <row r="223" spans="1:45" ht="13" x14ac:dyDescent="0.3">
      <c r="A223" s="550"/>
      <c r="B223" s="550"/>
      <c r="C223" s="550"/>
      <c r="D223" s="882"/>
      <c r="E223" s="882"/>
      <c r="F223" s="550"/>
      <c r="G223" s="550"/>
      <c r="AQ223" s="535"/>
      <c r="AR223" s="548"/>
      <c r="AS223" s="548"/>
    </row>
    <row r="224" spans="1:45" ht="13" x14ac:dyDescent="0.3">
      <c r="A224" s="550"/>
      <c r="B224" s="550"/>
      <c r="C224" s="550"/>
      <c r="D224" s="882"/>
      <c r="E224" s="882"/>
      <c r="F224" s="550"/>
      <c r="G224" s="550"/>
      <c r="AQ224" s="535"/>
      <c r="AR224" s="548"/>
      <c r="AS224" s="548"/>
    </row>
    <row r="225" spans="1:45" ht="13" x14ac:dyDescent="0.3">
      <c r="A225" s="550"/>
      <c r="B225" s="550"/>
      <c r="C225" s="550"/>
      <c r="D225" s="882"/>
      <c r="E225" s="882"/>
      <c r="F225" s="550"/>
      <c r="G225" s="550"/>
      <c r="AQ225" s="535"/>
      <c r="AR225" s="548"/>
      <c r="AS225" s="548"/>
    </row>
    <row r="226" spans="1:45" ht="13" x14ac:dyDescent="0.3">
      <c r="A226" s="550"/>
      <c r="B226" s="550"/>
      <c r="C226" s="550"/>
      <c r="D226" s="882"/>
      <c r="E226" s="882"/>
      <c r="F226" s="550"/>
      <c r="G226" s="550"/>
      <c r="AQ226" s="535"/>
      <c r="AR226" s="548"/>
      <c r="AS226" s="548"/>
    </row>
    <row r="227" spans="1:45" ht="13" x14ac:dyDescent="0.3">
      <c r="A227" s="550"/>
      <c r="B227" s="550"/>
      <c r="C227" s="550"/>
      <c r="D227" s="882"/>
      <c r="E227" s="882"/>
      <c r="F227" s="550"/>
      <c r="G227" s="550"/>
      <c r="AQ227" s="535"/>
      <c r="AR227" s="548"/>
      <c r="AS227" s="548"/>
    </row>
    <row r="228" spans="1:45" ht="13" x14ac:dyDescent="0.3">
      <c r="A228" s="550"/>
      <c r="B228" s="550"/>
      <c r="C228" s="550"/>
      <c r="D228" s="882"/>
      <c r="E228" s="882"/>
      <c r="F228" s="550"/>
      <c r="G228" s="550"/>
      <c r="AQ228" s="535"/>
      <c r="AR228" s="548"/>
      <c r="AS228" s="548"/>
    </row>
    <row r="229" spans="1:45" ht="13" x14ac:dyDescent="0.3">
      <c r="A229" s="550"/>
      <c r="B229" s="550"/>
      <c r="C229" s="550"/>
      <c r="D229" s="882"/>
      <c r="E229" s="882"/>
      <c r="F229" s="550"/>
      <c r="G229" s="550"/>
      <c r="AQ229" s="535"/>
      <c r="AR229" s="548"/>
      <c r="AS229" s="548"/>
    </row>
    <row r="230" spans="1:45" ht="13" x14ac:dyDescent="0.3">
      <c r="A230" s="550"/>
      <c r="B230" s="550"/>
      <c r="C230" s="550"/>
      <c r="D230" s="882"/>
      <c r="E230" s="882"/>
      <c r="F230" s="550"/>
      <c r="G230" s="550"/>
      <c r="AQ230" s="535"/>
      <c r="AR230" s="548"/>
      <c r="AS230" s="548"/>
    </row>
    <row r="231" spans="1:45" ht="13" x14ac:dyDescent="0.3">
      <c r="A231" s="550"/>
      <c r="B231" s="550"/>
      <c r="C231" s="550"/>
      <c r="D231" s="882"/>
      <c r="E231" s="882"/>
      <c r="F231" s="550"/>
      <c r="G231" s="550"/>
      <c r="AQ231" s="535"/>
      <c r="AR231" s="548"/>
      <c r="AS231" s="548"/>
    </row>
    <row r="232" spans="1:45" ht="13" x14ac:dyDescent="0.3">
      <c r="A232" s="550"/>
      <c r="B232" s="550"/>
      <c r="C232" s="550"/>
      <c r="D232" s="882"/>
      <c r="E232" s="882"/>
      <c r="F232" s="550"/>
      <c r="G232" s="550"/>
      <c r="AQ232" s="535"/>
      <c r="AR232" s="548"/>
      <c r="AS232" s="548"/>
    </row>
    <row r="233" spans="1:45" ht="13" x14ac:dyDescent="0.3">
      <c r="A233" s="550"/>
      <c r="B233" s="550"/>
      <c r="C233" s="550"/>
      <c r="D233" s="882"/>
      <c r="E233" s="882"/>
      <c r="F233" s="550"/>
      <c r="G233" s="550"/>
      <c r="AQ233" s="535"/>
      <c r="AR233" s="548"/>
      <c r="AS233" s="548"/>
    </row>
    <row r="234" spans="1:45" ht="13" x14ac:dyDescent="0.3">
      <c r="A234" s="550"/>
      <c r="B234" s="550"/>
      <c r="C234" s="550"/>
      <c r="D234" s="882"/>
      <c r="E234" s="882"/>
      <c r="F234" s="550"/>
      <c r="G234" s="550"/>
      <c r="AQ234" s="535"/>
      <c r="AR234" s="548"/>
      <c r="AS234" s="548"/>
    </row>
    <row r="235" spans="1:45" ht="13" x14ac:dyDescent="0.3">
      <c r="A235" s="550"/>
      <c r="B235" s="550"/>
      <c r="C235" s="550"/>
      <c r="D235" s="882"/>
      <c r="E235" s="882"/>
      <c r="F235" s="550"/>
      <c r="G235" s="550"/>
      <c r="AQ235" s="535"/>
      <c r="AR235" s="548"/>
      <c r="AS235" s="548"/>
    </row>
    <row r="236" spans="1:45" ht="13" x14ac:dyDescent="0.3">
      <c r="A236" s="550"/>
      <c r="B236" s="550"/>
      <c r="C236" s="550"/>
      <c r="D236" s="882"/>
      <c r="E236" s="882"/>
      <c r="F236" s="550"/>
      <c r="G236" s="550"/>
      <c r="AQ236" s="535"/>
      <c r="AR236" s="548"/>
      <c r="AS236" s="548"/>
    </row>
    <row r="237" spans="1:45" ht="13" x14ac:dyDescent="0.3">
      <c r="A237" s="550"/>
      <c r="B237" s="550"/>
      <c r="C237" s="550"/>
      <c r="D237" s="882"/>
      <c r="E237" s="882"/>
      <c r="F237" s="550"/>
      <c r="G237" s="550"/>
      <c r="AQ237" s="535"/>
      <c r="AR237" s="548"/>
      <c r="AS237" s="548"/>
    </row>
    <row r="238" spans="1:45" ht="13" x14ac:dyDescent="0.3">
      <c r="A238" s="550"/>
      <c r="B238" s="550"/>
      <c r="C238" s="550"/>
      <c r="D238" s="882"/>
      <c r="E238" s="882"/>
      <c r="F238" s="550"/>
      <c r="G238" s="550"/>
      <c r="AQ238" s="535"/>
      <c r="AR238" s="548"/>
      <c r="AS238" s="548"/>
    </row>
    <row r="239" spans="1:45" ht="13" x14ac:dyDescent="0.3">
      <c r="A239" s="550"/>
      <c r="B239" s="550"/>
      <c r="C239" s="550"/>
      <c r="D239" s="882"/>
      <c r="E239" s="882"/>
      <c r="F239" s="550"/>
      <c r="G239" s="550"/>
      <c r="AQ239" s="535"/>
      <c r="AR239" s="548"/>
      <c r="AS239" s="548"/>
    </row>
    <row r="240" spans="1:45" ht="13" x14ac:dyDescent="0.3">
      <c r="A240" s="550"/>
      <c r="B240" s="550"/>
      <c r="C240" s="550"/>
      <c r="D240" s="882"/>
      <c r="E240" s="882"/>
      <c r="F240" s="550"/>
      <c r="G240" s="550"/>
      <c r="AQ240" s="535"/>
      <c r="AR240" s="548"/>
      <c r="AS240" s="548"/>
    </row>
    <row r="241" spans="1:45" ht="13" x14ac:dyDescent="0.3">
      <c r="A241" s="550"/>
      <c r="B241" s="550"/>
      <c r="C241" s="550"/>
      <c r="D241" s="882"/>
      <c r="E241" s="882"/>
      <c r="F241" s="550"/>
      <c r="G241" s="550"/>
      <c r="AQ241" s="535"/>
      <c r="AR241" s="548"/>
      <c r="AS241" s="548"/>
    </row>
    <row r="242" spans="1:45" ht="13" x14ac:dyDescent="0.3">
      <c r="A242" s="550"/>
      <c r="B242" s="550"/>
      <c r="C242" s="550"/>
      <c r="D242" s="882"/>
      <c r="E242" s="882"/>
      <c r="F242" s="550"/>
      <c r="G242" s="550"/>
      <c r="AQ242" s="535"/>
      <c r="AR242" s="548"/>
      <c r="AS242" s="548"/>
    </row>
    <row r="243" spans="1:45" ht="13" x14ac:dyDescent="0.3">
      <c r="A243" s="550"/>
      <c r="B243" s="550"/>
      <c r="C243" s="550"/>
      <c r="D243" s="882"/>
      <c r="E243" s="882"/>
      <c r="F243" s="550"/>
      <c r="G243" s="550"/>
      <c r="AQ243" s="535"/>
      <c r="AR243" s="548"/>
      <c r="AS243" s="548"/>
    </row>
    <row r="244" spans="1:45" ht="13" x14ac:dyDescent="0.3">
      <c r="A244" s="550"/>
      <c r="B244" s="550"/>
      <c r="C244" s="550"/>
      <c r="D244" s="882"/>
      <c r="E244" s="882"/>
      <c r="F244" s="550"/>
      <c r="G244" s="550"/>
      <c r="AQ244" s="535"/>
      <c r="AR244" s="548"/>
      <c r="AS244" s="548"/>
    </row>
    <row r="245" spans="1:45" ht="13" x14ac:dyDescent="0.3">
      <c r="A245" s="550"/>
      <c r="B245" s="550"/>
      <c r="C245" s="550"/>
      <c r="D245" s="882"/>
      <c r="E245" s="882"/>
      <c r="F245" s="550"/>
      <c r="G245" s="550"/>
      <c r="AQ245" s="535"/>
      <c r="AR245" s="548"/>
      <c r="AS245" s="548"/>
    </row>
    <row r="246" spans="1:45" ht="13" x14ac:dyDescent="0.3">
      <c r="A246" s="550"/>
      <c r="B246" s="550"/>
      <c r="C246" s="550"/>
      <c r="D246" s="882"/>
      <c r="E246" s="882"/>
      <c r="F246" s="550"/>
      <c r="G246" s="550"/>
      <c r="AQ246" s="535"/>
      <c r="AR246" s="548"/>
      <c r="AS246" s="548"/>
    </row>
    <row r="247" spans="1:45" ht="13" x14ac:dyDescent="0.3">
      <c r="A247" s="550"/>
      <c r="B247" s="550"/>
      <c r="C247" s="550"/>
      <c r="D247" s="882"/>
      <c r="E247" s="882"/>
      <c r="F247" s="550"/>
      <c r="G247" s="550"/>
      <c r="AQ247" s="535"/>
      <c r="AR247" s="548"/>
      <c r="AS247" s="548"/>
    </row>
    <row r="248" spans="1:45" ht="13" x14ac:dyDescent="0.3">
      <c r="A248" s="550"/>
      <c r="B248" s="550"/>
      <c r="C248" s="550"/>
      <c r="D248" s="882"/>
      <c r="E248" s="882"/>
      <c r="F248" s="550"/>
      <c r="G248" s="550"/>
      <c r="AQ248" s="535"/>
      <c r="AR248" s="548"/>
      <c r="AS248" s="548"/>
    </row>
    <row r="249" spans="1:45" ht="13" x14ac:dyDescent="0.3">
      <c r="A249" s="550"/>
      <c r="B249" s="550"/>
      <c r="C249" s="550"/>
      <c r="D249" s="882"/>
      <c r="E249" s="882"/>
      <c r="F249" s="550"/>
      <c r="G249" s="550"/>
      <c r="AQ249" s="535"/>
      <c r="AR249" s="548"/>
      <c r="AS249" s="548"/>
    </row>
    <row r="250" spans="1:45" ht="13" x14ac:dyDescent="0.3">
      <c r="A250" s="550"/>
      <c r="B250" s="550"/>
      <c r="C250" s="550"/>
      <c r="D250" s="882"/>
      <c r="E250" s="882"/>
      <c r="F250" s="550"/>
      <c r="G250" s="550"/>
      <c r="AQ250" s="535"/>
      <c r="AR250" s="548"/>
      <c r="AS250" s="548"/>
    </row>
    <row r="251" spans="1:45" ht="13" x14ac:dyDescent="0.3">
      <c r="A251" s="550"/>
      <c r="B251" s="550"/>
      <c r="C251" s="550"/>
      <c r="D251" s="882"/>
      <c r="E251" s="882"/>
      <c r="F251" s="550"/>
      <c r="G251" s="550"/>
      <c r="AQ251" s="535"/>
      <c r="AR251" s="548"/>
      <c r="AS251" s="548"/>
    </row>
    <row r="252" spans="1:45" ht="13" x14ac:dyDescent="0.3">
      <c r="A252" s="550"/>
      <c r="B252" s="550"/>
      <c r="C252" s="550"/>
      <c r="D252" s="882"/>
      <c r="E252" s="882"/>
      <c r="F252" s="550"/>
      <c r="G252" s="550"/>
      <c r="AQ252" s="535"/>
      <c r="AR252" s="548"/>
      <c r="AS252" s="548"/>
    </row>
    <row r="253" spans="1:45" ht="13" x14ac:dyDescent="0.3">
      <c r="A253" s="550"/>
      <c r="B253" s="550"/>
      <c r="C253" s="550"/>
      <c r="D253" s="882"/>
      <c r="E253" s="882"/>
      <c r="F253" s="550"/>
      <c r="G253" s="550"/>
      <c r="AQ253" s="535"/>
      <c r="AR253" s="548"/>
      <c r="AS253" s="548"/>
    </row>
    <row r="254" spans="1:45" ht="13" x14ac:dyDescent="0.3">
      <c r="A254" s="550"/>
      <c r="B254" s="550"/>
      <c r="C254" s="550"/>
      <c r="D254" s="882"/>
      <c r="E254" s="882"/>
      <c r="F254" s="550"/>
      <c r="G254" s="550"/>
      <c r="AQ254" s="535"/>
      <c r="AR254" s="548"/>
      <c r="AS254" s="548"/>
    </row>
    <row r="255" spans="1:45" ht="13" x14ac:dyDescent="0.3">
      <c r="A255" s="550"/>
      <c r="B255" s="550"/>
      <c r="C255" s="550"/>
      <c r="D255" s="882"/>
      <c r="E255" s="882"/>
      <c r="F255" s="550"/>
      <c r="G255" s="550"/>
      <c r="AQ255" s="535"/>
      <c r="AR255" s="548"/>
      <c r="AS255" s="548"/>
    </row>
    <row r="256" spans="1:45" ht="13" x14ac:dyDescent="0.3">
      <c r="A256" s="550"/>
      <c r="B256" s="550"/>
      <c r="C256" s="550"/>
      <c r="D256" s="882"/>
      <c r="E256" s="882"/>
      <c r="F256" s="550"/>
      <c r="G256" s="550"/>
      <c r="AQ256" s="535"/>
      <c r="AR256" s="548"/>
      <c r="AS256" s="548"/>
    </row>
    <row r="257" spans="1:45" ht="13" x14ac:dyDescent="0.3">
      <c r="A257" s="550"/>
      <c r="B257" s="550"/>
      <c r="C257" s="550"/>
      <c r="D257" s="882"/>
      <c r="E257" s="882"/>
      <c r="F257" s="550"/>
      <c r="G257" s="550"/>
      <c r="AQ257" s="535"/>
      <c r="AR257" s="548"/>
      <c r="AS257" s="548"/>
    </row>
    <row r="258" spans="1:45" ht="13" x14ac:dyDescent="0.3">
      <c r="A258" s="550"/>
      <c r="B258" s="550"/>
      <c r="C258" s="550"/>
      <c r="D258" s="882"/>
      <c r="E258" s="882"/>
      <c r="F258" s="550"/>
      <c r="G258" s="550"/>
      <c r="AQ258" s="535"/>
      <c r="AR258" s="548"/>
      <c r="AS258" s="548"/>
    </row>
    <row r="259" spans="1:45" ht="13" x14ac:dyDescent="0.3">
      <c r="A259" s="550"/>
      <c r="B259" s="550"/>
      <c r="C259" s="550"/>
      <c r="D259" s="882"/>
      <c r="E259" s="882"/>
      <c r="F259" s="550"/>
      <c r="G259" s="550"/>
      <c r="AQ259" s="535"/>
      <c r="AR259" s="548"/>
      <c r="AS259" s="548"/>
    </row>
    <row r="260" spans="1:45" ht="13" x14ac:dyDescent="0.3">
      <c r="A260" s="550"/>
      <c r="B260" s="550"/>
      <c r="C260" s="550"/>
      <c r="D260" s="882"/>
      <c r="E260" s="882"/>
      <c r="F260" s="550"/>
      <c r="G260" s="550"/>
      <c r="AQ260" s="535"/>
      <c r="AR260" s="548"/>
      <c r="AS260" s="548"/>
    </row>
    <row r="261" spans="1:45" ht="13" x14ac:dyDescent="0.3">
      <c r="A261" s="550"/>
      <c r="B261" s="550"/>
      <c r="C261" s="550"/>
      <c r="D261" s="882"/>
      <c r="E261" s="882"/>
      <c r="F261" s="550"/>
      <c r="G261" s="550"/>
      <c r="AQ261" s="535"/>
      <c r="AR261" s="548"/>
      <c r="AS261" s="548"/>
    </row>
    <row r="262" spans="1:45" ht="13" x14ac:dyDescent="0.3">
      <c r="A262" s="550"/>
      <c r="B262" s="550"/>
      <c r="C262" s="550"/>
      <c r="D262" s="882"/>
      <c r="E262" s="882"/>
      <c r="F262" s="550"/>
      <c r="G262" s="550"/>
      <c r="AQ262" s="535"/>
      <c r="AR262" s="548"/>
      <c r="AS262" s="548"/>
    </row>
    <row r="263" spans="1:45" ht="13" x14ac:dyDescent="0.3">
      <c r="A263" s="550"/>
      <c r="B263" s="550"/>
      <c r="C263" s="550"/>
      <c r="D263" s="882"/>
      <c r="E263" s="882"/>
      <c r="F263" s="550"/>
      <c r="G263" s="550"/>
      <c r="AQ263" s="535"/>
      <c r="AR263" s="548"/>
      <c r="AS263" s="548"/>
    </row>
    <row r="264" spans="1:45" ht="13" x14ac:dyDescent="0.3">
      <c r="A264" s="550"/>
      <c r="B264" s="550"/>
      <c r="C264" s="550"/>
      <c r="D264" s="882"/>
      <c r="E264" s="882"/>
      <c r="F264" s="550"/>
      <c r="G264" s="550"/>
      <c r="AQ264" s="535"/>
      <c r="AR264" s="548"/>
      <c r="AS264" s="548"/>
    </row>
    <row r="265" spans="1:45" ht="13" x14ac:dyDescent="0.3">
      <c r="A265" s="550"/>
      <c r="B265" s="550"/>
      <c r="C265" s="550"/>
      <c r="D265" s="882"/>
      <c r="E265" s="882"/>
      <c r="F265" s="550"/>
      <c r="G265" s="550"/>
      <c r="AQ265" s="535"/>
      <c r="AR265" s="548"/>
      <c r="AS265" s="548"/>
    </row>
    <row r="266" spans="1:45" ht="13" x14ac:dyDescent="0.3">
      <c r="A266" s="550"/>
      <c r="B266" s="550"/>
      <c r="C266" s="550"/>
      <c r="D266" s="882"/>
      <c r="E266" s="882"/>
      <c r="F266" s="550"/>
      <c r="G266" s="550"/>
      <c r="AQ266" s="535"/>
      <c r="AR266" s="548"/>
      <c r="AS266" s="548"/>
    </row>
    <row r="267" spans="1:45" ht="13" x14ac:dyDescent="0.3">
      <c r="A267" s="550"/>
      <c r="B267" s="550"/>
      <c r="C267" s="550"/>
      <c r="D267" s="882"/>
      <c r="E267" s="882"/>
      <c r="F267" s="550"/>
      <c r="G267" s="550"/>
      <c r="AQ267" s="535"/>
      <c r="AR267" s="548"/>
      <c r="AS267" s="548"/>
    </row>
    <row r="268" spans="1:45" ht="13" x14ac:dyDescent="0.3">
      <c r="A268" s="550"/>
      <c r="B268" s="550"/>
      <c r="C268" s="550"/>
      <c r="D268" s="882"/>
      <c r="E268" s="882"/>
      <c r="F268" s="550"/>
      <c r="G268" s="550"/>
      <c r="AQ268" s="535"/>
      <c r="AR268" s="548"/>
      <c r="AS268" s="548"/>
    </row>
    <row r="269" spans="1:45" ht="13" x14ac:dyDescent="0.3">
      <c r="A269" s="550"/>
      <c r="B269" s="550"/>
      <c r="C269" s="550"/>
      <c r="D269" s="882"/>
      <c r="E269" s="882"/>
      <c r="F269" s="550"/>
      <c r="G269" s="550"/>
      <c r="AQ269" s="535"/>
      <c r="AR269" s="548"/>
      <c r="AS269" s="548"/>
    </row>
    <row r="270" spans="1:45" ht="13" x14ac:dyDescent="0.3">
      <c r="A270" s="550"/>
      <c r="B270" s="550"/>
      <c r="C270" s="550"/>
      <c r="D270" s="882"/>
      <c r="E270" s="882"/>
      <c r="F270" s="550"/>
      <c r="G270" s="550"/>
      <c r="AQ270" s="535"/>
      <c r="AR270" s="548"/>
      <c r="AS270" s="548"/>
    </row>
    <row r="271" spans="1:45" ht="13" x14ac:dyDescent="0.3">
      <c r="A271" s="550"/>
      <c r="B271" s="550"/>
      <c r="C271" s="550"/>
      <c r="D271" s="882"/>
      <c r="E271" s="882"/>
      <c r="F271" s="550"/>
      <c r="G271" s="550"/>
      <c r="AQ271" s="535"/>
      <c r="AR271" s="548"/>
      <c r="AS271" s="548"/>
    </row>
    <row r="272" spans="1:45" ht="13" x14ac:dyDescent="0.3">
      <c r="A272" s="550"/>
      <c r="B272" s="550"/>
      <c r="C272" s="550"/>
      <c r="D272" s="882"/>
      <c r="E272" s="882"/>
      <c r="F272" s="550"/>
      <c r="G272" s="550"/>
      <c r="AQ272" s="535"/>
      <c r="AR272" s="548"/>
      <c r="AS272" s="548"/>
    </row>
    <row r="273" spans="1:45" ht="13" x14ac:dyDescent="0.3">
      <c r="A273" s="550"/>
      <c r="B273" s="550"/>
      <c r="C273" s="550"/>
      <c r="D273" s="882"/>
      <c r="E273" s="882"/>
      <c r="F273" s="550"/>
      <c r="G273" s="550"/>
      <c r="AQ273" s="535"/>
      <c r="AR273" s="548"/>
      <c r="AS273" s="548"/>
    </row>
    <row r="274" spans="1:45" ht="13" x14ac:dyDescent="0.3">
      <c r="A274" s="550"/>
      <c r="B274" s="550"/>
      <c r="C274" s="550"/>
      <c r="D274" s="882"/>
      <c r="E274" s="882"/>
      <c r="F274" s="550"/>
      <c r="G274" s="550"/>
      <c r="AQ274" s="535"/>
      <c r="AR274" s="548"/>
      <c r="AS274" s="548"/>
    </row>
    <row r="275" spans="1:45" ht="13" x14ac:dyDescent="0.3">
      <c r="A275" s="550"/>
      <c r="B275" s="550"/>
      <c r="C275" s="550"/>
      <c r="D275" s="882"/>
      <c r="E275" s="882"/>
      <c r="F275" s="550"/>
      <c r="G275" s="550"/>
      <c r="AQ275" s="535"/>
      <c r="AR275" s="548"/>
      <c r="AS275" s="548"/>
    </row>
    <row r="276" spans="1:45" ht="13" x14ac:dyDescent="0.3">
      <c r="A276" s="550"/>
      <c r="B276" s="550"/>
      <c r="C276" s="550"/>
      <c r="D276" s="882"/>
      <c r="E276" s="882"/>
      <c r="F276" s="550"/>
      <c r="G276" s="550"/>
      <c r="AQ276" s="535"/>
      <c r="AR276" s="548"/>
      <c r="AS276" s="548"/>
    </row>
    <row r="277" spans="1:45" ht="13" x14ac:dyDescent="0.3">
      <c r="A277" s="550"/>
      <c r="B277" s="550"/>
      <c r="C277" s="550"/>
      <c r="D277" s="882"/>
      <c r="E277" s="882"/>
      <c r="F277" s="550"/>
      <c r="G277" s="550"/>
      <c r="AQ277" s="535"/>
      <c r="AR277" s="548"/>
      <c r="AS277" s="548"/>
    </row>
    <row r="278" spans="1:45" ht="13" x14ac:dyDescent="0.3">
      <c r="A278" s="550"/>
      <c r="B278" s="550"/>
      <c r="C278" s="550"/>
      <c r="D278" s="882"/>
      <c r="E278" s="882"/>
      <c r="F278" s="550"/>
      <c r="G278" s="550"/>
      <c r="AQ278" s="535"/>
      <c r="AR278" s="548"/>
      <c r="AS278" s="548"/>
    </row>
    <row r="279" spans="1:45" ht="13" x14ac:dyDescent="0.3">
      <c r="A279" s="550"/>
      <c r="B279" s="550"/>
      <c r="C279" s="550"/>
      <c r="D279" s="882"/>
      <c r="E279" s="882"/>
      <c r="F279" s="550"/>
      <c r="G279" s="550"/>
      <c r="AQ279" s="535"/>
      <c r="AR279" s="548"/>
      <c r="AS279" s="548"/>
    </row>
    <row r="280" spans="1:45" ht="13" x14ac:dyDescent="0.3">
      <c r="A280" s="550"/>
      <c r="B280" s="550"/>
      <c r="C280" s="550"/>
      <c r="D280" s="882"/>
      <c r="E280" s="882"/>
      <c r="F280" s="550"/>
      <c r="G280" s="550"/>
      <c r="AQ280" s="535"/>
      <c r="AR280" s="548"/>
      <c r="AS280" s="548"/>
    </row>
    <row r="281" spans="1:45" ht="13" x14ac:dyDescent="0.3">
      <c r="A281" s="550"/>
      <c r="B281" s="550"/>
      <c r="C281" s="550"/>
      <c r="D281" s="882"/>
      <c r="E281" s="882"/>
      <c r="F281" s="550"/>
      <c r="G281" s="550"/>
      <c r="AQ281" s="535"/>
      <c r="AR281" s="548"/>
      <c r="AS281" s="548"/>
    </row>
    <row r="282" spans="1:45" ht="13" x14ac:dyDescent="0.3">
      <c r="A282" s="550"/>
      <c r="B282" s="550"/>
      <c r="C282" s="550"/>
      <c r="D282" s="882"/>
      <c r="E282" s="882"/>
      <c r="F282" s="550"/>
      <c r="G282" s="550"/>
      <c r="AQ282" s="535"/>
      <c r="AR282" s="548"/>
      <c r="AS282" s="548"/>
    </row>
    <row r="283" spans="1:45" ht="13" x14ac:dyDescent="0.3">
      <c r="A283" s="550"/>
      <c r="B283" s="550"/>
      <c r="C283" s="550"/>
      <c r="D283" s="882"/>
      <c r="E283" s="882"/>
      <c r="F283" s="550"/>
      <c r="G283" s="550"/>
      <c r="AQ283" s="535"/>
      <c r="AR283" s="548"/>
      <c r="AS283" s="548"/>
    </row>
    <row r="284" spans="1:45" ht="13" x14ac:dyDescent="0.3">
      <c r="A284" s="550"/>
      <c r="B284" s="550"/>
      <c r="C284" s="550"/>
      <c r="D284" s="882"/>
      <c r="E284" s="882"/>
      <c r="F284" s="550"/>
      <c r="G284" s="550"/>
      <c r="AQ284" s="535"/>
      <c r="AR284" s="548"/>
      <c r="AS284" s="548"/>
    </row>
    <row r="285" spans="1:45" ht="13" x14ac:dyDescent="0.3">
      <c r="A285" s="550"/>
      <c r="B285" s="550"/>
      <c r="C285" s="550"/>
      <c r="D285" s="882"/>
      <c r="E285" s="882"/>
      <c r="F285" s="550"/>
      <c r="G285" s="550"/>
      <c r="AQ285" s="535"/>
      <c r="AR285" s="548"/>
      <c r="AS285" s="548"/>
    </row>
    <row r="286" spans="1:45" ht="13" x14ac:dyDescent="0.3">
      <c r="A286" s="550"/>
      <c r="B286" s="550"/>
      <c r="C286" s="550"/>
      <c r="D286" s="882"/>
      <c r="E286" s="882"/>
      <c r="F286" s="550"/>
      <c r="G286" s="550"/>
      <c r="AQ286" s="535"/>
      <c r="AR286" s="548"/>
      <c r="AS286" s="548"/>
    </row>
    <row r="287" spans="1:45" ht="13" x14ac:dyDescent="0.3">
      <c r="A287" s="550"/>
      <c r="B287" s="550"/>
      <c r="C287" s="550"/>
      <c r="D287" s="882"/>
      <c r="E287" s="882"/>
      <c r="F287" s="550"/>
      <c r="G287" s="550"/>
      <c r="AQ287" s="535"/>
      <c r="AR287" s="548"/>
      <c r="AS287" s="548"/>
    </row>
    <row r="288" spans="1:45" ht="13" x14ac:dyDescent="0.3">
      <c r="A288" s="550"/>
      <c r="B288" s="550"/>
      <c r="C288" s="550"/>
      <c r="D288" s="882"/>
      <c r="E288" s="882"/>
      <c r="F288" s="550"/>
      <c r="G288" s="550"/>
      <c r="AQ288" s="535"/>
      <c r="AR288" s="548"/>
      <c r="AS288" s="548"/>
    </row>
    <row r="289" spans="1:45" ht="13" x14ac:dyDescent="0.3">
      <c r="A289" s="550"/>
      <c r="B289" s="550"/>
      <c r="C289" s="550"/>
      <c r="D289" s="882"/>
      <c r="E289" s="882"/>
      <c r="F289" s="550"/>
      <c r="G289" s="550"/>
      <c r="AQ289" s="535"/>
      <c r="AR289" s="548"/>
      <c r="AS289" s="548"/>
    </row>
    <row r="290" spans="1:45" ht="13" x14ac:dyDescent="0.3">
      <c r="A290" s="550"/>
      <c r="B290" s="550"/>
      <c r="C290" s="550"/>
      <c r="D290" s="882"/>
      <c r="E290" s="882"/>
      <c r="F290" s="550"/>
      <c r="G290" s="550"/>
      <c r="AQ290" s="535"/>
      <c r="AR290" s="548"/>
      <c r="AS290" s="548"/>
    </row>
    <row r="291" spans="1:45" ht="13" x14ac:dyDescent="0.3">
      <c r="A291" s="550"/>
      <c r="B291" s="550"/>
      <c r="C291" s="550"/>
      <c r="D291" s="882"/>
      <c r="E291" s="882"/>
      <c r="F291" s="550"/>
      <c r="G291" s="550"/>
      <c r="AQ291" s="535"/>
      <c r="AR291" s="548"/>
      <c r="AS291" s="548"/>
    </row>
    <row r="292" spans="1:45" ht="13" x14ac:dyDescent="0.3">
      <c r="A292" s="550"/>
      <c r="B292" s="550"/>
      <c r="C292" s="550"/>
      <c r="D292" s="882"/>
      <c r="E292" s="882"/>
      <c r="F292" s="550"/>
      <c r="G292" s="550"/>
      <c r="AQ292" s="535"/>
      <c r="AR292" s="548"/>
      <c r="AS292" s="548"/>
    </row>
    <row r="293" spans="1:45" ht="13" x14ac:dyDescent="0.3">
      <c r="A293" s="550"/>
      <c r="B293" s="550"/>
      <c r="C293" s="550"/>
      <c r="D293" s="882"/>
      <c r="E293" s="882"/>
      <c r="F293" s="550"/>
      <c r="G293" s="550"/>
      <c r="AQ293" s="535"/>
      <c r="AR293" s="548"/>
      <c r="AS293" s="548"/>
    </row>
    <row r="294" spans="1:45" ht="13" x14ac:dyDescent="0.3">
      <c r="A294" s="550"/>
      <c r="B294" s="550"/>
      <c r="C294" s="550"/>
      <c r="D294" s="882"/>
      <c r="E294" s="882"/>
      <c r="F294" s="550"/>
      <c r="G294" s="550"/>
      <c r="AQ294" s="535"/>
      <c r="AR294" s="548"/>
      <c r="AS294" s="548"/>
    </row>
    <row r="295" spans="1:45" ht="13" x14ac:dyDescent="0.3">
      <c r="A295" s="550"/>
      <c r="B295" s="550"/>
      <c r="C295" s="550"/>
      <c r="D295" s="882"/>
      <c r="E295" s="882"/>
      <c r="F295" s="550"/>
      <c r="G295" s="550"/>
      <c r="AQ295" s="535"/>
      <c r="AR295" s="548"/>
      <c r="AS295" s="548"/>
    </row>
    <row r="296" spans="1:45" ht="13" x14ac:dyDescent="0.3">
      <c r="A296" s="550"/>
      <c r="B296" s="550"/>
      <c r="C296" s="550"/>
      <c r="D296" s="882"/>
      <c r="E296" s="882"/>
      <c r="F296" s="550"/>
      <c r="G296" s="550"/>
      <c r="AQ296" s="535"/>
      <c r="AR296" s="548"/>
      <c r="AS296" s="548"/>
    </row>
    <row r="297" spans="1:45" ht="13" x14ac:dyDescent="0.3">
      <c r="A297" s="550"/>
      <c r="B297" s="550"/>
      <c r="C297" s="550"/>
      <c r="D297" s="882"/>
      <c r="E297" s="882"/>
      <c r="F297" s="550"/>
      <c r="G297" s="550"/>
      <c r="AQ297" s="535"/>
      <c r="AR297" s="548"/>
      <c r="AS297" s="548"/>
    </row>
    <row r="298" spans="1:45" ht="13" x14ac:dyDescent="0.3">
      <c r="A298" s="550"/>
      <c r="B298" s="550"/>
      <c r="C298" s="550"/>
      <c r="D298" s="882"/>
      <c r="E298" s="882"/>
      <c r="F298" s="550"/>
      <c r="G298" s="550"/>
      <c r="AQ298" s="535"/>
      <c r="AR298" s="548"/>
      <c r="AS298" s="548"/>
    </row>
    <row r="299" spans="1:45" ht="13" x14ac:dyDescent="0.3">
      <c r="A299" s="550"/>
      <c r="B299" s="550"/>
      <c r="C299" s="550"/>
      <c r="D299" s="882"/>
      <c r="E299" s="882"/>
      <c r="F299" s="550"/>
      <c r="G299" s="550"/>
      <c r="AQ299" s="535"/>
      <c r="AR299" s="548"/>
      <c r="AS299" s="548"/>
    </row>
    <row r="300" spans="1:45" ht="13" x14ac:dyDescent="0.3">
      <c r="A300" s="550"/>
      <c r="B300" s="550"/>
      <c r="C300" s="550"/>
      <c r="D300" s="882"/>
      <c r="E300" s="882"/>
      <c r="F300" s="550"/>
      <c r="G300" s="550"/>
      <c r="AQ300" s="535"/>
      <c r="AR300" s="548"/>
      <c r="AS300" s="548"/>
    </row>
    <row r="301" spans="1:45" ht="13" x14ac:dyDescent="0.3">
      <c r="A301" s="550"/>
      <c r="B301" s="550"/>
      <c r="C301" s="550"/>
      <c r="D301" s="882"/>
      <c r="E301" s="882"/>
      <c r="F301" s="550"/>
      <c r="G301" s="550"/>
      <c r="AQ301" s="535"/>
      <c r="AR301" s="548"/>
      <c r="AS301" s="548"/>
    </row>
    <row r="302" spans="1:45" ht="13" x14ac:dyDescent="0.3">
      <c r="A302" s="550"/>
      <c r="B302" s="550"/>
      <c r="C302" s="550"/>
      <c r="D302" s="882"/>
      <c r="E302" s="882"/>
      <c r="F302" s="550"/>
      <c r="G302" s="550"/>
      <c r="AQ302" s="535"/>
      <c r="AR302" s="548"/>
      <c r="AS302" s="548"/>
    </row>
    <row r="303" spans="1:45" ht="13" x14ac:dyDescent="0.3">
      <c r="A303" s="550"/>
      <c r="B303" s="550"/>
      <c r="C303" s="550"/>
      <c r="D303" s="882"/>
      <c r="E303" s="882"/>
      <c r="F303" s="550"/>
      <c r="G303" s="550"/>
      <c r="AQ303" s="535"/>
      <c r="AR303" s="548"/>
      <c r="AS303" s="548"/>
    </row>
    <row r="304" spans="1:45" ht="13" x14ac:dyDescent="0.3">
      <c r="A304" s="550"/>
      <c r="B304" s="550"/>
      <c r="C304" s="550"/>
      <c r="D304" s="882"/>
      <c r="E304" s="882"/>
      <c r="F304" s="550"/>
      <c r="G304" s="550"/>
      <c r="AQ304" s="535"/>
      <c r="AR304" s="548"/>
      <c r="AS304" s="548"/>
    </row>
    <row r="305" spans="1:45" ht="13" x14ac:dyDescent="0.3">
      <c r="A305" s="550"/>
      <c r="B305" s="550"/>
      <c r="C305" s="550"/>
      <c r="D305" s="882"/>
      <c r="E305" s="882"/>
      <c r="F305" s="550"/>
      <c r="G305" s="550"/>
      <c r="AQ305" s="535"/>
      <c r="AR305" s="548"/>
      <c r="AS305" s="548"/>
    </row>
    <row r="306" spans="1:45" ht="13" x14ac:dyDescent="0.3">
      <c r="A306" s="550"/>
      <c r="B306" s="550"/>
      <c r="C306" s="550"/>
      <c r="D306" s="882"/>
      <c r="E306" s="882"/>
      <c r="F306" s="550"/>
      <c r="G306" s="550"/>
      <c r="AQ306" s="535"/>
      <c r="AR306" s="548"/>
      <c r="AS306" s="548"/>
    </row>
    <row r="307" spans="1:45" ht="13" x14ac:dyDescent="0.3">
      <c r="A307" s="550"/>
      <c r="B307" s="550"/>
      <c r="C307" s="550"/>
      <c r="D307" s="882"/>
      <c r="E307" s="882"/>
      <c r="F307" s="550"/>
      <c r="G307" s="550"/>
      <c r="AQ307" s="535"/>
      <c r="AR307" s="548"/>
      <c r="AS307" s="548"/>
    </row>
    <row r="308" spans="1:45" ht="13" x14ac:dyDescent="0.3">
      <c r="A308" s="550"/>
      <c r="B308" s="550"/>
      <c r="C308" s="550"/>
      <c r="D308" s="882"/>
      <c r="E308" s="882"/>
      <c r="F308" s="550"/>
      <c r="G308" s="550"/>
      <c r="AQ308" s="535"/>
      <c r="AR308" s="548"/>
      <c r="AS308" s="548"/>
    </row>
    <row r="309" spans="1:45" ht="13" x14ac:dyDescent="0.3">
      <c r="A309" s="550"/>
      <c r="B309" s="550"/>
      <c r="C309" s="550"/>
      <c r="D309" s="882"/>
      <c r="E309" s="882"/>
      <c r="F309" s="550"/>
      <c r="G309" s="550"/>
      <c r="AQ309" s="535"/>
      <c r="AR309" s="548"/>
      <c r="AS309" s="548"/>
    </row>
    <row r="310" spans="1:45" ht="13" x14ac:dyDescent="0.3">
      <c r="A310" s="550"/>
      <c r="B310" s="550"/>
      <c r="C310" s="550"/>
      <c r="D310" s="882"/>
      <c r="E310" s="882"/>
      <c r="F310" s="550"/>
      <c r="G310" s="550"/>
      <c r="AQ310" s="535"/>
      <c r="AR310" s="548"/>
      <c r="AS310" s="548"/>
    </row>
    <row r="311" spans="1:45" ht="13" x14ac:dyDescent="0.3">
      <c r="A311" s="550"/>
      <c r="B311" s="550"/>
      <c r="C311" s="550"/>
      <c r="D311" s="882"/>
      <c r="E311" s="882"/>
      <c r="F311" s="550"/>
      <c r="G311" s="550"/>
      <c r="AQ311" s="535"/>
      <c r="AR311" s="548"/>
      <c r="AS311" s="548"/>
    </row>
    <row r="312" spans="1:45" ht="13" x14ac:dyDescent="0.3">
      <c r="A312" s="550"/>
      <c r="B312" s="550"/>
      <c r="C312" s="550"/>
      <c r="D312" s="882"/>
      <c r="E312" s="882"/>
      <c r="F312" s="550"/>
      <c r="G312" s="550"/>
      <c r="AQ312" s="535"/>
      <c r="AR312" s="548"/>
      <c r="AS312" s="548"/>
    </row>
    <row r="313" spans="1:45" ht="13" x14ac:dyDescent="0.3">
      <c r="A313" s="550"/>
      <c r="B313" s="550"/>
      <c r="C313" s="550"/>
      <c r="D313" s="882"/>
      <c r="E313" s="882"/>
      <c r="F313" s="550"/>
      <c r="G313" s="550"/>
      <c r="AQ313" s="535"/>
      <c r="AR313" s="548"/>
      <c r="AS313" s="548"/>
    </row>
    <row r="314" spans="1:45" ht="13" x14ac:dyDescent="0.3">
      <c r="A314" s="550"/>
      <c r="B314" s="550"/>
      <c r="C314" s="550"/>
      <c r="D314" s="882"/>
      <c r="E314" s="882"/>
      <c r="F314" s="550"/>
      <c r="G314" s="550"/>
      <c r="AQ314" s="535"/>
      <c r="AR314" s="548"/>
      <c r="AS314" s="548"/>
    </row>
    <row r="315" spans="1:45" ht="13" x14ac:dyDescent="0.3">
      <c r="A315" s="550"/>
      <c r="B315" s="550"/>
      <c r="C315" s="550"/>
      <c r="D315" s="882"/>
      <c r="E315" s="882"/>
      <c r="F315" s="550"/>
      <c r="G315" s="550"/>
      <c r="AQ315" s="535"/>
      <c r="AR315" s="548"/>
      <c r="AS315" s="548"/>
    </row>
    <row r="316" spans="1:45" ht="13" x14ac:dyDescent="0.3">
      <c r="A316" s="550"/>
      <c r="B316" s="550"/>
      <c r="C316" s="550"/>
      <c r="D316" s="882"/>
      <c r="E316" s="882"/>
      <c r="F316" s="550"/>
      <c r="G316" s="550"/>
      <c r="AQ316" s="535"/>
      <c r="AR316" s="548"/>
      <c r="AS316" s="548"/>
    </row>
    <row r="317" spans="1:45" ht="13" x14ac:dyDescent="0.3">
      <c r="A317" s="550"/>
      <c r="B317" s="550"/>
      <c r="C317" s="550"/>
      <c r="D317" s="882"/>
      <c r="E317" s="882"/>
      <c r="F317" s="550"/>
      <c r="G317" s="550"/>
      <c r="AQ317" s="535"/>
      <c r="AR317" s="548"/>
      <c r="AS317" s="548"/>
    </row>
    <row r="318" spans="1:45" ht="13" x14ac:dyDescent="0.3">
      <c r="A318" s="550"/>
      <c r="B318" s="550"/>
      <c r="C318" s="550"/>
      <c r="D318" s="882"/>
      <c r="E318" s="882"/>
      <c r="F318" s="550"/>
      <c r="G318" s="550"/>
      <c r="AQ318" s="535"/>
      <c r="AR318" s="548"/>
      <c r="AS318" s="548"/>
    </row>
    <row r="319" spans="1:45" ht="13" x14ac:dyDescent="0.3">
      <c r="A319" s="550"/>
      <c r="B319" s="550"/>
      <c r="C319" s="550"/>
      <c r="D319" s="882"/>
      <c r="E319" s="882"/>
      <c r="F319" s="550"/>
      <c r="G319" s="550"/>
      <c r="AQ319" s="535"/>
      <c r="AR319" s="548"/>
      <c r="AS319" s="548"/>
    </row>
    <row r="320" spans="1:45" ht="13" x14ac:dyDescent="0.3">
      <c r="A320" s="550"/>
      <c r="B320" s="550"/>
      <c r="C320" s="550"/>
      <c r="D320" s="882"/>
      <c r="E320" s="882"/>
      <c r="F320" s="550"/>
      <c r="G320" s="550"/>
      <c r="AQ320" s="535"/>
      <c r="AR320" s="548"/>
      <c r="AS320" s="548"/>
    </row>
    <row r="321" spans="1:45" ht="13" x14ac:dyDescent="0.3">
      <c r="A321" s="550"/>
      <c r="B321" s="550"/>
      <c r="C321" s="550"/>
      <c r="D321" s="882"/>
      <c r="E321" s="882"/>
      <c r="F321" s="550"/>
      <c r="G321" s="550"/>
      <c r="AQ321" s="535"/>
      <c r="AR321" s="548"/>
      <c r="AS321" s="548"/>
    </row>
    <row r="322" spans="1:45" ht="13" x14ac:dyDescent="0.3">
      <c r="A322" s="550"/>
      <c r="B322" s="550"/>
      <c r="C322" s="550"/>
      <c r="D322" s="882"/>
      <c r="E322" s="882"/>
      <c r="F322" s="550"/>
      <c r="G322" s="550"/>
      <c r="AQ322" s="535"/>
      <c r="AR322" s="548"/>
      <c r="AS322" s="548"/>
    </row>
    <row r="323" spans="1:45" ht="13" x14ac:dyDescent="0.3">
      <c r="A323" s="550"/>
      <c r="B323" s="550"/>
      <c r="C323" s="550"/>
      <c r="D323" s="882"/>
      <c r="E323" s="882"/>
      <c r="F323" s="550"/>
      <c r="G323" s="550"/>
      <c r="AQ323" s="535"/>
      <c r="AR323" s="548"/>
      <c r="AS323" s="548"/>
    </row>
    <row r="324" spans="1:45" ht="13" x14ac:dyDescent="0.3">
      <c r="A324" s="550"/>
      <c r="B324" s="550"/>
      <c r="C324" s="550"/>
      <c r="D324" s="882"/>
      <c r="E324" s="882"/>
      <c r="F324" s="550"/>
      <c r="G324" s="550"/>
      <c r="AQ324" s="535"/>
      <c r="AR324" s="548"/>
      <c r="AS324" s="548"/>
    </row>
    <row r="325" spans="1:45" ht="13" x14ac:dyDescent="0.3">
      <c r="A325" s="550"/>
      <c r="B325" s="550"/>
      <c r="C325" s="550"/>
      <c r="D325" s="882"/>
      <c r="E325" s="882"/>
      <c r="F325" s="550"/>
      <c r="G325" s="550"/>
      <c r="AQ325" s="535"/>
      <c r="AR325" s="548"/>
      <c r="AS325" s="548"/>
    </row>
    <row r="326" spans="1:45" ht="13" x14ac:dyDescent="0.3">
      <c r="A326" s="550"/>
      <c r="B326" s="550"/>
      <c r="C326" s="550"/>
      <c r="D326" s="882"/>
      <c r="E326" s="882"/>
      <c r="F326" s="550"/>
      <c r="G326" s="550"/>
      <c r="AQ326" s="535"/>
      <c r="AR326" s="548"/>
      <c r="AS326" s="548"/>
    </row>
    <row r="327" spans="1:45" ht="13" x14ac:dyDescent="0.3">
      <c r="A327" s="550"/>
      <c r="B327" s="550"/>
      <c r="C327" s="550"/>
      <c r="D327" s="882"/>
      <c r="E327" s="882"/>
      <c r="F327" s="550"/>
      <c r="G327" s="550"/>
      <c r="AQ327" s="535"/>
      <c r="AR327" s="548"/>
      <c r="AS327" s="548"/>
    </row>
    <row r="328" spans="1:45" ht="13" x14ac:dyDescent="0.3">
      <c r="A328" s="550"/>
      <c r="B328" s="550"/>
      <c r="C328" s="550"/>
      <c r="D328" s="882"/>
      <c r="E328" s="882"/>
      <c r="F328" s="550"/>
      <c r="G328" s="550"/>
      <c r="AQ328" s="535"/>
      <c r="AR328" s="548"/>
      <c r="AS328" s="548"/>
    </row>
    <row r="329" spans="1:45" ht="13" x14ac:dyDescent="0.3">
      <c r="A329" s="550"/>
      <c r="B329" s="550"/>
      <c r="C329" s="550"/>
      <c r="D329" s="882"/>
      <c r="E329" s="882"/>
      <c r="F329" s="550"/>
      <c r="G329" s="550"/>
      <c r="AQ329" s="535"/>
      <c r="AR329" s="548"/>
      <c r="AS329" s="548"/>
    </row>
    <row r="330" spans="1:45" ht="13" x14ac:dyDescent="0.3">
      <c r="A330" s="550"/>
      <c r="B330" s="550"/>
      <c r="C330" s="550"/>
      <c r="D330" s="882"/>
      <c r="E330" s="882"/>
      <c r="F330" s="550"/>
      <c r="G330" s="550"/>
      <c r="AQ330" s="535"/>
      <c r="AR330" s="548"/>
      <c r="AS330" s="548"/>
    </row>
    <row r="331" spans="1:45" ht="13" x14ac:dyDescent="0.3">
      <c r="A331" s="550"/>
      <c r="B331" s="550"/>
      <c r="C331" s="550"/>
      <c r="D331" s="882"/>
      <c r="E331" s="882"/>
      <c r="F331" s="550"/>
      <c r="G331" s="550"/>
      <c r="AQ331" s="535"/>
      <c r="AR331" s="548"/>
      <c r="AS331" s="548"/>
    </row>
    <row r="332" spans="1:45" ht="13" x14ac:dyDescent="0.3">
      <c r="AQ332" s="535"/>
      <c r="AR332" s="548"/>
      <c r="AS332" s="548"/>
    </row>
    <row r="333" spans="1:45" ht="13" x14ac:dyDescent="0.3">
      <c r="AQ333" s="535"/>
      <c r="AR333" s="548"/>
      <c r="AS333" s="548"/>
    </row>
    <row r="334" spans="1:45" ht="13" x14ac:dyDescent="0.3">
      <c r="AQ334" s="535"/>
      <c r="AR334" s="548"/>
      <c r="AS334" s="548"/>
    </row>
    <row r="335" spans="1:45" ht="13" x14ac:dyDescent="0.3">
      <c r="AQ335" s="535"/>
      <c r="AR335" s="548"/>
      <c r="AS335" s="548"/>
    </row>
    <row r="336" spans="1:45" ht="13" x14ac:dyDescent="0.3">
      <c r="AQ336" s="535"/>
      <c r="AR336" s="548"/>
      <c r="AS336" s="548"/>
    </row>
    <row r="337" spans="43:45" ht="13" x14ac:dyDescent="0.3">
      <c r="AQ337" s="535"/>
      <c r="AR337" s="548"/>
      <c r="AS337" s="548"/>
    </row>
    <row r="338" spans="43:45" ht="13" x14ac:dyDescent="0.3">
      <c r="AQ338" s="535"/>
      <c r="AR338" s="548"/>
      <c r="AS338" s="548"/>
    </row>
    <row r="339" spans="43:45" ht="13" x14ac:dyDescent="0.3">
      <c r="AQ339" s="535"/>
      <c r="AR339" s="548"/>
      <c r="AS339" s="548"/>
    </row>
    <row r="340" spans="43:45" ht="13" x14ac:dyDescent="0.3">
      <c r="AQ340" s="535"/>
      <c r="AR340" s="548"/>
      <c r="AS340" s="548"/>
    </row>
    <row r="341" spans="43:45" ht="13" x14ac:dyDescent="0.3">
      <c r="AQ341" s="535"/>
      <c r="AR341" s="548"/>
      <c r="AS341" s="548"/>
    </row>
    <row r="342" spans="43:45" ht="13" x14ac:dyDescent="0.3">
      <c r="AQ342" s="535"/>
      <c r="AR342" s="548"/>
      <c r="AS342" s="548"/>
    </row>
    <row r="343" spans="43:45" ht="13" x14ac:dyDescent="0.3">
      <c r="AQ343" s="535"/>
      <c r="AR343" s="548"/>
      <c r="AS343" s="548"/>
    </row>
    <row r="344" spans="43:45" ht="13" x14ac:dyDescent="0.3">
      <c r="AQ344" s="535"/>
      <c r="AR344" s="548"/>
      <c r="AS344" s="548"/>
    </row>
    <row r="345" spans="43:45" ht="13" x14ac:dyDescent="0.3">
      <c r="AQ345" s="535"/>
      <c r="AR345" s="548"/>
      <c r="AS345" s="548"/>
    </row>
    <row r="346" spans="43:45" ht="13" x14ac:dyDescent="0.3">
      <c r="AQ346" s="535"/>
      <c r="AR346" s="548"/>
      <c r="AS346" s="548"/>
    </row>
    <row r="347" spans="43:45" ht="13" x14ac:dyDescent="0.3">
      <c r="AQ347" s="535"/>
      <c r="AR347" s="548"/>
      <c r="AS347" s="548"/>
    </row>
    <row r="348" spans="43:45" ht="13" x14ac:dyDescent="0.3">
      <c r="AQ348" s="535"/>
      <c r="AR348" s="548"/>
      <c r="AS348" s="548"/>
    </row>
    <row r="349" spans="43:45" ht="13" x14ac:dyDescent="0.3">
      <c r="AQ349" s="535"/>
      <c r="AR349" s="548"/>
      <c r="AS349" s="548"/>
    </row>
    <row r="350" spans="43:45" ht="13" x14ac:dyDescent="0.3">
      <c r="AQ350" s="535"/>
      <c r="AR350" s="548"/>
      <c r="AS350" s="548"/>
    </row>
    <row r="351" spans="43:45" ht="13" x14ac:dyDescent="0.3">
      <c r="AQ351" s="535"/>
      <c r="AR351" s="548"/>
      <c r="AS351" s="548"/>
    </row>
    <row r="352" spans="43:45" ht="13" x14ac:dyDescent="0.3">
      <c r="AQ352" s="535"/>
      <c r="AR352" s="548"/>
      <c r="AS352" s="548"/>
    </row>
    <row r="353" spans="43:45" ht="13" x14ac:dyDescent="0.3">
      <c r="AQ353" s="535"/>
      <c r="AR353" s="548"/>
      <c r="AS353" s="548"/>
    </row>
    <row r="354" spans="43:45" ht="13" x14ac:dyDescent="0.3">
      <c r="AQ354" s="535"/>
      <c r="AR354" s="548"/>
      <c r="AS354" s="548"/>
    </row>
    <row r="355" spans="43:45" ht="13" x14ac:dyDescent="0.3">
      <c r="AQ355" s="535"/>
      <c r="AR355" s="548"/>
      <c r="AS355" s="548"/>
    </row>
    <row r="356" spans="43:45" ht="13" x14ac:dyDescent="0.3">
      <c r="AQ356" s="535"/>
      <c r="AR356" s="548"/>
      <c r="AS356" s="548"/>
    </row>
    <row r="357" spans="43:45" ht="13" x14ac:dyDescent="0.3">
      <c r="AQ357" s="535"/>
      <c r="AR357" s="548"/>
      <c r="AS357" s="548"/>
    </row>
    <row r="358" spans="43:45" ht="13" x14ac:dyDescent="0.3">
      <c r="AQ358" s="535"/>
      <c r="AR358" s="548"/>
      <c r="AS358" s="548"/>
    </row>
    <row r="359" spans="43:45" ht="13" x14ac:dyDescent="0.3">
      <c r="AQ359" s="535"/>
      <c r="AR359" s="548"/>
      <c r="AS359" s="548"/>
    </row>
    <row r="360" spans="43:45" ht="13" x14ac:dyDescent="0.3">
      <c r="AQ360" s="535"/>
      <c r="AR360" s="548"/>
      <c r="AS360" s="548"/>
    </row>
    <row r="361" spans="43:45" ht="13" x14ac:dyDescent="0.3">
      <c r="AQ361" s="535"/>
      <c r="AR361" s="548"/>
      <c r="AS361" s="548"/>
    </row>
    <row r="362" spans="43:45" ht="13" x14ac:dyDescent="0.3">
      <c r="AQ362" s="535"/>
      <c r="AR362" s="548"/>
      <c r="AS362" s="548"/>
    </row>
    <row r="363" spans="43:45" ht="13" x14ac:dyDescent="0.3">
      <c r="AQ363" s="535"/>
      <c r="AR363" s="548"/>
      <c r="AS363" s="548"/>
    </row>
    <row r="364" spans="43:45" ht="13" x14ac:dyDescent="0.3">
      <c r="AQ364" s="535"/>
      <c r="AR364" s="548"/>
      <c r="AS364" s="548"/>
    </row>
    <row r="365" spans="43:45" ht="13" x14ac:dyDescent="0.3">
      <c r="AQ365" s="535"/>
      <c r="AR365" s="548"/>
      <c r="AS365" s="548"/>
    </row>
    <row r="366" spans="43:45" ht="13" x14ac:dyDescent="0.3">
      <c r="AQ366" s="535"/>
      <c r="AR366" s="548"/>
      <c r="AS366" s="548"/>
    </row>
    <row r="367" spans="43:45" ht="13" x14ac:dyDescent="0.3">
      <c r="AQ367" s="535"/>
      <c r="AR367" s="548"/>
      <c r="AS367" s="548"/>
    </row>
    <row r="368" spans="43:45" ht="13" x14ac:dyDescent="0.3">
      <c r="AQ368" s="535"/>
      <c r="AR368" s="548"/>
      <c r="AS368" s="548"/>
    </row>
    <row r="369" spans="43:45" ht="13" x14ac:dyDescent="0.3">
      <c r="AQ369" s="535"/>
      <c r="AR369" s="548"/>
      <c r="AS369" s="548"/>
    </row>
    <row r="370" spans="43:45" ht="13" x14ac:dyDescent="0.3">
      <c r="AQ370" s="535"/>
      <c r="AR370" s="548"/>
      <c r="AS370" s="548"/>
    </row>
    <row r="371" spans="43:45" ht="13" x14ac:dyDescent="0.3">
      <c r="AQ371" s="535"/>
      <c r="AR371" s="548"/>
      <c r="AS371" s="548"/>
    </row>
    <row r="372" spans="43:45" ht="13" x14ac:dyDescent="0.3">
      <c r="AQ372" s="535"/>
      <c r="AR372" s="548"/>
      <c r="AS372" s="548"/>
    </row>
    <row r="373" spans="43:45" ht="13" x14ac:dyDescent="0.3">
      <c r="AQ373" s="535"/>
      <c r="AR373" s="548"/>
      <c r="AS373" s="548"/>
    </row>
    <row r="374" spans="43:45" ht="13" x14ac:dyDescent="0.3">
      <c r="AQ374" s="535"/>
      <c r="AR374" s="548"/>
      <c r="AS374" s="548"/>
    </row>
    <row r="375" spans="43:45" ht="13" x14ac:dyDescent="0.3">
      <c r="AQ375" s="535"/>
      <c r="AR375" s="548"/>
      <c r="AS375" s="548"/>
    </row>
    <row r="376" spans="43:45" ht="13" x14ac:dyDescent="0.3">
      <c r="AQ376" s="535"/>
      <c r="AR376" s="548"/>
      <c r="AS376" s="548"/>
    </row>
    <row r="377" spans="43:45" ht="13" x14ac:dyDescent="0.3">
      <c r="AQ377" s="535"/>
      <c r="AR377" s="548"/>
      <c r="AS377" s="548"/>
    </row>
    <row r="378" spans="43:45" ht="13" x14ac:dyDescent="0.3">
      <c r="AQ378" s="535"/>
      <c r="AR378" s="548"/>
      <c r="AS378" s="548"/>
    </row>
    <row r="379" spans="43:45" ht="13" x14ac:dyDescent="0.3">
      <c r="AQ379" s="535"/>
      <c r="AR379" s="548"/>
      <c r="AS379" s="548"/>
    </row>
    <row r="380" spans="43:45" ht="13" x14ac:dyDescent="0.3">
      <c r="AQ380" s="535"/>
      <c r="AR380" s="548"/>
      <c r="AS380" s="548"/>
    </row>
    <row r="381" spans="43:45" ht="13" x14ac:dyDescent="0.3">
      <c r="AQ381" s="535"/>
      <c r="AR381" s="548"/>
      <c r="AS381" s="548"/>
    </row>
    <row r="382" spans="43:45" ht="13" x14ac:dyDescent="0.3">
      <c r="AQ382" s="535"/>
      <c r="AR382" s="548"/>
      <c r="AS382" s="548"/>
    </row>
    <row r="383" spans="43:45" ht="13" x14ac:dyDescent="0.3">
      <c r="AQ383" s="535"/>
      <c r="AR383" s="548"/>
      <c r="AS383" s="548"/>
    </row>
    <row r="384" spans="43:45" ht="13" x14ac:dyDescent="0.3">
      <c r="AQ384" s="535"/>
      <c r="AR384" s="548"/>
      <c r="AS384" s="548"/>
    </row>
    <row r="385" spans="43:45" ht="13" x14ac:dyDescent="0.3">
      <c r="AQ385" s="535"/>
      <c r="AR385" s="548"/>
      <c r="AS385" s="548"/>
    </row>
    <row r="386" spans="43:45" ht="13" x14ac:dyDescent="0.3">
      <c r="AQ386" s="535"/>
      <c r="AR386" s="548"/>
      <c r="AS386" s="548"/>
    </row>
    <row r="387" spans="43:45" ht="13" x14ac:dyDescent="0.3">
      <c r="AQ387" s="535"/>
      <c r="AR387" s="548"/>
      <c r="AS387" s="548"/>
    </row>
    <row r="388" spans="43:45" ht="13" x14ac:dyDescent="0.3">
      <c r="AQ388" s="535"/>
      <c r="AR388" s="548"/>
      <c r="AS388" s="548"/>
    </row>
    <row r="389" spans="43:45" ht="13" x14ac:dyDescent="0.3">
      <c r="AQ389" s="535"/>
      <c r="AR389" s="548"/>
      <c r="AS389" s="548"/>
    </row>
    <row r="390" spans="43:45" ht="13" x14ac:dyDescent="0.3">
      <c r="AQ390" s="535"/>
      <c r="AR390" s="548"/>
      <c r="AS390" s="548"/>
    </row>
    <row r="391" spans="43:45" ht="13" x14ac:dyDescent="0.3">
      <c r="AQ391" s="535"/>
      <c r="AR391" s="548"/>
      <c r="AS391" s="548"/>
    </row>
    <row r="392" spans="43:45" ht="13" x14ac:dyDescent="0.3">
      <c r="AQ392" s="535"/>
      <c r="AR392" s="548"/>
      <c r="AS392" s="548"/>
    </row>
    <row r="393" spans="43:45" ht="13" x14ac:dyDescent="0.3">
      <c r="AQ393" s="535"/>
      <c r="AR393" s="548"/>
      <c r="AS393" s="548"/>
    </row>
    <row r="394" spans="43:45" ht="13" x14ac:dyDescent="0.3">
      <c r="AQ394" s="535"/>
      <c r="AR394" s="548"/>
      <c r="AS394" s="548"/>
    </row>
    <row r="395" spans="43:45" ht="13" x14ac:dyDescent="0.3">
      <c r="AQ395" s="535"/>
      <c r="AR395" s="548"/>
      <c r="AS395" s="548"/>
    </row>
    <row r="396" spans="43:45" ht="13" x14ac:dyDescent="0.3">
      <c r="AQ396" s="535"/>
      <c r="AR396" s="548"/>
      <c r="AS396" s="548"/>
    </row>
    <row r="397" spans="43:45" ht="13" x14ac:dyDescent="0.3">
      <c r="AQ397" s="535"/>
      <c r="AR397" s="548"/>
      <c r="AS397" s="548"/>
    </row>
    <row r="398" spans="43:45" ht="13" x14ac:dyDescent="0.3">
      <c r="AQ398" s="535"/>
      <c r="AR398" s="548"/>
      <c r="AS398" s="548"/>
    </row>
    <row r="399" spans="43:45" ht="13" x14ac:dyDescent="0.3">
      <c r="AQ399" s="535"/>
      <c r="AR399" s="548"/>
      <c r="AS399" s="548"/>
    </row>
    <row r="400" spans="43:45" ht="13" x14ac:dyDescent="0.3">
      <c r="AQ400" s="535"/>
      <c r="AR400" s="548"/>
      <c r="AS400" s="548"/>
    </row>
    <row r="401" spans="43:45" ht="13" x14ac:dyDescent="0.3">
      <c r="AQ401" s="535"/>
      <c r="AR401" s="548"/>
      <c r="AS401" s="548"/>
    </row>
    <row r="402" spans="43:45" ht="13" x14ac:dyDescent="0.3">
      <c r="AQ402" s="535"/>
      <c r="AR402" s="548"/>
      <c r="AS402" s="548"/>
    </row>
    <row r="403" spans="43:45" ht="13" x14ac:dyDescent="0.3">
      <c r="AQ403" s="535"/>
      <c r="AR403" s="548"/>
      <c r="AS403" s="548"/>
    </row>
    <row r="404" spans="43:45" ht="13" x14ac:dyDescent="0.3">
      <c r="AQ404" s="535"/>
      <c r="AR404" s="548"/>
      <c r="AS404" s="548"/>
    </row>
    <row r="405" spans="43:45" ht="13" x14ac:dyDescent="0.3">
      <c r="AQ405" s="535"/>
      <c r="AR405" s="548"/>
      <c r="AS405" s="548"/>
    </row>
    <row r="406" spans="43:45" ht="13" x14ac:dyDescent="0.3">
      <c r="AQ406" s="535"/>
      <c r="AR406" s="548"/>
      <c r="AS406" s="548"/>
    </row>
    <row r="407" spans="43:45" ht="13" x14ac:dyDescent="0.3">
      <c r="AQ407" s="535"/>
      <c r="AR407" s="548"/>
      <c r="AS407" s="548"/>
    </row>
    <row r="408" spans="43:45" ht="13" x14ac:dyDescent="0.3">
      <c r="AQ408" s="535"/>
      <c r="AR408" s="548"/>
      <c r="AS408" s="548"/>
    </row>
    <row r="409" spans="43:45" ht="13" x14ac:dyDescent="0.3">
      <c r="AQ409" s="535"/>
      <c r="AR409" s="548"/>
      <c r="AS409" s="548"/>
    </row>
    <row r="410" spans="43:45" ht="13" x14ac:dyDescent="0.3">
      <c r="AQ410" s="535"/>
      <c r="AR410" s="548"/>
      <c r="AS410" s="548"/>
    </row>
    <row r="411" spans="43:45" ht="13" x14ac:dyDescent="0.3">
      <c r="AQ411" s="535"/>
      <c r="AR411" s="548"/>
      <c r="AS411" s="548"/>
    </row>
    <row r="412" spans="43:45" ht="13" x14ac:dyDescent="0.3">
      <c r="AQ412" s="535"/>
      <c r="AR412" s="548"/>
      <c r="AS412" s="548"/>
    </row>
    <row r="413" spans="43:45" ht="13" x14ac:dyDescent="0.3">
      <c r="AQ413" s="535"/>
      <c r="AR413" s="548"/>
      <c r="AS413" s="548"/>
    </row>
    <row r="414" spans="43:45" ht="13" x14ac:dyDescent="0.3">
      <c r="AQ414" s="535"/>
      <c r="AR414" s="548"/>
      <c r="AS414" s="548"/>
    </row>
    <row r="415" spans="43:45" ht="13" x14ac:dyDescent="0.3">
      <c r="AQ415" s="535"/>
      <c r="AR415" s="548"/>
      <c r="AS415" s="548"/>
    </row>
    <row r="416" spans="43:45" ht="13" x14ac:dyDescent="0.3">
      <c r="AQ416" s="535"/>
      <c r="AR416" s="548"/>
      <c r="AS416" s="548"/>
    </row>
    <row r="417" spans="43:45" ht="13" x14ac:dyDescent="0.3">
      <c r="AQ417" s="535"/>
      <c r="AR417" s="548"/>
      <c r="AS417" s="548"/>
    </row>
    <row r="418" spans="43:45" ht="13" x14ac:dyDescent="0.3">
      <c r="AQ418" s="535"/>
      <c r="AR418" s="548"/>
      <c r="AS418" s="548"/>
    </row>
    <row r="419" spans="43:45" ht="13" x14ac:dyDescent="0.3">
      <c r="AQ419" s="535"/>
      <c r="AR419" s="548"/>
      <c r="AS419" s="548"/>
    </row>
    <row r="420" spans="43:45" ht="13" x14ac:dyDescent="0.3">
      <c r="AQ420" s="535"/>
      <c r="AR420" s="548"/>
      <c r="AS420" s="548"/>
    </row>
    <row r="421" spans="43:45" ht="13" x14ac:dyDescent="0.3">
      <c r="AQ421" s="535"/>
      <c r="AR421" s="548"/>
      <c r="AS421" s="548"/>
    </row>
    <row r="422" spans="43:45" ht="13" x14ac:dyDescent="0.3">
      <c r="AQ422" s="535"/>
      <c r="AR422" s="548"/>
      <c r="AS422" s="548"/>
    </row>
    <row r="423" spans="43:45" ht="13" x14ac:dyDescent="0.3">
      <c r="AQ423" s="535"/>
      <c r="AR423" s="548"/>
      <c r="AS423" s="548"/>
    </row>
    <row r="424" spans="43:45" ht="13" x14ac:dyDescent="0.3">
      <c r="AQ424" s="535"/>
      <c r="AR424" s="548"/>
      <c r="AS424" s="548"/>
    </row>
    <row r="425" spans="43:45" ht="13" x14ac:dyDescent="0.3">
      <c r="AQ425" s="535"/>
      <c r="AR425" s="548"/>
      <c r="AS425" s="548"/>
    </row>
    <row r="426" spans="43:45" ht="13" x14ac:dyDescent="0.3">
      <c r="AQ426" s="535"/>
      <c r="AR426" s="548"/>
      <c r="AS426" s="548"/>
    </row>
    <row r="427" spans="43:45" ht="13" x14ac:dyDescent="0.3">
      <c r="AQ427" s="535"/>
      <c r="AR427" s="548"/>
      <c r="AS427" s="548"/>
    </row>
    <row r="428" spans="43:45" ht="13" x14ac:dyDescent="0.3">
      <c r="AQ428" s="535"/>
      <c r="AR428" s="548"/>
      <c r="AS428" s="548"/>
    </row>
    <row r="429" spans="43:45" ht="13" x14ac:dyDescent="0.3">
      <c r="AQ429" s="535"/>
      <c r="AR429" s="548"/>
      <c r="AS429" s="548"/>
    </row>
    <row r="430" spans="43:45" ht="13" x14ac:dyDescent="0.3">
      <c r="AQ430" s="535"/>
      <c r="AR430" s="548"/>
      <c r="AS430" s="548"/>
    </row>
    <row r="431" spans="43:45" ht="13" x14ac:dyDescent="0.3">
      <c r="AQ431" s="535"/>
      <c r="AR431" s="548"/>
      <c r="AS431" s="548"/>
    </row>
    <row r="432" spans="43:45" ht="13" x14ac:dyDescent="0.3">
      <c r="AQ432" s="535"/>
      <c r="AR432" s="548"/>
      <c r="AS432" s="548"/>
    </row>
    <row r="433" spans="43:45" ht="13" x14ac:dyDescent="0.3">
      <c r="AQ433" s="535"/>
      <c r="AR433" s="548"/>
      <c r="AS433" s="548"/>
    </row>
    <row r="434" spans="43:45" ht="13" x14ac:dyDescent="0.3">
      <c r="AQ434" s="535"/>
      <c r="AR434" s="548"/>
      <c r="AS434" s="548"/>
    </row>
    <row r="435" spans="43:45" ht="13" x14ac:dyDescent="0.3">
      <c r="AQ435" s="535"/>
      <c r="AR435" s="548"/>
      <c r="AS435" s="548"/>
    </row>
    <row r="436" spans="43:45" ht="13" x14ac:dyDescent="0.3">
      <c r="AQ436" s="535"/>
      <c r="AR436" s="548"/>
      <c r="AS436" s="548"/>
    </row>
    <row r="437" spans="43:45" ht="13" x14ac:dyDescent="0.3">
      <c r="AQ437" s="535"/>
      <c r="AR437" s="548"/>
      <c r="AS437" s="548"/>
    </row>
    <row r="438" spans="43:45" ht="13" x14ac:dyDescent="0.3">
      <c r="AQ438" s="535"/>
      <c r="AR438" s="548"/>
      <c r="AS438" s="548"/>
    </row>
    <row r="439" spans="43:45" ht="13" x14ac:dyDescent="0.3">
      <c r="AQ439" s="535"/>
      <c r="AR439" s="548"/>
      <c r="AS439" s="548"/>
    </row>
    <row r="440" spans="43:45" ht="13" x14ac:dyDescent="0.3">
      <c r="AQ440" s="535"/>
      <c r="AR440" s="548"/>
      <c r="AS440" s="548"/>
    </row>
    <row r="441" spans="43:45" ht="13" x14ac:dyDescent="0.3">
      <c r="AQ441" s="535"/>
      <c r="AR441" s="548"/>
      <c r="AS441" s="548"/>
    </row>
    <row r="442" spans="43:45" ht="13" x14ac:dyDescent="0.3">
      <c r="AQ442" s="535"/>
      <c r="AR442" s="548"/>
      <c r="AS442" s="548"/>
    </row>
    <row r="443" spans="43:45" ht="13" x14ac:dyDescent="0.3">
      <c r="AQ443" s="535"/>
      <c r="AR443" s="548"/>
      <c r="AS443" s="548"/>
    </row>
    <row r="444" spans="43:45" ht="13" x14ac:dyDescent="0.3">
      <c r="AQ444" s="535"/>
      <c r="AR444" s="548"/>
      <c r="AS444" s="548"/>
    </row>
    <row r="445" spans="43:45" ht="13" x14ac:dyDescent="0.3">
      <c r="AQ445" s="535"/>
      <c r="AR445" s="548"/>
      <c r="AS445" s="548"/>
    </row>
    <row r="446" spans="43:45" ht="13" x14ac:dyDescent="0.3">
      <c r="AQ446" s="535"/>
      <c r="AR446" s="548"/>
      <c r="AS446" s="548"/>
    </row>
    <row r="447" spans="43:45" ht="13" x14ac:dyDescent="0.3">
      <c r="AQ447" s="535"/>
      <c r="AR447" s="548"/>
      <c r="AS447" s="548"/>
    </row>
    <row r="448" spans="43:45" ht="13" x14ac:dyDescent="0.3">
      <c r="AQ448" s="535"/>
      <c r="AR448" s="548"/>
      <c r="AS448" s="548"/>
    </row>
    <row r="449" spans="43:45" ht="13" x14ac:dyDescent="0.3">
      <c r="AQ449" s="535"/>
      <c r="AR449" s="548"/>
      <c r="AS449" s="548"/>
    </row>
    <row r="450" spans="43:45" ht="13" x14ac:dyDescent="0.3">
      <c r="AQ450" s="535"/>
      <c r="AR450" s="548"/>
      <c r="AS450" s="548"/>
    </row>
    <row r="451" spans="43:45" ht="13" x14ac:dyDescent="0.3">
      <c r="AQ451" s="535"/>
      <c r="AR451" s="548"/>
      <c r="AS451" s="548"/>
    </row>
    <row r="452" spans="43:45" ht="13" x14ac:dyDescent="0.3">
      <c r="AQ452" s="535"/>
      <c r="AR452" s="548"/>
      <c r="AS452" s="548"/>
    </row>
    <row r="453" spans="43:45" ht="13" x14ac:dyDescent="0.3">
      <c r="AQ453" s="535"/>
      <c r="AR453" s="548"/>
      <c r="AS453" s="548"/>
    </row>
    <row r="454" spans="43:45" ht="13" x14ac:dyDescent="0.3">
      <c r="AQ454" s="535"/>
      <c r="AR454" s="548"/>
      <c r="AS454" s="548"/>
    </row>
    <row r="455" spans="43:45" ht="13" x14ac:dyDescent="0.3">
      <c r="AQ455" s="535"/>
      <c r="AR455" s="548"/>
      <c r="AS455" s="548"/>
    </row>
    <row r="456" spans="43:45" ht="13" x14ac:dyDescent="0.3">
      <c r="AQ456" s="535"/>
      <c r="AR456" s="548"/>
      <c r="AS456" s="548"/>
    </row>
    <row r="457" spans="43:45" ht="13" x14ac:dyDescent="0.3">
      <c r="AQ457" s="535"/>
      <c r="AR457" s="548"/>
      <c r="AS457" s="548"/>
    </row>
    <row r="458" spans="43:45" ht="13" x14ac:dyDescent="0.3">
      <c r="AQ458" s="535"/>
      <c r="AR458" s="548"/>
      <c r="AS458" s="548"/>
    </row>
    <row r="459" spans="43:45" ht="13" x14ac:dyDescent="0.3">
      <c r="AQ459" s="535"/>
      <c r="AR459" s="548"/>
      <c r="AS459" s="548"/>
    </row>
    <row r="460" spans="43:45" ht="13" x14ac:dyDescent="0.3">
      <c r="AQ460" s="535"/>
      <c r="AR460" s="548"/>
      <c r="AS460" s="548"/>
    </row>
    <row r="461" spans="43:45" ht="13" x14ac:dyDescent="0.3">
      <c r="AQ461" s="535"/>
      <c r="AR461" s="548"/>
      <c r="AS461" s="548"/>
    </row>
    <row r="462" spans="43:45" ht="13" x14ac:dyDescent="0.3">
      <c r="AQ462" s="535"/>
      <c r="AR462" s="548"/>
      <c r="AS462" s="548"/>
    </row>
    <row r="463" spans="43:45" ht="13" x14ac:dyDescent="0.3">
      <c r="AQ463" s="535"/>
      <c r="AR463" s="548"/>
      <c r="AS463" s="548"/>
    </row>
    <row r="464" spans="43:45" ht="13" x14ac:dyDescent="0.3">
      <c r="AQ464" s="535"/>
      <c r="AR464" s="548"/>
      <c r="AS464" s="548"/>
    </row>
    <row r="465" spans="43:45" ht="13" x14ac:dyDescent="0.3">
      <c r="AQ465" s="535"/>
      <c r="AR465" s="548"/>
      <c r="AS465" s="548"/>
    </row>
    <row r="466" spans="43:45" ht="13" x14ac:dyDescent="0.3">
      <c r="AQ466" s="535"/>
      <c r="AR466" s="548"/>
      <c r="AS466" s="548"/>
    </row>
    <row r="467" spans="43:45" ht="13" x14ac:dyDescent="0.3">
      <c r="AQ467" s="535"/>
      <c r="AR467" s="548"/>
      <c r="AS467" s="548"/>
    </row>
    <row r="468" spans="43:45" ht="13" x14ac:dyDescent="0.3">
      <c r="AQ468" s="535"/>
      <c r="AR468" s="548"/>
      <c r="AS468" s="548"/>
    </row>
    <row r="469" spans="43:45" ht="13" x14ac:dyDescent="0.3">
      <c r="AQ469" s="535"/>
      <c r="AR469" s="548"/>
      <c r="AS469" s="548"/>
    </row>
    <row r="470" spans="43:45" ht="13" x14ac:dyDescent="0.3">
      <c r="AQ470" s="535"/>
      <c r="AR470" s="548"/>
      <c r="AS470" s="548"/>
    </row>
    <row r="471" spans="43:45" ht="13" x14ac:dyDescent="0.3">
      <c r="AQ471" s="535"/>
      <c r="AR471" s="548"/>
      <c r="AS471" s="548"/>
    </row>
    <row r="472" spans="43:45" ht="13" x14ac:dyDescent="0.3">
      <c r="AQ472" s="535"/>
      <c r="AR472" s="548"/>
      <c r="AS472" s="548"/>
    </row>
    <row r="473" spans="43:45" ht="13" x14ac:dyDescent="0.3">
      <c r="AQ473" s="535"/>
      <c r="AR473" s="548"/>
      <c r="AS473" s="548"/>
    </row>
    <row r="474" spans="43:45" ht="13" x14ac:dyDescent="0.3">
      <c r="AQ474" s="535"/>
      <c r="AR474" s="548"/>
      <c r="AS474" s="548"/>
    </row>
    <row r="475" spans="43:45" ht="13" x14ac:dyDescent="0.3">
      <c r="AQ475" s="535"/>
      <c r="AR475" s="548"/>
      <c r="AS475" s="548"/>
    </row>
    <row r="476" spans="43:45" ht="13" x14ac:dyDescent="0.3">
      <c r="AQ476" s="535"/>
      <c r="AR476" s="548"/>
      <c r="AS476" s="548"/>
    </row>
    <row r="477" spans="43:45" ht="13" x14ac:dyDescent="0.3">
      <c r="AQ477" s="535"/>
      <c r="AR477" s="548"/>
      <c r="AS477" s="548"/>
    </row>
    <row r="478" spans="43:45" ht="13" x14ac:dyDescent="0.3">
      <c r="AQ478" s="535"/>
      <c r="AR478" s="548"/>
      <c r="AS478" s="548"/>
    </row>
    <row r="479" spans="43:45" ht="13" x14ac:dyDescent="0.3">
      <c r="AQ479" s="535"/>
      <c r="AR479" s="548"/>
      <c r="AS479" s="548"/>
    </row>
    <row r="480" spans="43:45" ht="13" x14ac:dyDescent="0.3">
      <c r="AQ480" s="535"/>
      <c r="AR480" s="548"/>
      <c r="AS480" s="548"/>
    </row>
    <row r="481" spans="43:45" ht="13" x14ac:dyDescent="0.3">
      <c r="AQ481" s="535"/>
      <c r="AR481" s="548"/>
      <c r="AS481" s="548"/>
    </row>
    <row r="482" spans="43:45" ht="13" x14ac:dyDescent="0.3">
      <c r="AQ482" s="535"/>
      <c r="AR482" s="548"/>
      <c r="AS482" s="548"/>
    </row>
    <row r="483" spans="43:45" ht="13" x14ac:dyDescent="0.3">
      <c r="AQ483" s="535"/>
      <c r="AR483" s="548"/>
      <c r="AS483" s="548"/>
    </row>
    <row r="484" spans="43:45" ht="13" x14ac:dyDescent="0.3">
      <c r="AQ484" s="535"/>
      <c r="AR484" s="548"/>
      <c r="AS484" s="548"/>
    </row>
    <row r="485" spans="43:45" ht="13" x14ac:dyDescent="0.3">
      <c r="AQ485" s="535"/>
      <c r="AR485" s="548"/>
      <c r="AS485" s="548"/>
    </row>
    <row r="486" spans="43:45" ht="13" x14ac:dyDescent="0.3">
      <c r="AQ486" s="535"/>
      <c r="AR486" s="548"/>
      <c r="AS486" s="548"/>
    </row>
    <row r="487" spans="43:45" ht="13" x14ac:dyDescent="0.3">
      <c r="AQ487" s="535"/>
      <c r="AR487" s="548"/>
      <c r="AS487" s="548"/>
    </row>
    <row r="488" spans="43:45" ht="13" x14ac:dyDescent="0.3">
      <c r="AQ488" s="535"/>
      <c r="AR488" s="548"/>
      <c r="AS488" s="548"/>
    </row>
    <row r="489" spans="43:45" ht="13" x14ac:dyDescent="0.3">
      <c r="AQ489" s="535"/>
      <c r="AR489" s="548"/>
      <c r="AS489" s="548"/>
    </row>
    <row r="490" spans="43:45" ht="13" x14ac:dyDescent="0.3">
      <c r="AQ490" s="535"/>
      <c r="AR490" s="548"/>
      <c r="AS490" s="548"/>
    </row>
    <row r="491" spans="43:45" ht="13" x14ac:dyDescent="0.3">
      <c r="AQ491" s="535"/>
      <c r="AR491" s="548"/>
      <c r="AS491" s="548"/>
    </row>
    <row r="492" spans="43:45" ht="13" x14ac:dyDescent="0.3">
      <c r="AQ492" s="535"/>
      <c r="AR492" s="548"/>
      <c r="AS492" s="548"/>
    </row>
    <row r="493" spans="43:45" ht="13" x14ac:dyDescent="0.3">
      <c r="AQ493" s="535"/>
      <c r="AR493" s="548"/>
      <c r="AS493" s="548"/>
    </row>
    <row r="494" spans="43:45" ht="13" x14ac:dyDescent="0.3">
      <c r="AQ494" s="535"/>
      <c r="AR494" s="548"/>
      <c r="AS494" s="548"/>
    </row>
    <row r="495" spans="43:45" ht="13" x14ac:dyDescent="0.3">
      <c r="AQ495" s="535"/>
      <c r="AR495" s="548"/>
      <c r="AS495" s="548"/>
    </row>
    <row r="496" spans="43:45" ht="13" x14ac:dyDescent="0.3">
      <c r="AQ496" s="535"/>
      <c r="AR496" s="548"/>
      <c r="AS496" s="548"/>
    </row>
    <row r="497" spans="43:45" ht="13" x14ac:dyDescent="0.3">
      <c r="AQ497" s="535"/>
      <c r="AR497" s="548"/>
      <c r="AS497" s="548"/>
    </row>
    <row r="498" spans="43:45" ht="13" x14ac:dyDescent="0.3">
      <c r="AQ498" s="535"/>
      <c r="AR498" s="548"/>
      <c r="AS498" s="548"/>
    </row>
    <row r="499" spans="43:45" ht="13" x14ac:dyDescent="0.3">
      <c r="AQ499" s="535"/>
      <c r="AR499" s="548"/>
      <c r="AS499" s="548"/>
    </row>
    <row r="500" spans="43:45" ht="13" x14ac:dyDescent="0.3">
      <c r="AQ500" s="535"/>
      <c r="AR500" s="548"/>
      <c r="AS500" s="548"/>
    </row>
    <row r="501" spans="43:45" ht="13" x14ac:dyDescent="0.3">
      <c r="AQ501" s="535"/>
      <c r="AR501" s="548"/>
      <c r="AS501" s="548"/>
    </row>
    <row r="502" spans="43:45" ht="13" x14ac:dyDescent="0.3">
      <c r="AQ502" s="535"/>
      <c r="AR502" s="548"/>
      <c r="AS502" s="548"/>
    </row>
    <row r="503" spans="43:45" ht="13" x14ac:dyDescent="0.3">
      <c r="AQ503" s="535"/>
      <c r="AR503" s="548"/>
      <c r="AS503" s="548"/>
    </row>
    <row r="504" spans="43:45" ht="13" x14ac:dyDescent="0.3">
      <c r="AQ504" s="535"/>
      <c r="AR504" s="548"/>
      <c r="AS504" s="548"/>
    </row>
    <row r="505" spans="43:45" ht="13" x14ac:dyDescent="0.3">
      <c r="AQ505" s="535"/>
      <c r="AR505" s="548"/>
      <c r="AS505" s="548"/>
    </row>
    <row r="506" spans="43:45" ht="13" x14ac:dyDescent="0.3">
      <c r="AQ506" s="535"/>
      <c r="AR506" s="548"/>
      <c r="AS506" s="548"/>
    </row>
    <row r="507" spans="43:45" ht="13" x14ac:dyDescent="0.3">
      <c r="AQ507" s="535"/>
      <c r="AR507" s="548"/>
      <c r="AS507" s="548"/>
    </row>
    <row r="508" spans="43:45" ht="13" x14ac:dyDescent="0.3">
      <c r="AQ508" s="535"/>
      <c r="AR508" s="548"/>
      <c r="AS508" s="548"/>
    </row>
    <row r="509" spans="43:45" ht="13" x14ac:dyDescent="0.3">
      <c r="AQ509" s="535"/>
      <c r="AR509" s="548"/>
      <c r="AS509" s="548"/>
    </row>
    <row r="510" spans="43:45" ht="13" x14ac:dyDescent="0.3">
      <c r="AQ510" s="535"/>
      <c r="AR510" s="548"/>
      <c r="AS510" s="548"/>
    </row>
    <row r="511" spans="43:45" ht="13" x14ac:dyDescent="0.3">
      <c r="AQ511" s="535"/>
      <c r="AR511" s="548"/>
      <c r="AS511" s="548"/>
    </row>
    <row r="512" spans="43:45" ht="13" x14ac:dyDescent="0.3">
      <c r="AQ512" s="535"/>
      <c r="AR512" s="548"/>
      <c r="AS512" s="548"/>
    </row>
    <row r="513" spans="43:45" ht="13" x14ac:dyDescent="0.3">
      <c r="AQ513" s="535"/>
      <c r="AR513" s="548"/>
      <c r="AS513" s="548"/>
    </row>
    <row r="514" spans="43:45" ht="13" x14ac:dyDescent="0.3">
      <c r="AQ514" s="535"/>
      <c r="AR514" s="548"/>
      <c r="AS514" s="548"/>
    </row>
    <row r="515" spans="43:45" ht="13" x14ac:dyDescent="0.3">
      <c r="AQ515" s="535"/>
      <c r="AR515" s="548"/>
      <c r="AS515" s="548"/>
    </row>
    <row r="516" spans="43:45" ht="13" x14ac:dyDescent="0.3">
      <c r="AQ516" s="535"/>
      <c r="AR516" s="548"/>
      <c r="AS516" s="548"/>
    </row>
    <row r="517" spans="43:45" ht="13" x14ac:dyDescent="0.3">
      <c r="AQ517" s="535"/>
      <c r="AR517" s="548"/>
      <c r="AS517" s="548"/>
    </row>
    <row r="518" spans="43:45" ht="13" x14ac:dyDescent="0.3">
      <c r="AQ518" s="535"/>
      <c r="AR518" s="548"/>
      <c r="AS518" s="548"/>
    </row>
    <row r="519" spans="43:45" ht="13" x14ac:dyDescent="0.3">
      <c r="AQ519" s="535"/>
      <c r="AR519" s="548"/>
      <c r="AS519" s="548"/>
    </row>
    <row r="520" spans="43:45" ht="13" x14ac:dyDescent="0.3">
      <c r="AQ520" s="535"/>
      <c r="AR520" s="548"/>
      <c r="AS520" s="548"/>
    </row>
    <row r="521" spans="43:45" ht="13" x14ac:dyDescent="0.3">
      <c r="AQ521" s="535"/>
      <c r="AR521" s="548"/>
      <c r="AS521" s="548"/>
    </row>
    <row r="522" spans="43:45" ht="13" x14ac:dyDescent="0.3">
      <c r="AQ522" s="535"/>
      <c r="AR522" s="548"/>
      <c r="AS522" s="548"/>
    </row>
    <row r="523" spans="43:45" ht="13" x14ac:dyDescent="0.3">
      <c r="AQ523" s="535"/>
      <c r="AR523" s="548"/>
      <c r="AS523" s="548"/>
    </row>
    <row r="524" spans="43:45" ht="13" x14ac:dyDescent="0.3">
      <c r="AQ524" s="535"/>
      <c r="AR524" s="548"/>
      <c r="AS524" s="548"/>
    </row>
    <row r="525" spans="43:45" ht="13" x14ac:dyDescent="0.3">
      <c r="AQ525" s="535"/>
      <c r="AR525" s="548"/>
      <c r="AS525" s="548"/>
    </row>
    <row r="526" spans="43:45" ht="13" x14ac:dyDescent="0.3">
      <c r="AQ526" s="535"/>
      <c r="AR526" s="548"/>
      <c r="AS526" s="548"/>
    </row>
    <row r="527" spans="43:45" ht="13" x14ac:dyDescent="0.3">
      <c r="AQ527" s="535"/>
      <c r="AR527" s="548"/>
      <c r="AS527" s="548"/>
    </row>
    <row r="528" spans="43:45" ht="13" x14ac:dyDescent="0.3">
      <c r="AQ528" s="535"/>
      <c r="AR528" s="548"/>
      <c r="AS528" s="548"/>
    </row>
    <row r="529" spans="43:45" ht="13" x14ac:dyDescent="0.3">
      <c r="AQ529" s="535"/>
      <c r="AR529" s="548"/>
      <c r="AS529" s="548"/>
    </row>
    <row r="530" spans="43:45" ht="13" x14ac:dyDescent="0.3">
      <c r="AQ530" s="535"/>
      <c r="AR530" s="548"/>
      <c r="AS530" s="548"/>
    </row>
    <row r="531" spans="43:45" ht="13" x14ac:dyDescent="0.3">
      <c r="AQ531" s="535"/>
      <c r="AR531" s="548"/>
      <c r="AS531" s="548"/>
    </row>
    <row r="532" spans="43:45" ht="13" x14ac:dyDescent="0.3">
      <c r="AQ532" s="535"/>
      <c r="AR532" s="548"/>
      <c r="AS532" s="548"/>
    </row>
    <row r="533" spans="43:45" ht="13" x14ac:dyDescent="0.3">
      <c r="AQ533" s="535"/>
      <c r="AR533" s="548"/>
      <c r="AS533" s="548"/>
    </row>
    <row r="534" spans="43:45" ht="13" x14ac:dyDescent="0.3">
      <c r="AQ534" s="535"/>
      <c r="AR534" s="548"/>
      <c r="AS534" s="548"/>
    </row>
    <row r="535" spans="43:45" ht="13" x14ac:dyDescent="0.3">
      <c r="AQ535" s="535"/>
      <c r="AR535" s="548"/>
      <c r="AS535" s="548"/>
    </row>
    <row r="536" spans="43:45" ht="13" x14ac:dyDescent="0.3">
      <c r="AQ536" s="535"/>
      <c r="AR536" s="548"/>
      <c r="AS536" s="548"/>
    </row>
    <row r="537" spans="43:45" ht="13" x14ac:dyDescent="0.3">
      <c r="AQ537" s="535"/>
      <c r="AR537" s="548"/>
      <c r="AS537" s="548"/>
    </row>
    <row r="538" spans="43:45" ht="13" x14ac:dyDescent="0.3">
      <c r="AQ538" s="535"/>
      <c r="AR538" s="548"/>
      <c r="AS538" s="548"/>
    </row>
    <row r="539" spans="43:45" ht="13" x14ac:dyDescent="0.3">
      <c r="AQ539" s="535"/>
      <c r="AR539" s="548"/>
      <c r="AS539" s="548"/>
    </row>
    <row r="540" spans="43:45" ht="13" x14ac:dyDescent="0.3">
      <c r="AQ540" s="535"/>
      <c r="AR540" s="548"/>
      <c r="AS540" s="548"/>
    </row>
    <row r="541" spans="43:45" ht="13" x14ac:dyDescent="0.3">
      <c r="AQ541" s="535"/>
      <c r="AR541" s="548"/>
      <c r="AS541" s="548"/>
    </row>
    <row r="542" spans="43:45" ht="13" x14ac:dyDescent="0.3">
      <c r="AQ542" s="535"/>
      <c r="AR542" s="548"/>
      <c r="AS542" s="548"/>
    </row>
    <row r="543" spans="43:45" ht="13" x14ac:dyDescent="0.3">
      <c r="AQ543" s="535"/>
      <c r="AR543" s="548"/>
      <c r="AS543" s="548"/>
    </row>
    <row r="544" spans="43:45" ht="13" x14ac:dyDescent="0.3">
      <c r="AQ544" s="535"/>
      <c r="AR544" s="548"/>
      <c r="AS544" s="548"/>
    </row>
    <row r="545" spans="43:45" ht="13" x14ac:dyDescent="0.3">
      <c r="AQ545" s="535"/>
      <c r="AR545" s="548"/>
      <c r="AS545" s="548"/>
    </row>
    <row r="546" spans="43:45" ht="13" x14ac:dyDescent="0.3">
      <c r="AQ546" s="535"/>
      <c r="AR546" s="548"/>
      <c r="AS546" s="548"/>
    </row>
    <row r="547" spans="43:45" ht="13" x14ac:dyDescent="0.3">
      <c r="AQ547" s="535"/>
      <c r="AR547" s="548"/>
      <c r="AS547" s="548"/>
    </row>
    <row r="548" spans="43:45" ht="13" x14ac:dyDescent="0.3">
      <c r="AQ548" s="535"/>
      <c r="AR548" s="548"/>
      <c r="AS548" s="548"/>
    </row>
    <row r="549" spans="43:45" ht="13" x14ac:dyDescent="0.3">
      <c r="AQ549" s="535"/>
      <c r="AR549" s="548"/>
      <c r="AS549" s="548"/>
    </row>
    <row r="550" spans="43:45" ht="13" x14ac:dyDescent="0.3">
      <c r="AQ550" s="535"/>
      <c r="AR550" s="548"/>
      <c r="AS550" s="548"/>
    </row>
    <row r="551" spans="43:45" ht="13" x14ac:dyDescent="0.3">
      <c r="AQ551" s="535"/>
      <c r="AR551" s="548"/>
      <c r="AS551" s="548"/>
    </row>
    <row r="552" spans="43:45" ht="13" x14ac:dyDescent="0.3">
      <c r="AQ552" s="535"/>
      <c r="AR552" s="548"/>
      <c r="AS552" s="548"/>
    </row>
    <row r="553" spans="43:45" ht="13" x14ac:dyDescent="0.3">
      <c r="AQ553" s="535"/>
      <c r="AR553" s="548"/>
      <c r="AS553" s="548"/>
    </row>
    <row r="554" spans="43:45" ht="13" x14ac:dyDescent="0.3">
      <c r="AQ554" s="535"/>
      <c r="AR554" s="548"/>
      <c r="AS554" s="548"/>
    </row>
    <row r="555" spans="43:45" ht="13" x14ac:dyDescent="0.3">
      <c r="AQ555" s="535"/>
      <c r="AR555" s="548"/>
      <c r="AS555" s="548"/>
    </row>
    <row r="556" spans="43:45" ht="13" x14ac:dyDescent="0.3">
      <c r="AQ556" s="535"/>
      <c r="AR556" s="548"/>
      <c r="AS556" s="548"/>
    </row>
    <row r="557" spans="43:45" ht="13" x14ac:dyDescent="0.3">
      <c r="AQ557" s="535"/>
      <c r="AR557" s="548"/>
      <c r="AS557" s="548"/>
    </row>
    <row r="558" spans="43:45" ht="13" x14ac:dyDescent="0.3">
      <c r="AQ558" s="535"/>
      <c r="AR558" s="548"/>
      <c r="AS558" s="548"/>
    </row>
    <row r="559" spans="43:45" ht="13" x14ac:dyDescent="0.3">
      <c r="AQ559" s="535"/>
      <c r="AR559" s="548"/>
      <c r="AS559" s="548"/>
    </row>
    <row r="560" spans="43:45" ht="13" x14ac:dyDescent="0.3">
      <c r="AQ560" s="535"/>
      <c r="AR560" s="548"/>
      <c r="AS560" s="548"/>
    </row>
    <row r="561" spans="43:45" ht="13" x14ac:dyDescent="0.3">
      <c r="AQ561" s="535"/>
      <c r="AR561" s="548"/>
      <c r="AS561" s="548"/>
    </row>
    <row r="562" spans="43:45" ht="13" x14ac:dyDescent="0.3">
      <c r="AQ562" s="535"/>
      <c r="AR562" s="548"/>
      <c r="AS562" s="548"/>
    </row>
    <row r="563" spans="43:45" ht="13" x14ac:dyDescent="0.3">
      <c r="AQ563" s="535"/>
      <c r="AR563" s="548"/>
      <c r="AS563" s="548"/>
    </row>
    <row r="564" spans="43:45" ht="13" x14ac:dyDescent="0.3">
      <c r="AQ564" s="535"/>
      <c r="AR564" s="548"/>
      <c r="AS564" s="548"/>
    </row>
    <row r="565" spans="43:45" ht="13" x14ac:dyDescent="0.3">
      <c r="AQ565" s="535"/>
      <c r="AR565" s="548"/>
      <c r="AS565" s="548"/>
    </row>
    <row r="566" spans="43:45" ht="13" x14ac:dyDescent="0.3">
      <c r="AQ566" s="535"/>
      <c r="AR566" s="548"/>
      <c r="AS566" s="548"/>
    </row>
    <row r="567" spans="43:45" ht="13" x14ac:dyDescent="0.3">
      <c r="AQ567" s="535"/>
      <c r="AR567" s="548"/>
      <c r="AS567" s="548"/>
    </row>
    <row r="568" spans="43:45" ht="13" x14ac:dyDescent="0.3">
      <c r="AQ568" s="535"/>
      <c r="AR568" s="548"/>
      <c r="AS568" s="548"/>
    </row>
    <row r="569" spans="43:45" ht="13" x14ac:dyDescent="0.3">
      <c r="AQ569" s="535"/>
      <c r="AR569" s="548"/>
      <c r="AS569" s="548"/>
    </row>
    <row r="570" spans="43:45" ht="13" x14ac:dyDescent="0.3">
      <c r="AQ570" s="535"/>
      <c r="AR570" s="548"/>
      <c r="AS570" s="548"/>
    </row>
    <row r="571" spans="43:45" ht="13" x14ac:dyDescent="0.3">
      <c r="AQ571" s="535"/>
      <c r="AR571" s="548"/>
      <c r="AS571" s="548"/>
    </row>
    <row r="572" spans="43:45" ht="13" x14ac:dyDescent="0.3">
      <c r="AQ572" s="535"/>
      <c r="AR572" s="548"/>
      <c r="AS572" s="548"/>
    </row>
    <row r="573" spans="43:45" ht="13" x14ac:dyDescent="0.3">
      <c r="AQ573" s="535"/>
      <c r="AR573" s="548"/>
      <c r="AS573" s="548"/>
    </row>
    <row r="574" spans="43:45" ht="13" x14ac:dyDescent="0.3">
      <c r="AQ574" s="535"/>
      <c r="AR574" s="548"/>
      <c r="AS574" s="548"/>
    </row>
    <row r="575" spans="43:45" ht="13" x14ac:dyDescent="0.3">
      <c r="AQ575" s="535"/>
      <c r="AR575" s="548"/>
      <c r="AS575" s="548"/>
    </row>
    <row r="576" spans="43:45" ht="13" x14ac:dyDescent="0.3">
      <c r="AQ576" s="535"/>
      <c r="AR576" s="548"/>
      <c r="AS576" s="548"/>
    </row>
    <row r="577" spans="43:45" ht="13" x14ac:dyDescent="0.3">
      <c r="AQ577" s="535"/>
      <c r="AR577" s="548"/>
      <c r="AS577" s="548"/>
    </row>
    <row r="578" spans="43:45" ht="13" x14ac:dyDescent="0.3">
      <c r="AQ578" s="535"/>
      <c r="AR578" s="548"/>
      <c r="AS578" s="548"/>
    </row>
    <row r="579" spans="43:45" ht="13" x14ac:dyDescent="0.3">
      <c r="AQ579" s="535"/>
      <c r="AR579" s="548"/>
      <c r="AS579" s="548"/>
    </row>
    <row r="580" spans="43:45" ht="13" x14ac:dyDescent="0.3">
      <c r="AQ580" s="535"/>
      <c r="AR580" s="548"/>
      <c r="AS580" s="548"/>
    </row>
    <row r="581" spans="43:45" ht="13" x14ac:dyDescent="0.3">
      <c r="AQ581" s="535"/>
      <c r="AR581" s="548"/>
      <c r="AS581" s="548"/>
    </row>
    <row r="582" spans="43:45" ht="13" x14ac:dyDescent="0.3">
      <c r="AQ582" s="535"/>
      <c r="AR582" s="548"/>
      <c r="AS582" s="548"/>
    </row>
    <row r="583" spans="43:45" ht="13" x14ac:dyDescent="0.3">
      <c r="AQ583" s="535"/>
      <c r="AR583" s="548"/>
      <c r="AS583" s="548"/>
    </row>
    <row r="584" spans="43:45" ht="13" x14ac:dyDescent="0.3">
      <c r="AQ584" s="535"/>
      <c r="AR584" s="548"/>
      <c r="AS584" s="548"/>
    </row>
    <row r="585" spans="43:45" ht="13" x14ac:dyDescent="0.3">
      <c r="AQ585" s="535"/>
      <c r="AR585" s="548"/>
      <c r="AS585" s="548"/>
    </row>
    <row r="586" spans="43:45" ht="13" x14ac:dyDescent="0.3">
      <c r="AQ586" s="535"/>
      <c r="AR586" s="548"/>
      <c r="AS586" s="548"/>
    </row>
    <row r="587" spans="43:45" ht="13" x14ac:dyDescent="0.3">
      <c r="AQ587" s="535"/>
      <c r="AR587" s="548"/>
      <c r="AS587" s="548"/>
    </row>
    <row r="588" spans="43:45" ht="13" x14ac:dyDescent="0.3">
      <c r="AQ588" s="535"/>
      <c r="AR588" s="548"/>
      <c r="AS588" s="548"/>
    </row>
    <row r="589" spans="43:45" ht="13" x14ac:dyDescent="0.3">
      <c r="AQ589" s="535"/>
      <c r="AR589" s="548"/>
      <c r="AS589" s="548"/>
    </row>
    <row r="590" spans="43:45" ht="13" x14ac:dyDescent="0.3">
      <c r="AQ590" s="535"/>
      <c r="AR590" s="548"/>
      <c r="AS590" s="548"/>
    </row>
    <row r="591" spans="43:45" ht="13" x14ac:dyDescent="0.3">
      <c r="AQ591" s="535"/>
      <c r="AR591" s="548"/>
      <c r="AS591" s="548"/>
    </row>
    <row r="592" spans="43:45" ht="13" x14ac:dyDescent="0.3">
      <c r="AQ592" s="535"/>
      <c r="AR592" s="548"/>
      <c r="AS592" s="548"/>
    </row>
    <row r="593" spans="43:45" ht="13" x14ac:dyDescent="0.3">
      <c r="AQ593" s="535"/>
      <c r="AR593" s="548"/>
      <c r="AS593" s="548"/>
    </row>
    <row r="594" spans="43:45" ht="13" x14ac:dyDescent="0.3">
      <c r="AQ594" s="535"/>
      <c r="AR594" s="548"/>
      <c r="AS594" s="548"/>
    </row>
    <row r="595" spans="43:45" ht="13" x14ac:dyDescent="0.3">
      <c r="AQ595" s="535"/>
      <c r="AR595" s="548"/>
      <c r="AS595" s="548"/>
    </row>
    <row r="596" spans="43:45" ht="13" x14ac:dyDescent="0.3">
      <c r="AQ596" s="535"/>
      <c r="AR596" s="548"/>
      <c r="AS596" s="548"/>
    </row>
    <row r="597" spans="43:45" ht="13" x14ac:dyDescent="0.3">
      <c r="AQ597" s="535"/>
      <c r="AR597" s="548"/>
      <c r="AS597" s="548"/>
    </row>
    <row r="598" spans="43:45" ht="13" x14ac:dyDescent="0.3">
      <c r="AQ598" s="535"/>
      <c r="AR598" s="548"/>
      <c r="AS598" s="548"/>
    </row>
    <row r="599" spans="43:45" ht="13" x14ac:dyDescent="0.3">
      <c r="AQ599" s="535"/>
      <c r="AR599" s="548"/>
      <c r="AS599" s="548"/>
    </row>
    <row r="600" spans="43:45" ht="13" x14ac:dyDescent="0.3">
      <c r="AQ600" s="535"/>
      <c r="AR600" s="548"/>
      <c r="AS600" s="548"/>
    </row>
    <row r="601" spans="43:45" ht="13" x14ac:dyDescent="0.3">
      <c r="AQ601" s="535"/>
      <c r="AR601" s="548"/>
      <c r="AS601" s="548"/>
    </row>
    <row r="602" spans="43:45" ht="13" x14ac:dyDescent="0.3">
      <c r="AQ602" s="535"/>
      <c r="AR602" s="548"/>
      <c r="AS602" s="548"/>
    </row>
    <row r="603" spans="43:45" ht="13" x14ac:dyDescent="0.3">
      <c r="AQ603" s="535"/>
      <c r="AR603" s="548"/>
      <c r="AS603" s="548"/>
    </row>
    <row r="604" spans="43:45" ht="13" x14ac:dyDescent="0.3">
      <c r="AQ604" s="535"/>
      <c r="AR604" s="548"/>
      <c r="AS604" s="548"/>
    </row>
    <row r="605" spans="43:45" ht="13" x14ac:dyDescent="0.3">
      <c r="AQ605" s="546"/>
      <c r="AR605" s="549"/>
      <c r="AS605" s="549"/>
    </row>
  </sheetData>
  <mergeCells count="3">
    <mergeCell ref="BO6:BP6"/>
    <mergeCell ref="BO8:BP8"/>
    <mergeCell ref="AK1:AN1"/>
  </mergeCells>
  <printOptions gridLines="1"/>
  <pageMargins left="0.95" right="0.2" top="0.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FCCA-44D7-4DE6-875E-9D7BB11DFAB2}">
  <sheetPr>
    <tabColor theme="2" tint="-0.249977111117893"/>
    <pageSetUpPr fitToPage="1"/>
  </sheetPr>
  <dimension ref="A1:U45"/>
  <sheetViews>
    <sheetView topLeftCell="A13" zoomScaleNormal="100" workbookViewId="0">
      <selection activeCell="P18" sqref="P18"/>
    </sheetView>
  </sheetViews>
  <sheetFormatPr defaultColWidth="9.7265625" defaultRowHeight="13" x14ac:dyDescent="0.3"/>
  <cols>
    <col min="1" max="1" width="6.7265625" style="12" customWidth="1"/>
    <col min="2" max="2" width="5.54296875" style="12" customWidth="1"/>
    <col min="3" max="3" width="9.7265625" style="12"/>
    <col min="4" max="4" width="15.453125" style="12" customWidth="1"/>
    <col min="5" max="5" width="20.26953125" style="12" customWidth="1"/>
    <col min="6" max="6" width="1.7265625" style="12" customWidth="1"/>
    <col min="7" max="7" width="11.26953125" style="12" customWidth="1"/>
    <col min="8" max="8" width="0.81640625" style="12" customWidth="1"/>
    <col min="9" max="9" width="14.453125" style="12" customWidth="1"/>
    <col min="10" max="10" width="8.1796875" style="12" customWidth="1"/>
    <col min="11" max="11" width="1.7265625" style="12" customWidth="1"/>
    <col min="12" max="12" width="10.1796875" style="12" bestFit="1" customWidth="1"/>
    <col min="13" max="13" width="3.1796875" style="12" customWidth="1"/>
    <col min="14" max="14" width="6.54296875" style="12" customWidth="1"/>
    <col min="15" max="16384" width="9.7265625" style="12"/>
  </cols>
  <sheetData>
    <row r="1" spans="1:15" ht="13.5" x14ac:dyDescent="0.35">
      <c r="A1" s="1396" t="s">
        <v>45</v>
      </c>
      <c r="B1" s="1396"/>
      <c r="C1" s="1396"/>
      <c r="D1" s="1396"/>
      <c r="E1" s="1396"/>
      <c r="F1" s="1396"/>
      <c r="G1" s="1396"/>
      <c r="H1" s="1396"/>
      <c r="I1" s="1396"/>
      <c r="J1" s="1396"/>
      <c r="K1" s="1396"/>
      <c r="L1" s="1396"/>
      <c r="M1" s="1396"/>
      <c r="N1" s="1396"/>
      <c r="O1" s="75"/>
    </row>
    <row r="2" spans="1:15" ht="13.5" x14ac:dyDescent="0.35">
      <c r="A2" s="1396" t="s">
        <v>46</v>
      </c>
      <c r="B2" s="1396"/>
      <c r="C2" s="1396"/>
      <c r="D2" s="1396"/>
      <c r="E2" s="1396"/>
      <c r="F2" s="1396"/>
      <c r="G2" s="1396"/>
      <c r="H2" s="1396"/>
      <c r="I2" s="1396"/>
      <c r="J2" s="1396"/>
      <c r="K2" s="1396"/>
      <c r="L2" s="1396"/>
      <c r="M2" s="1396"/>
      <c r="N2" s="1396"/>
      <c r="O2" s="75"/>
    </row>
    <row r="3" spans="1:15" ht="13.5" x14ac:dyDescent="0.35">
      <c r="A3" s="1396" t="s">
        <v>47</v>
      </c>
      <c r="B3" s="1396"/>
      <c r="C3" s="1396"/>
      <c r="D3" s="1396"/>
      <c r="E3" s="1396"/>
      <c r="F3" s="1396"/>
      <c r="G3" s="1396"/>
      <c r="H3" s="1396"/>
      <c r="I3" s="1396"/>
      <c r="J3" s="1396"/>
      <c r="K3" s="1396"/>
      <c r="L3" s="1396"/>
      <c r="M3" s="1396"/>
      <c r="N3" s="1396"/>
      <c r="O3" s="75"/>
    </row>
    <row r="4" spans="1:15" ht="13.5" x14ac:dyDescent="0.35">
      <c r="A4" s="1396" t="s">
        <v>48</v>
      </c>
      <c r="B4" s="1396"/>
      <c r="C4" s="1396"/>
      <c r="D4" s="1396"/>
      <c r="E4" s="1396"/>
      <c r="F4" s="1396"/>
      <c r="G4" s="1396"/>
      <c r="H4" s="1396"/>
      <c r="I4" s="1396"/>
      <c r="J4" s="1396"/>
      <c r="K4" s="1396"/>
      <c r="L4" s="1396"/>
      <c r="M4" s="1396"/>
      <c r="N4" s="1396"/>
      <c r="O4" s="75"/>
    </row>
    <row r="5" spans="1:15" ht="14" thickBot="1" x14ac:dyDescent="0.4"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5" ht="27.75" customHeight="1" x14ac:dyDescent="0.3">
      <c r="A6" s="93" t="s">
        <v>54</v>
      </c>
      <c r="B6" s="79"/>
      <c r="C6" s="78"/>
      <c r="D6" s="78" t="s">
        <v>6</v>
      </c>
      <c r="E6" s="86">
        <f>'P1 Info &amp; Certification'!L20</f>
        <v>45108</v>
      </c>
      <c r="F6" s="96"/>
      <c r="G6" s="79"/>
      <c r="H6" s="79"/>
      <c r="I6" s="78" t="s">
        <v>7</v>
      </c>
      <c r="J6" s="1389">
        <f>'P1 Info &amp; Certification'!N20</f>
        <v>45473</v>
      </c>
      <c r="K6" s="1389"/>
      <c r="L6" s="1389"/>
      <c r="M6" s="96"/>
      <c r="N6" s="80"/>
      <c r="O6" s="32"/>
    </row>
    <row r="7" spans="1:15" x14ac:dyDescent="0.3">
      <c r="A7" s="83"/>
      <c r="B7" s="3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81"/>
      <c r="O7" s="13"/>
    </row>
    <row r="8" spans="1:15" ht="26.25" customHeight="1" thickBot="1" x14ac:dyDescent="0.35">
      <c r="A8" s="97" t="s">
        <v>59</v>
      </c>
      <c r="B8" s="182"/>
      <c r="C8" s="98"/>
      <c r="D8" s="1427" t="str">
        <f>'P1 Info &amp; Certification'!E12</f>
        <v>COMMUNITY HEALTH CENTER, INC.</v>
      </c>
      <c r="E8" s="1427"/>
      <c r="F8" s="1427"/>
      <c r="G8" s="1427"/>
      <c r="H8" s="1427"/>
      <c r="I8" s="1427"/>
      <c r="J8" s="1427"/>
      <c r="K8" s="1427"/>
      <c r="L8" s="1427"/>
      <c r="M8" s="98"/>
      <c r="N8" s="99"/>
    </row>
    <row r="9" spans="1:15" ht="16" customHeight="1" x14ac:dyDescent="0.3">
      <c r="A9" s="13"/>
      <c r="B9" s="1416"/>
      <c r="C9" s="1416"/>
      <c r="D9" s="1416"/>
      <c r="E9" s="1416"/>
      <c r="F9" s="1416"/>
      <c r="G9" s="1416"/>
      <c r="H9" s="1416"/>
      <c r="I9" s="1416"/>
      <c r="J9" s="1416"/>
      <c r="K9" s="1416"/>
      <c r="L9" s="1416"/>
      <c r="M9" s="1416"/>
      <c r="N9" s="1416"/>
      <c r="O9" s="13"/>
    </row>
    <row r="10" spans="1:15" ht="15.5" x14ac:dyDescent="0.35">
      <c r="B10" s="47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336" t="s">
        <v>261</v>
      </c>
      <c r="O10" s="13"/>
    </row>
    <row r="11" spans="1:15" ht="14.5" thickBot="1" x14ac:dyDescent="0.35">
      <c r="B11" s="157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s="15" customFormat="1" ht="30.75" customHeight="1" thickBot="1" x14ac:dyDescent="0.35">
      <c r="A12" s="1428" t="s">
        <v>262</v>
      </c>
      <c r="B12" s="1429"/>
      <c r="C12" s="1429"/>
      <c r="D12" s="1429"/>
      <c r="E12" s="1429"/>
      <c r="F12" s="1429"/>
      <c r="G12" s="1429"/>
      <c r="H12" s="1429"/>
      <c r="I12" s="1429"/>
      <c r="J12" s="1429"/>
      <c r="K12" s="1429"/>
      <c r="L12" s="1429"/>
      <c r="M12" s="1429"/>
      <c r="N12" s="1430"/>
      <c r="O12" s="158"/>
    </row>
    <row r="13" spans="1:15" s="15" customFormat="1" ht="30.75" customHeight="1" x14ac:dyDescent="0.3">
      <c r="A13" s="193" t="s">
        <v>126</v>
      </c>
      <c r="B13" s="1431" t="s">
        <v>148</v>
      </c>
      <c r="C13" s="1431"/>
      <c r="D13" s="1431"/>
      <c r="E13" s="1431"/>
      <c r="F13" s="1431"/>
      <c r="G13" s="1431"/>
      <c r="H13" s="1431"/>
      <c r="I13" s="1431"/>
      <c r="J13" s="1431"/>
      <c r="K13" s="1431"/>
      <c r="L13" s="89"/>
      <c r="M13" s="89"/>
      <c r="N13" s="194"/>
      <c r="O13" s="158"/>
    </row>
    <row r="14" spans="1:15" ht="21.75" customHeight="1" x14ac:dyDescent="0.3">
      <c r="A14" s="83"/>
      <c r="B14" s="159" t="s">
        <v>83</v>
      </c>
      <c r="C14" s="1417" t="s">
        <v>239</v>
      </c>
      <c r="D14" s="1417"/>
      <c r="E14" s="1417"/>
      <c r="F14" s="1417"/>
      <c r="G14" s="1417"/>
      <c r="H14" s="1417"/>
      <c r="I14" s="1417"/>
      <c r="J14" s="1417"/>
      <c r="K14" s="1417"/>
      <c r="L14" s="1418">
        <f>'P3 Form A-1 Health Care'!J52</f>
        <v>85082557.975559801</v>
      </c>
      <c r="M14" s="1418"/>
      <c r="N14" s="1419"/>
      <c r="O14" s="13"/>
    </row>
    <row r="15" spans="1:15" ht="21.75" customHeight="1" x14ac:dyDescent="0.3">
      <c r="A15" s="83"/>
      <c r="B15" s="159" t="s">
        <v>84</v>
      </c>
      <c r="C15" s="1417" t="s">
        <v>292</v>
      </c>
      <c r="D15" s="1417"/>
      <c r="E15" s="1417"/>
      <c r="F15" s="1417"/>
      <c r="G15" s="1417"/>
      <c r="H15" s="1417"/>
      <c r="I15" s="1417"/>
      <c r="J15" s="1417"/>
      <c r="K15" s="1417"/>
      <c r="L15" s="1420">
        <f>'P13 Form C - Adj &amp; Alloc'!L33:N33</f>
        <v>30067581</v>
      </c>
      <c r="M15" s="1420"/>
      <c r="N15" s="1421"/>
      <c r="O15" s="13"/>
    </row>
    <row r="16" spans="1:15" ht="21.75" customHeight="1" x14ac:dyDescent="0.3">
      <c r="A16" s="83"/>
      <c r="B16" s="159" t="s">
        <v>91</v>
      </c>
      <c r="C16" s="1417" t="s">
        <v>149</v>
      </c>
      <c r="D16" s="1417"/>
      <c r="E16" s="1417"/>
      <c r="F16" s="1417"/>
      <c r="G16" s="1417"/>
      <c r="H16" s="1417"/>
      <c r="I16" s="1417"/>
      <c r="J16" s="1417"/>
      <c r="K16" s="1417"/>
      <c r="L16" s="1420">
        <f>SUM(L14:N15)</f>
        <v>115150138.9755598</v>
      </c>
      <c r="M16" s="1420"/>
      <c r="N16" s="1421"/>
      <c r="O16" s="13"/>
    </row>
    <row r="17" spans="1:21" ht="21.75" customHeight="1" x14ac:dyDescent="0.3">
      <c r="A17" s="83"/>
      <c r="B17" s="159" t="s">
        <v>92</v>
      </c>
      <c r="C17" s="1417" t="s">
        <v>351</v>
      </c>
      <c r="D17" s="1417"/>
      <c r="E17" s="1417"/>
      <c r="F17" s="1417"/>
      <c r="G17" s="1417"/>
      <c r="H17" s="1417"/>
      <c r="I17" s="1417"/>
      <c r="J17" s="1417"/>
      <c r="K17" s="1417"/>
      <c r="L17" s="1420">
        <f>'P12 Form B-4 Summary Personnel'!K26</f>
        <v>357105</v>
      </c>
      <c r="M17" s="1420"/>
      <c r="N17" s="1421"/>
      <c r="O17" s="13"/>
    </row>
    <row r="18" spans="1:21" ht="21.75" customHeight="1" thickBot="1" x14ac:dyDescent="0.35">
      <c r="A18" s="83"/>
      <c r="B18" s="159" t="s">
        <v>75</v>
      </c>
      <c r="C18" s="1417" t="s">
        <v>263</v>
      </c>
      <c r="D18" s="1417"/>
      <c r="E18" s="1417"/>
      <c r="F18" s="1417"/>
      <c r="G18" s="1417"/>
      <c r="H18" s="1417"/>
      <c r="I18" s="1417"/>
      <c r="J18" s="1417"/>
      <c r="K18" s="1417"/>
      <c r="L18" s="1422">
        <f>ROUND(L16/L17,2)</f>
        <v>322.45</v>
      </c>
      <c r="M18" s="1422"/>
      <c r="N18" s="1423"/>
      <c r="O18" s="13"/>
    </row>
    <row r="19" spans="1:21" ht="21.75" customHeight="1" thickTop="1" x14ac:dyDescent="0.3">
      <c r="A19" s="83"/>
      <c r="B19" s="159"/>
      <c r="C19" s="162"/>
      <c r="D19" s="162"/>
      <c r="E19" s="162"/>
      <c r="F19" s="162"/>
      <c r="G19" s="162"/>
      <c r="H19" s="162"/>
      <c r="I19" s="162"/>
      <c r="J19" s="162"/>
      <c r="K19" s="162"/>
      <c r="L19" s="267"/>
      <c r="M19" s="267"/>
      <c r="N19" s="268"/>
      <c r="O19" s="13"/>
    </row>
    <row r="20" spans="1:21" ht="21.75" customHeight="1" x14ac:dyDescent="0.3">
      <c r="A20" s="193" t="s">
        <v>128</v>
      </c>
      <c r="B20" s="1417" t="s">
        <v>24</v>
      </c>
      <c r="C20" s="1417"/>
      <c r="D20" s="1417"/>
      <c r="E20" s="1417"/>
      <c r="F20" s="1417"/>
      <c r="G20" s="1417"/>
      <c r="H20" s="1417"/>
      <c r="I20" s="1417"/>
      <c r="J20" s="1417"/>
      <c r="K20" s="162"/>
      <c r="L20" s="1425"/>
      <c r="M20" s="1425"/>
      <c r="N20" s="1426"/>
      <c r="O20" s="13"/>
    </row>
    <row r="21" spans="1:21" ht="21.75" customHeight="1" x14ac:dyDescent="0.3">
      <c r="A21" s="83"/>
      <c r="B21" s="159" t="s">
        <v>83</v>
      </c>
      <c r="C21" s="1417" t="s">
        <v>240</v>
      </c>
      <c r="D21" s="1417"/>
      <c r="E21" s="1417"/>
      <c r="F21" s="1417"/>
      <c r="G21" s="1417"/>
      <c r="H21" s="1417"/>
      <c r="I21" s="1417"/>
      <c r="J21" s="1417"/>
      <c r="K21" s="1417"/>
      <c r="L21" s="1420">
        <f>'P4 Form A-2 - Dental'!J49</f>
        <v>8999117.7207000162</v>
      </c>
      <c r="M21" s="1420"/>
      <c r="N21" s="1421"/>
      <c r="O21" s="13"/>
    </row>
    <row r="22" spans="1:21" ht="21.75" customHeight="1" x14ac:dyDescent="0.3">
      <c r="A22" s="83"/>
      <c r="B22" s="159" t="s">
        <v>84</v>
      </c>
      <c r="C22" s="1417" t="s">
        <v>293</v>
      </c>
      <c r="D22" s="1417"/>
      <c r="E22" s="1417"/>
      <c r="F22" s="1417"/>
      <c r="G22" s="1417"/>
      <c r="H22" s="1417"/>
      <c r="I22" s="1417"/>
      <c r="J22" s="1417"/>
      <c r="K22" s="1417"/>
      <c r="L22" s="1420">
        <f>'P13 Form C - Adj &amp; Alloc'!L34:N34</f>
        <v>3180494</v>
      </c>
      <c r="M22" s="1420"/>
      <c r="N22" s="1421"/>
      <c r="O22" s="13"/>
    </row>
    <row r="23" spans="1:21" ht="21.75" customHeight="1" x14ac:dyDescent="0.3">
      <c r="A23" s="83"/>
      <c r="B23" s="159" t="s">
        <v>91</v>
      </c>
      <c r="C23" s="1417" t="s">
        <v>150</v>
      </c>
      <c r="D23" s="1417"/>
      <c r="E23" s="1417"/>
      <c r="F23" s="1417"/>
      <c r="G23" s="1417"/>
      <c r="H23" s="1417"/>
      <c r="I23" s="1417"/>
      <c r="J23" s="1417"/>
      <c r="K23" s="1417"/>
      <c r="L23" s="1420">
        <f>SUM(L21:N22)</f>
        <v>12179611.720700016</v>
      </c>
      <c r="M23" s="1420"/>
      <c r="N23" s="1421"/>
      <c r="O23" s="13"/>
      <c r="S23" s="1424"/>
      <c r="T23" s="1424"/>
      <c r="U23" s="1424"/>
    </row>
    <row r="24" spans="1:21" ht="21.75" customHeight="1" x14ac:dyDescent="0.3">
      <c r="A24" s="83"/>
      <c r="B24" s="159" t="s">
        <v>92</v>
      </c>
      <c r="C24" s="1417" t="s">
        <v>352</v>
      </c>
      <c r="D24" s="1417"/>
      <c r="E24" s="1417"/>
      <c r="F24" s="1417"/>
      <c r="G24" s="1417"/>
      <c r="H24" s="1417"/>
      <c r="I24" s="1417"/>
      <c r="J24" s="1417"/>
      <c r="K24" s="1417"/>
      <c r="L24" s="1420">
        <f>'P12 Form B-4 Summary Personnel'!K32</f>
        <v>46670</v>
      </c>
      <c r="M24" s="1420"/>
      <c r="N24" s="1421"/>
      <c r="O24" s="13"/>
    </row>
    <row r="25" spans="1:21" ht="21.75" customHeight="1" thickBot="1" x14ac:dyDescent="0.35">
      <c r="A25" s="83"/>
      <c r="B25" s="159" t="s">
        <v>75</v>
      </c>
      <c r="C25" s="1417" t="s">
        <v>264</v>
      </c>
      <c r="D25" s="1417"/>
      <c r="E25" s="1417"/>
      <c r="F25" s="1417"/>
      <c r="G25" s="1417"/>
      <c r="H25" s="1417"/>
      <c r="I25" s="1417"/>
      <c r="J25" s="1417"/>
      <c r="K25" s="1417"/>
      <c r="L25" s="1422">
        <f>ROUND(L23/L24,2)</f>
        <v>260.97000000000003</v>
      </c>
      <c r="M25" s="1422"/>
      <c r="N25" s="1423"/>
      <c r="O25" s="13"/>
    </row>
    <row r="26" spans="1:21" ht="21.75" customHeight="1" thickTop="1" x14ac:dyDescent="0.3">
      <c r="A26" s="83"/>
      <c r="B26" s="159"/>
      <c r="C26" s="162"/>
      <c r="D26" s="162"/>
      <c r="E26" s="162"/>
      <c r="F26" s="162"/>
      <c r="G26" s="162"/>
      <c r="H26" s="162"/>
      <c r="I26" s="162"/>
      <c r="J26" s="162"/>
      <c r="K26" s="162"/>
      <c r="L26" s="267"/>
      <c r="M26" s="267"/>
      <c r="N26" s="268"/>
      <c r="O26" s="13"/>
    </row>
    <row r="27" spans="1:21" ht="18" customHeight="1" x14ac:dyDescent="0.3">
      <c r="A27" s="193" t="s">
        <v>129</v>
      </c>
      <c r="B27" s="1417" t="s">
        <v>43</v>
      </c>
      <c r="C27" s="1417"/>
      <c r="D27" s="1417"/>
      <c r="E27" s="1417"/>
      <c r="F27" s="1417"/>
      <c r="G27" s="1417"/>
      <c r="H27" s="1417"/>
      <c r="I27" s="1417"/>
      <c r="J27" s="1417"/>
      <c r="K27" s="1417"/>
      <c r="L27" s="1425"/>
      <c r="M27" s="1425"/>
      <c r="N27" s="1426"/>
      <c r="O27" s="13"/>
    </row>
    <row r="28" spans="1:21" ht="21" customHeight="1" x14ac:dyDescent="0.3">
      <c r="A28" s="83"/>
      <c r="B28" s="159" t="s">
        <v>83</v>
      </c>
      <c r="C28" s="1417" t="s">
        <v>241</v>
      </c>
      <c r="D28" s="1417"/>
      <c r="E28" s="1417"/>
      <c r="F28" s="1417"/>
      <c r="G28" s="1417"/>
      <c r="H28" s="1417"/>
      <c r="I28" s="1417"/>
      <c r="J28" s="1417"/>
      <c r="K28" s="1417"/>
      <c r="L28" s="1420">
        <f>'P5 Form A-3 - Mental Health'!J44</f>
        <v>38073144.115174055</v>
      </c>
      <c r="M28" s="1420"/>
      <c r="N28" s="1421"/>
      <c r="O28" s="13"/>
    </row>
    <row r="29" spans="1:21" ht="18" customHeight="1" x14ac:dyDescent="0.3">
      <c r="A29" s="83"/>
      <c r="B29" s="159" t="s">
        <v>84</v>
      </c>
      <c r="C29" s="1417" t="s">
        <v>294</v>
      </c>
      <c r="D29" s="1417"/>
      <c r="E29" s="1417"/>
      <c r="F29" s="1417"/>
      <c r="G29" s="1417"/>
      <c r="H29" s="1417"/>
      <c r="I29" s="1417"/>
      <c r="J29" s="1417"/>
      <c r="K29" s="1417"/>
      <c r="L29" s="1420">
        <f>'P13 Form C - Adj &amp; Alloc'!L35:N35</f>
        <v>13455219</v>
      </c>
      <c r="M29" s="1420"/>
      <c r="N29" s="1421"/>
      <c r="O29" s="13"/>
    </row>
    <row r="30" spans="1:21" ht="18" customHeight="1" x14ac:dyDescent="0.3">
      <c r="A30" s="83"/>
      <c r="B30" s="159" t="s">
        <v>91</v>
      </c>
      <c r="C30" s="1417" t="s">
        <v>151</v>
      </c>
      <c r="D30" s="1417"/>
      <c r="E30" s="1417"/>
      <c r="F30" s="1417"/>
      <c r="G30" s="1417"/>
      <c r="H30" s="1417"/>
      <c r="I30" s="1417"/>
      <c r="J30" s="1417"/>
      <c r="K30" s="1417"/>
      <c r="L30" s="1420">
        <f>SUM(L28:N29)</f>
        <v>51528363.115174055</v>
      </c>
      <c r="M30" s="1420"/>
      <c r="N30" s="1421"/>
      <c r="O30" s="13"/>
    </row>
    <row r="31" spans="1:21" s="166" customFormat="1" ht="19.5" customHeight="1" x14ac:dyDescent="0.3">
      <c r="A31" s="83"/>
      <c r="B31" s="159" t="s">
        <v>92</v>
      </c>
      <c r="C31" s="1417" t="s">
        <v>353</v>
      </c>
      <c r="D31" s="1417"/>
      <c r="E31" s="1417"/>
      <c r="F31" s="1417"/>
      <c r="G31" s="1417"/>
      <c r="H31" s="1417"/>
      <c r="I31" s="1417"/>
      <c r="J31" s="1417"/>
      <c r="K31" s="1417"/>
      <c r="L31" s="1420">
        <f>'P12 Form B-4 Summary Personnel'!K40</f>
        <v>254384</v>
      </c>
      <c r="M31" s="1420"/>
      <c r="N31" s="1421"/>
      <c r="O31" s="165"/>
    </row>
    <row r="32" spans="1:21" s="168" customFormat="1" ht="17.25" customHeight="1" thickBot="1" x14ac:dyDescent="0.35">
      <c r="A32" s="83"/>
      <c r="B32" s="159" t="s">
        <v>75</v>
      </c>
      <c r="C32" s="1417" t="s">
        <v>265</v>
      </c>
      <c r="D32" s="1417"/>
      <c r="E32" s="1417"/>
      <c r="F32" s="1417"/>
      <c r="G32" s="1417"/>
      <c r="H32" s="1417"/>
      <c r="I32" s="1417"/>
      <c r="J32" s="1417"/>
      <c r="K32" s="1417"/>
      <c r="L32" s="1422">
        <f>ROUND(L30/L31,2)</f>
        <v>202.56</v>
      </c>
      <c r="M32" s="1422"/>
      <c r="N32" s="1423"/>
      <c r="O32" s="167"/>
    </row>
    <row r="33" spans="1:15" s="168" customFormat="1" ht="17.25" customHeight="1" thickTop="1" thickBot="1" x14ac:dyDescent="0.35">
      <c r="A33" s="181"/>
      <c r="B33" s="185"/>
      <c r="C33" s="195"/>
      <c r="D33" s="196"/>
      <c r="E33" s="196"/>
      <c r="F33" s="196"/>
      <c r="G33" s="196"/>
      <c r="H33" s="196"/>
      <c r="I33" s="196"/>
      <c r="J33" s="196"/>
      <c r="K33" s="185"/>
      <c r="L33" s="269"/>
      <c r="M33" s="269"/>
      <c r="N33" s="270"/>
      <c r="O33" s="167"/>
    </row>
    <row r="34" spans="1:15" x14ac:dyDescent="0.3">
      <c r="L34" s="271"/>
      <c r="M34" s="271"/>
      <c r="N34" s="271"/>
    </row>
    <row r="35" spans="1:15" x14ac:dyDescent="0.3">
      <c r="L35" s="271"/>
      <c r="M35" s="271"/>
      <c r="N35" s="271"/>
    </row>
    <row r="36" spans="1:15" x14ac:dyDescent="0.3">
      <c r="L36" s="271"/>
      <c r="M36" s="271"/>
      <c r="N36" s="271"/>
    </row>
    <row r="37" spans="1:15" x14ac:dyDescent="0.3">
      <c r="L37" s="271"/>
      <c r="M37" s="271"/>
      <c r="N37" s="271"/>
    </row>
    <row r="38" spans="1:15" x14ac:dyDescent="0.3">
      <c r="L38" s="271"/>
      <c r="M38" s="271"/>
      <c r="N38" s="271"/>
    </row>
    <row r="39" spans="1:15" x14ac:dyDescent="0.3">
      <c r="L39" s="271"/>
      <c r="M39" s="271"/>
      <c r="N39" s="271"/>
    </row>
    <row r="40" spans="1:15" x14ac:dyDescent="0.3">
      <c r="L40" s="271"/>
      <c r="M40" s="271"/>
      <c r="N40" s="271"/>
    </row>
    <row r="41" spans="1:15" x14ac:dyDescent="0.3">
      <c r="L41" s="271"/>
      <c r="M41" s="271"/>
      <c r="N41" s="271"/>
    </row>
    <row r="42" spans="1:15" x14ac:dyDescent="0.3">
      <c r="L42" s="271"/>
      <c r="M42" s="271"/>
      <c r="N42" s="271"/>
    </row>
    <row r="43" spans="1:15" x14ac:dyDescent="0.3">
      <c r="L43" s="271"/>
      <c r="M43" s="271"/>
      <c r="N43" s="271"/>
    </row>
    <row r="44" spans="1:15" x14ac:dyDescent="0.3">
      <c r="L44" s="271"/>
      <c r="M44" s="271"/>
      <c r="N44" s="271"/>
    </row>
    <row r="45" spans="1:15" x14ac:dyDescent="0.3">
      <c r="L45" s="271"/>
      <c r="M45" s="271"/>
      <c r="N45" s="271"/>
    </row>
  </sheetData>
  <sheetProtection password="E1AE" sheet="1"/>
  <mergeCells count="44">
    <mergeCell ref="A12:N12"/>
    <mergeCell ref="B13:K13"/>
    <mergeCell ref="C32:K32"/>
    <mergeCell ref="C30:K30"/>
    <mergeCell ref="C29:K29"/>
    <mergeCell ref="C28:K28"/>
    <mergeCell ref="B27:K27"/>
    <mergeCell ref="L30:N30"/>
    <mergeCell ref="C31:K31"/>
    <mergeCell ref="L31:N31"/>
    <mergeCell ref="A1:N1"/>
    <mergeCell ref="A2:N2"/>
    <mergeCell ref="A3:N3"/>
    <mergeCell ref="A4:N4"/>
    <mergeCell ref="J6:L6"/>
    <mergeCell ref="D8:L8"/>
    <mergeCell ref="C22:K22"/>
    <mergeCell ref="L22:N22"/>
    <mergeCell ref="L32:N32"/>
    <mergeCell ref="L27:N27"/>
    <mergeCell ref="L28:N28"/>
    <mergeCell ref="L29:N29"/>
    <mergeCell ref="C23:K23"/>
    <mergeCell ref="L23:N23"/>
    <mergeCell ref="C18:K18"/>
    <mergeCell ref="L18:N18"/>
    <mergeCell ref="S23:U23"/>
    <mergeCell ref="C24:K24"/>
    <mergeCell ref="L24:N24"/>
    <mergeCell ref="C25:K25"/>
    <mergeCell ref="L25:N25"/>
    <mergeCell ref="L20:N20"/>
    <mergeCell ref="C21:K21"/>
    <mergeCell ref="L21:N21"/>
    <mergeCell ref="B9:N9"/>
    <mergeCell ref="C14:K14"/>
    <mergeCell ref="L14:N14"/>
    <mergeCell ref="C15:K15"/>
    <mergeCell ref="L15:N15"/>
    <mergeCell ref="B20:J20"/>
    <mergeCell ref="C16:K16"/>
    <mergeCell ref="L16:N16"/>
    <mergeCell ref="C17:K17"/>
    <mergeCell ref="L17:N17"/>
  </mergeCells>
  <printOptions horizontalCentered="1" verticalCentered="1"/>
  <pageMargins left="0.25" right="0.25" top="0.5" bottom="0" header="0.5" footer="0.25"/>
  <pageSetup scale="89" fitToHeight="0" orientation="portrait" r:id="rId1"/>
  <headerFooter alignWithMargins="0">
    <oddFooter>&amp;LDSS-16 10-24-2016&amp;RPage 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6F973-AB16-463B-92BC-D9578669E0A7}">
  <sheetPr>
    <tabColor rgb="FF92D050"/>
  </sheetPr>
  <dimension ref="A1:S54"/>
  <sheetViews>
    <sheetView topLeftCell="A10" zoomScaleNormal="100" workbookViewId="0">
      <selection activeCell="E41" sqref="E41"/>
    </sheetView>
  </sheetViews>
  <sheetFormatPr defaultColWidth="9.7265625" defaultRowHeight="13" x14ac:dyDescent="0.3"/>
  <cols>
    <col min="1" max="1" width="4.7265625" style="22" customWidth="1"/>
    <col min="2" max="2" width="13.54296875" style="22" customWidth="1"/>
    <col min="3" max="3" width="40.1796875" style="22" customWidth="1"/>
    <col min="4" max="4" width="13" style="22" customWidth="1"/>
    <col min="5" max="5" width="12.453125" style="31" customWidth="1"/>
    <col min="6" max="6" width="12.1796875" style="22" customWidth="1"/>
    <col min="7" max="7" width="11.7265625" style="22" customWidth="1"/>
    <col min="8" max="8" width="13.453125" style="22" customWidth="1"/>
    <col min="9" max="9" width="11.26953125" style="22" customWidth="1"/>
    <col min="10" max="10" width="14.1796875" style="22" customWidth="1"/>
    <col min="11" max="16384" width="9.7265625" style="22"/>
  </cols>
  <sheetData>
    <row r="1" spans="1:19" s="18" customFormat="1" ht="13.5" x14ac:dyDescent="0.35">
      <c r="A1" s="1396" t="s">
        <v>45</v>
      </c>
      <c r="B1" s="1396"/>
      <c r="C1" s="1396"/>
      <c r="D1" s="1396"/>
      <c r="E1" s="1396"/>
      <c r="F1" s="1396"/>
      <c r="G1" s="1396"/>
      <c r="H1" s="1396"/>
      <c r="I1" s="1396"/>
      <c r="J1" s="1396"/>
      <c r="K1" s="75"/>
      <c r="L1" s="75"/>
      <c r="M1" s="75"/>
      <c r="N1" s="75"/>
      <c r="O1" s="75"/>
    </row>
    <row r="2" spans="1:19" s="18" customFormat="1" ht="13.5" x14ac:dyDescent="0.35">
      <c r="A2" s="1396" t="s">
        <v>46</v>
      </c>
      <c r="B2" s="1396"/>
      <c r="C2" s="1396"/>
      <c r="D2" s="1396"/>
      <c r="E2" s="1396"/>
      <c r="F2" s="1396"/>
      <c r="G2" s="1396"/>
      <c r="H2" s="1396"/>
      <c r="I2" s="1396"/>
      <c r="J2" s="1396"/>
      <c r="K2" s="75"/>
      <c r="L2" s="75"/>
      <c r="M2" s="75"/>
      <c r="N2" s="75"/>
      <c r="O2" s="75"/>
    </row>
    <row r="3" spans="1:19" s="18" customFormat="1" ht="13.5" x14ac:dyDescent="0.35">
      <c r="A3" s="1396" t="s">
        <v>47</v>
      </c>
      <c r="B3" s="1396"/>
      <c r="C3" s="1396"/>
      <c r="D3" s="1396"/>
      <c r="E3" s="1396"/>
      <c r="F3" s="1396"/>
      <c r="G3" s="1396"/>
      <c r="H3" s="1396"/>
      <c r="I3" s="1396"/>
      <c r="J3" s="1396"/>
      <c r="K3" s="75"/>
      <c r="L3" s="75"/>
      <c r="M3" s="75"/>
      <c r="N3" s="75"/>
      <c r="O3" s="75"/>
    </row>
    <row r="4" spans="1:19" s="18" customFormat="1" ht="13.5" x14ac:dyDescent="0.35">
      <c r="A4" s="1396" t="s">
        <v>48</v>
      </c>
      <c r="B4" s="1396"/>
      <c r="C4" s="1396"/>
      <c r="D4" s="1396"/>
      <c r="E4" s="1396"/>
      <c r="F4" s="1396"/>
      <c r="G4" s="1396"/>
      <c r="H4" s="1396"/>
      <c r="I4" s="1396"/>
      <c r="J4" s="1396"/>
      <c r="K4" s="75"/>
      <c r="L4" s="75"/>
      <c r="M4" s="75"/>
      <c r="N4" s="75"/>
      <c r="O4" s="75"/>
    </row>
    <row r="5" spans="1:19" s="18" customFormat="1" ht="14" thickBot="1" x14ac:dyDescent="0.4">
      <c r="A5" s="12"/>
      <c r="B5" s="13"/>
      <c r="C5" s="13"/>
      <c r="D5" s="440"/>
      <c r="E5" s="440"/>
      <c r="F5" s="440"/>
      <c r="G5" s="440"/>
      <c r="H5" s="440"/>
      <c r="I5" s="440"/>
      <c r="J5" s="440"/>
      <c r="K5" s="430"/>
      <c r="L5" s="430"/>
      <c r="M5" s="430"/>
      <c r="N5" s="430"/>
      <c r="O5" s="430"/>
      <c r="P5" s="87"/>
      <c r="Q5" s="87"/>
      <c r="R5" s="87"/>
      <c r="S5" s="87"/>
    </row>
    <row r="6" spans="1:19" s="18" customFormat="1" ht="20.25" customHeight="1" x14ac:dyDescent="0.3">
      <c r="A6" s="93"/>
      <c r="B6" s="77" t="s">
        <v>54</v>
      </c>
      <c r="C6" s="78"/>
      <c r="D6" s="78" t="s">
        <v>6</v>
      </c>
      <c r="E6" s="1389">
        <f>'P1 Info &amp; Certification'!L20</f>
        <v>45108</v>
      </c>
      <c r="F6" s="1389"/>
      <c r="G6" s="96"/>
      <c r="H6" s="95" t="s">
        <v>7</v>
      </c>
      <c r="I6" s="1389">
        <f>'P1 Info &amp; Certification'!N20</f>
        <v>45473</v>
      </c>
      <c r="J6" s="1432"/>
      <c r="K6" s="432"/>
      <c r="L6" s="433"/>
      <c r="M6" s="92"/>
      <c r="N6" s="92"/>
      <c r="O6" s="433"/>
      <c r="P6" s="87"/>
      <c r="Q6" s="87"/>
      <c r="R6" s="87"/>
      <c r="S6" s="87"/>
    </row>
    <row r="7" spans="1:19" s="18" customFormat="1" x14ac:dyDescent="0.3">
      <c r="A7" s="83"/>
      <c r="B7" s="458"/>
      <c r="C7" s="458"/>
      <c r="D7" s="458"/>
      <c r="E7" s="13"/>
      <c r="F7" s="13"/>
      <c r="G7" s="13"/>
      <c r="H7" s="13"/>
      <c r="I7" s="13"/>
      <c r="J7" s="81"/>
      <c r="K7" s="13"/>
      <c r="L7" s="13"/>
      <c r="M7" s="13"/>
      <c r="N7" s="13"/>
      <c r="O7" s="13"/>
      <c r="P7" s="87"/>
      <c r="Q7" s="87"/>
      <c r="R7" s="87"/>
      <c r="S7" s="87"/>
    </row>
    <row r="8" spans="1:19" s="18" customFormat="1" ht="26.25" customHeight="1" thickBot="1" x14ac:dyDescent="0.35">
      <c r="A8" s="97"/>
      <c r="B8" s="445" t="s">
        <v>59</v>
      </c>
      <c r="C8" s="1439" t="str">
        <f>'P1 Info &amp; Certification'!E12</f>
        <v>COMMUNITY HEALTH CENTER, INC.</v>
      </c>
      <c r="D8" s="1439"/>
      <c r="E8" s="1439"/>
      <c r="F8" s="1439"/>
      <c r="G8" s="1439"/>
      <c r="H8" s="1439"/>
      <c r="I8" s="463"/>
      <c r="J8" s="464"/>
      <c r="K8" s="91"/>
      <c r="L8" s="91"/>
      <c r="M8" s="91"/>
      <c r="N8" s="91"/>
      <c r="O8" s="91"/>
      <c r="P8" s="87"/>
      <c r="Q8" s="87"/>
      <c r="R8" s="87"/>
      <c r="S8" s="87"/>
    </row>
    <row r="9" spans="1:19" s="18" customFormat="1" x14ac:dyDescent="0.3">
      <c r="A9" s="16"/>
      <c r="B9" s="19"/>
      <c r="C9" s="19"/>
      <c r="D9" s="19"/>
      <c r="E9" s="20"/>
      <c r="F9" s="19"/>
      <c r="G9" s="21"/>
      <c r="H9" s="19"/>
      <c r="I9" s="19"/>
      <c r="J9" s="19"/>
    </row>
    <row r="10" spans="1:19" s="18" customFormat="1" ht="13.5" thickBot="1" x14ac:dyDescent="0.35">
      <c r="A10" s="16"/>
      <c r="B10" s="19"/>
      <c r="C10" s="19"/>
      <c r="D10" s="19"/>
      <c r="E10" s="20"/>
      <c r="F10" s="19"/>
      <c r="G10" s="21"/>
      <c r="H10" s="19"/>
      <c r="I10" s="19"/>
      <c r="J10" s="17" t="s">
        <v>342</v>
      </c>
    </row>
    <row r="11" spans="1:19" s="18" customFormat="1" ht="19.5" customHeight="1" x14ac:dyDescent="0.35">
      <c r="A11" s="1440" t="s">
        <v>290</v>
      </c>
      <c r="B11" s="1441"/>
      <c r="C11" s="1441"/>
      <c r="D11" s="1441"/>
      <c r="E11" s="1441"/>
      <c r="F11" s="1441"/>
      <c r="G11" s="1441"/>
      <c r="H11" s="1441"/>
      <c r="I11" s="1441"/>
      <c r="J11" s="1442"/>
    </row>
    <row r="12" spans="1:19" s="18" customFormat="1" ht="13.5" thickBot="1" x14ac:dyDescent="0.35">
      <c r="A12" s="113"/>
      <c r="B12" s="114"/>
      <c r="C12" s="114"/>
      <c r="D12" s="114"/>
      <c r="E12" s="115"/>
      <c r="F12" s="114"/>
      <c r="G12" s="114"/>
      <c r="H12" s="114"/>
      <c r="I12" s="114"/>
      <c r="J12" s="116"/>
    </row>
    <row r="13" spans="1:19" s="30" customFormat="1" ht="11.15" customHeight="1" x14ac:dyDescent="0.3">
      <c r="A13" s="117"/>
      <c r="B13" s="118"/>
      <c r="C13" s="119"/>
      <c r="D13" s="1"/>
      <c r="E13" s="2" t="s">
        <v>2</v>
      </c>
      <c r="F13" s="1"/>
      <c r="G13" s="1" t="s">
        <v>10</v>
      </c>
      <c r="H13" s="1" t="s">
        <v>11</v>
      </c>
      <c r="I13" s="1" t="s">
        <v>12</v>
      </c>
      <c r="J13" s="212" t="s">
        <v>13</v>
      </c>
    </row>
    <row r="14" spans="1:19" s="30" customFormat="1" ht="11.15" customHeight="1" x14ac:dyDescent="0.3">
      <c r="A14" s="1443" t="s">
        <v>74</v>
      </c>
      <c r="B14" s="1444"/>
      <c r="C14" s="1445"/>
      <c r="D14" s="1" t="s">
        <v>9</v>
      </c>
      <c r="E14" s="2" t="s">
        <v>14</v>
      </c>
      <c r="F14" s="1"/>
      <c r="G14" s="1" t="s">
        <v>15</v>
      </c>
      <c r="H14" s="1" t="s">
        <v>16</v>
      </c>
      <c r="I14" s="1" t="s">
        <v>17</v>
      </c>
      <c r="J14" s="212" t="s">
        <v>18</v>
      </c>
    </row>
    <row r="15" spans="1:19" ht="11.15" customHeight="1" x14ac:dyDescent="0.3">
      <c r="A15" s="1443"/>
      <c r="B15" s="1444"/>
      <c r="C15" s="1445"/>
      <c r="D15" s="1" t="s">
        <v>0</v>
      </c>
      <c r="E15" s="2" t="s">
        <v>19</v>
      </c>
      <c r="F15" s="1" t="s">
        <v>1</v>
      </c>
      <c r="G15" s="1" t="s">
        <v>20</v>
      </c>
      <c r="H15" s="1" t="s">
        <v>21</v>
      </c>
      <c r="I15" s="1" t="s">
        <v>291</v>
      </c>
      <c r="J15" s="212" t="s">
        <v>22</v>
      </c>
    </row>
    <row r="16" spans="1:19" ht="11.15" customHeight="1" thickBot="1" x14ac:dyDescent="0.35">
      <c r="A16" s="120"/>
      <c r="B16" s="121"/>
      <c r="C16" s="122"/>
      <c r="D16" s="6" t="s">
        <v>60</v>
      </c>
      <c r="E16" s="4" t="s">
        <v>61</v>
      </c>
      <c r="F16" s="5" t="s">
        <v>62</v>
      </c>
      <c r="G16" s="6" t="s">
        <v>63</v>
      </c>
      <c r="H16" s="6" t="s">
        <v>64</v>
      </c>
      <c r="I16" s="6" t="s">
        <v>65</v>
      </c>
      <c r="J16" s="436" t="s">
        <v>66</v>
      </c>
    </row>
    <row r="17" spans="1:11" ht="12" customHeight="1" x14ac:dyDescent="0.3">
      <c r="A17" s="213" t="s">
        <v>75</v>
      </c>
      <c r="B17" s="1446" t="s">
        <v>332</v>
      </c>
      <c r="C17" s="1446"/>
      <c r="D17" s="8"/>
      <c r="E17" s="9"/>
      <c r="F17" s="8"/>
      <c r="G17" s="8"/>
      <c r="H17" s="8"/>
      <c r="I17" s="8"/>
      <c r="J17" s="215"/>
    </row>
    <row r="18" spans="1:11" ht="12" customHeight="1" x14ac:dyDescent="0.3">
      <c r="A18" s="244" t="s">
        <v>49</v>
      </c>
      <c r="B18" s="1447" t="s">
        <v>93</v>
      </c>
      <c r="C18" s="1448"/>
      <c r="D18" s="100"/>
      <c r="E18" s="101"/>
      <c r="F18" s="100"/>
      <c r="G18" s="100"/>
      <c r="H18" s="8"/>
      <c r="I18" s="100"/>
      <c r="J18" s="217"/>
    </row>
    <row r="19" spans="1:11" x14ac:dyDescent="0.3">
      <c r="A19" s="218" t="s">
        <v>70</v>
      </c>
      <c r="B19" s="1449" t="s">
        <v>94</v>
      </c>
      <c r="C19" s="1450"/>
      <c r="D19" s="34"/>
      <c r="E19" s="34"/>
      <c r="F19" s="35">
        <f t="shared" ref="F19:F25" si="0">SUM(D19:E19)</f>
        <v>0</v>
      </c>
      <c r="G19" s="34"/>
      <c r="H19" s="36">
        <f t="shared" ref="H19:H24" si="1">F19+G19</f>
        <v>0</v>
      </c>
      <c r="I19" s="37"/>
      <c r="J19" s="219">
        <f t="shared" ref="J19:J24" si="2">H19+I19</f>
        <v>0</v>
      </c>
    </row>
    <row r="20" spans="1:11" x14ac:dyDescent="0.3">
      <c r="A20" s="220" t="s">
        <v>71</v>
      </c>
      <c r="B20" s="1433" t="s">
        <v>217</v>
      </c>
      <c r="C20" s="1434"/>
      <c r="D20" s="38"/>
      <c r="E20" s="38"/>
      <c r="F20" s="36">
        <f t="shared" si="0"/>
        <v>0</v>
      </c>
      <c r="G20" s="38"/>
      <c r="H20" s="36">
        <f t="shared" si="1"/>
        <v>0</v>
      </c>
      <c r="I20" s="39"/>
      <c r="J20" s="221">
        <f t="shared" si="2"/>
        <v>0</v>
      </c>
    </row>
    <row r="21" spans="1:11" x14ac:dyDescent="0.3">
      <c r="A21" s="220" t="s">
        <v>72</v>
      </c>
      <c r="B21" s="441" t="s">
        <v>330</v>
      </c>
      <c r="C21" s="442"/>
      <c r="D21" s="38"/>
      <c r="E21" s="38"/>
      <c r="F21" s="36">
        <f t="shared" si="0"/>
        <v>0</v>
      </c>
      <c r="G21" s="38"/>
      <c r="H21" s="36">
        <f t="shared" si="1"/>
        <v>0</v>
      </c>
      <c r="I21" s="39"/>
      <c r="J21" s="221">
        <f t="shared" si="2"/>
        <v>0</v>
      </c>
    </row>
    <row r="22" spans="1:11" x14ac:dyDescent="0.3">
      <c r="A22" s="220" t="s">
        <v>73</v>
      </c>
      <c r="B22" s="441" t="s">
        <v>95</v>
      </c>
      <c r="C22" s="442"/>
      <c r="D22" s="38">
        <f>+'Attachment A'!AM18</f>
        <v>309859.91386534728</v>
      </c>
      <c r="E22" s="38">
        <f>+'Attachment A'!AN18</f>
        <v>77104.764203809318</v>
      </c>
      <c r="F22" s="36">
        <f t="shared" si="0"/>
        <v>386964.67806915659</v>
      </c>
      <c r="G22" s="38"/>
      <c r="H22" s="36">
        <f t="shared" si="1"/>
        <v>386964.67806915659</v>
      </c>
      <c r="I22" s="39"/>
      <c r="J22" s="221">
        <f t="shared" si="2"/>
        <v>386964.67806915659</v>
      </c>
    </row>
    <row r="23" spans="1:11" x14ac:dyDescent="0.3">
      <c r="A23" s="220" t="s">
        <v>80</v>
      </c>
      <c r="B23" s="441" t="s">
        <v>96</v>
      </c>
      <c r="C23" s="442"/>
      <c r="D23" s="38">
        <f>+'Attachment A'!AM19</f>
        <v>135319.86669994783</v>
      </c>
      <c r="E23" s="38">
        <f>+'Attachment A'!AN19</f>
        <v>33672.656407322502</v>
      </c>
      <c r="F23" s="36">
        <f t="shared" si="0"/>
        <v>168992.52310727033</v>
      </c>
      <c r="G23" s="38"/>
      <c r="H23" s="36">
        <f t="shared" si="1"/>
        <v>168992.52310727033</v>
      </c>
      <c r="I23" s="39"/>
      <c r="J23" s="221">
        <f t="shared" si="2"/>
        <v>168992.52310727033</v>
      </c>
    </row>
    <row r="24" spans="1:11" x14ac:dyDescent="0.3">
      <c r="A24" s="220" t="s">
        <v>81</v>
      </c>
      <c r="B24" s="441" t="s">
        <v>331</v>
      </c>
      <c r="C24" s="442"/>
      <c r="D24" s="38"/>
      <c r="E24" s="38"/>
      <c r="F24" s="36">
        <f t="shared" si="0"/>
        <v>0</v>
      </c>
      <c r="G24" s="38"/>
      <c r="H24" s="36">
        <f t="shared" si="1"/>
        <v>0</v>
      </c>
      <c r="I24" s="39"/>
      <c r="J24" s="221">
        <f t="shared" si="2"/>
        <v>0</v>
      </c>
    </row>
    <row r="25" spans="1:11" x14ac:dyDescent="0.3">
      <c r="A25" s="220" t="s">
        <v>112</v>
      </c>
      <c r="B25" s="441" t="s">
        <v>97</v>
      </c>
      <c r="C25" s="442"/>
      <c r="D25" s="38"/>
      <c r="E25" s="38"/>
      <c r="F25" s="36">
        <f t="shared" si="0"/>
        <v>0</v>
      </c>
      <c r="G25" s="38"/>
      <c r="H25" s="36">
        <f>F25+G25</f>
        <v>0</v>
      </c>
      <c r="I25" s="39"/>
      <c r="J25" s="221">
        <f>H25+I25</f>
        <v>0</v>
      </c>
    </row>
    <row r="26" spans="1:11" x14ac:dyDescent="0.3">
      <c r="A26" s="220" t="s">
        <v>114</v>
      </c>
      <c r="B26" s="441" t="s">
        <v>69</v>
      </c>
      <c r="C26" s="442"/>
      <c r="D26" s="38"/>
      <c r="E26" s="38"/>
      <c r="F26" s="36"/>
      <c r="G26" s="38"/>
      <c r="H26" s="36"/>
      <c r="I26" s="39"/>
      <c r="J26" s="221"/>
    </row>
    <row r="27" spans="1:11" x14ac:dyDescent="0.3">
      <c r="A27" s="220"/>
      <c r="B27" s="513"/>
      <c r="C27" s="460" t="s">
        <v>444</v>
      </c>
      <c r="D27" s="38"/>
      <c r="E27" s="38">
        <f>+'Attachment A'!C32</f>
        <v>216854.18000000005</v>
      </c>
      <c r="F27" s="36">
        <f t="shared" ref="F27:F34" si="3">SUM(D27:E27)</f>
        <v>216854.18000000005</v>
      </c>
      <c r="G27" s="38"/>
      <c r="H27" s="36">
        <f t="shared" ref="H27:H35" si="4">F27+G27</f>
        <v>216854.18000000005</v>
      </c>
      <c r="I27" s="39"/>
      <c r="J27" s="221">
        <f t="shared" ref="J27:J35" si="5">H27+I27</f>
        <v>216854.18000000005</v>
      </c>
    </row>
    <row r="28" spans="1:11" x14ac:dyDescent="0.3">
      <c r="A28" s="220"/>
      <c r="B28" s="465"/>
      <c r="C28" s="462" t="s">
        <v>1167</v>
      </c>
      <c r="D28" s="38">
        <f>'Attachment A'!AM20</f>
        <v>45740.275068376235</v>
      </c>
      <c r="E28" s="38">
        <f>'Attachment A'!AN20</f>
        <v>11381.895385464835</v>
      </c>
      <c r="F28" s="36">
        <f>SUM(D28:E28)</f>
        <v>57122.17045384107</v>
      </c>
      <c r="G28" s="38"/>
      <c r="H28" s="36">
        <f t="shared" si="4"/>
        <v>57122.17045384107</v>
      </c>
      <c r="I28" s="39"/>
      <c r="J28" s="221">
        <f t="shared" si="5"/>
        <v>57122.17045384107</v>
      </c>
    </row>
    <row r="29" spans="1:11" x14ac:dyDescent="0.3">
      <c r="A29" s="220"/>
      <c r="B29" s="465"/>
      <c r="C29" s="462"/>
      <c r="D29" s="38"/>
      <c r="E29" s="38"/>
      <c r="F29" s="36">
        <f t="shared" si="3"/>
        <v>0</v>
      </c>
      <c r="G29" s="38"/>
      <c r="H29" s="36">
        <f t="shared" si="4"/>
        <v>0</v>
      </c>
      <c r="I29" s="39"/>
      <c r="J29" s="221">
        <f t="shared" si="5"/>
        <v>0</v>
      </c>
    </row>
    <row r="30" spans="1:11" x14ac:dyDescent="0.3">
      <c r="A30" s="220"/>
      <c r="B30" s="466"/>
      <c r="C30" s="462"/>
      <c r="D30" s="38"/>
      <c r="E30" s="38"/>
      <c r="F30" s="36">
        <f t="shared" si="3"/>
        <v>0</v>
      </c>
      <c r="G30" s="38"/>
      <c r="H30" s="36">
        <f t="shared" si="4"/>
        <v>0</v>
      </c>
      <c r="I30" s="39"/>
      <c r="J30" s="221">
        <f t="shared" si="5"/>
        <v>0</v>
      </c>
    </row>
    <row r="31" spans="1:11" x14ac:dyDescent="0.3">
      <c r="A31" s="220"/>
      <c r="B31" s="465"/>
      <c r="C31" s="462"/>
      <c r="D31" s="38"/>
      <c r="E31" s="38"/>
      <c r="F31" s="36">
        <f t="shared" si="3"/>
        <v>0</v>
      </c>
      <c r="G31" s="139"/>
      <c r="H31" s="36">
        <f t="shared" si="4"/>
        <v>0</v>
      </c>
      <c r="I31" s="39"/>
      <c r="J31" s="221">
        <f t="shared" si="5"/>
        <v>0</v>
      </c>
    </row>
    <row r="32" spans="1:11" x14ac:dyDescent="0.3">
      <c r="A32" s="220"/>
      <c r="B32" s="465"/>
      <c r="C32" s="462"/>
      <c r="D32" s="38"/>
      <c r="E32" s="38"/>
      <c r="F32" s="36">
        <f t="shared" si="3"/>
        <v>0</v>
      </c>
      <c r="G32" s="38"/>
      <c r="H32" s="40">
        <f t="shared" si="4"/>
        <v>0</v>
      </c>
      <c r="I32" s="38"/>
      <c r="J32" s="222">
        <f t="shared" si="5"/>
        <v>0</v>
      </c>
      <c r="K32" s="33"/>
    </row>
    <row r="33" spans="1:11" x14ac:dyDescent="0.3">
      <c r="A33" s="220"/>
      <c r="B33" s="465"/>
      <c r="C33" s="462"/>
      <c r="D33" s="38"/>
      <c r="E33" s="38"/>
      <c r="F33" s="36">
        <f t="shared" si="3"/>
        <v>0</v>
      </c>
      <c r="G33" s="38"/>
      <c r="H33" s="40">
        <f t="shared" si="4"/>
        <v>0</v>
      </c>
      <c r="I33" s="38"/>
      <c r="J33" s="222">
        <f t="shared" si="5"/>
        <v>0</v>
      </c>
      <c r="K33" s="33"/>
    </row>
    <row r="34" spans="1:11" ht="12.75" customHeight="1" x14ac:dyDescent="0.3">
      <c r="A34" s="223"/>
      <c r="B34" s="25"/>
      <c r="C34" s="462"/>
      <c r="D34" s="38"/>
      <c r="E34" s="38"/>
      <c r="F34" s="36">
        <f t="shared" si="3"/>
        <v>0</v>
      </c>
      <c r="G34" s="38"/>
      <c r="H34" s="40">
        <f t="shared" si="4"/>
        <v>0</v>
      </c>
      <c r="I34" s="38"/>
      <c r="J34" s="222">
        <f t="shared" si="5"/>
        <v>0</v>
      </c>
      <c r="K34" s="33"/>
    </row>
    <row r="35" spans="1:11" ht="12.75" customHeight="1" x14ac:dyDescent="0.3">
      <c r="A35" s="223"/>
      <c r="B35" s="110"/>
      <c r="C35" s="460"/>
      <c r="D35" s="104"/>
      <c r="E35" s="41"/>
      <c r="F35" s="40">
        <f>SUM(D35:E35)</f>
        <v>0</v>
      </c>
      <c r="G35" s="41"/>
      <c r="H35" s="40">
        <f t="shared" si="4"/>
        <v>0</v>
      </c>
      <c r="I35" s="41"/>
      <c r="J35" s="222">
        <f t="shared" si="5"/>
        <v>0</v>
      </c>
      <c r="K35" s="33"/>
    </row>
    <row r="36" spans="1:11" s="126" customFormat="1" x14ac:dyDescent="0.3">
      <c r="A36" s="224" t="s">
        <v>113</v>
      </c>
      <c r="B36" s="1435" t="s">
        <v>333</v>
      </c>
      <c r="C36" s="1436"/>
      <c r="D36" s="129">
        <f t="shared" ref="D36:J36" si="6">SUM(D19:D35)</f>
        <v>490920.05563367135</v>
      </c>
      <c r="E36" s="129">
        <f t="shared" si="6"/>
        <v>339013.4959965967</v>
      </c>
      <c r="F36" s="129">
        <f t="shared" si="6"/>
        <v>829933.55163026811</v>
      </c>
      <c r="G36" s="129">
        <f t="shared" si="6"/>
        <v>0</v>
      </c>
      <c r="H36" s="129">
        <f t="shared" si="6"/>
        <v>829933.55163026811</v>
      </c>
      <c r="I36" s="129">
        <f t="shared" si="6"/>
        <v>0</v>
      </c>
      <c r="J36" s="225">
        <f t="shared" si="6"/>
        <v>829933.55163026811</v>
      </c>
    </row>
    <row r="37" spans="1:11" ht="25.5" customHeight="1" thickBot="1" x14ac:dyDescent="0.35">
      <c r="A37" s="257" t="s">
        <v>102</v>
      </c>
      <c r="B37" s="1437" t="s">
        <v>344</v>
      </c>
      <c r="C37" s="1438"/>
      <c r="D37" s="327">
        <f>D36+'P5 Form A-3 - Mental Health'!D45</f>
        <v>70047660.869133741</v>
      </c>
      <c r="E37" s="327">
        <f>E36+'P5 Form A-3 - Mental Health'!E45</f>
        <v>62937092.493930407</v>
      </c>
      <c r="F37" s="327">
        <f>F36+'P5 Form A-3 - Mental Health'!F45</f>
        <v>132984753.36306415</v>
      </c>
      <c r="G37" s="327">
        <f>G36+'P5 Form A-3 - Mental Health'!G45</f>
        <v>0</v>
      </c>
      <c r="H37" s="327">
        <f>H36+'P5 Form A-3 - Mental Health'!H45</f>
        <v>132984753.36306415</v>
      </c>
      <c r="I37" s="327">
        <f>I36+'P5 Form A-3 - Mental Health'!I45</f>
        <v>0</v>
      </c>
      <c r="J37" s="328">
        <f>J36+'P5 Form A-3 - Mental Health'!J45</f>
        <v>132984753.36306415</v>
      </c>
    </row>
    <row r="38" spans="1:11" ht="14" thickTop="1" thickBot="1" x14ac:dyDescent="0.35">
      <c r="A38" s="262"/>
      <c r="B38" s="263"/>
      <c r="C38" s="263"/>
      <c r="D38" s="264"/>
      <c r="E38" s="264"/>
      <c r="F38" s="265"/>
      <c r="G38" s="264"/>
      <c r="H38" s="265"/>
      <c r="I38" s="264"/>
      <c r="J38" s="266"/>
    </row>
    <row r="39" spans="1:11" x14ac:dyDescent="0.3">
      <c r="A39" s="134"/>
      <c r="B39" s="431"/>
      <c r="C39" s="431"/>
      <c r="D39" s="135"/>
      <c r="E39" s="135"/>
      <c r="F39" s="136"/>
      <c r="G39" s="135"/>
      <c r="H39" s="136"/>
      <c r="I39" s="135"/>
      <c r="J39" s="136"/>
    </row>
    <row r="54" s="126" customFormat="1" x14ac:dyDescent="0.3"/>
  </sheetData>
  <sheetProtection password="E1AE" sheet="1" formatColumns="0" formatRows="0"/>
  <mergeCells count="15">
    <mergeCell ref="B20:C20"/>
    <mergeCell ref="B36:C36"/>
    <mergeCell ref="B37:C37"/>
    <mergeCell ref="C8:H8"/>
    <mergeCell ref="A11:J11"/>
    <mergeCell ref="A14:C15"/>
    <mergeCell ref="B17:C17"/>
    <mergeCell ref="B18:C18"/>
    <mergeCell ref="B19:C19"/>
    <mergeCell ref="A1:J1"/>
    <mergeCell ref="A2:J2"/>
    <mergeCell ref="A3:J3"/>
    <mergeCell ref="A4:J4"/>
    <mergeCell ref="E6:F6"/>
    <mergeCell ref="I6:J6"/>
  </mergeCells>
  <printOptions horizontalCentered="1" verticalCentered="1"/>
  <pageMargins left="0.25" right="0.25" top="0.25" bottom="0.5" header="0.5" footer="0.25"/>
  <pageSetup scale="82" orientation="landscape" r:id="rId1"/>
  <headerFooter alignWithMargins="0">
    <oddFooter>&amp;LDSS-16 10-24-2016&amp;RPage 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91BB-2F62-44CC-A049-6D83F60361F5}">
  <sheetPr>
    <tabColor theme="2" tint="-0.249977111117893"/>
    <pageSetUpPr fitToPage="1"/>
  </sheetPr>
  <dimension ref="A1:S56"/>
  <sheetViews>
    <sheetView topLeftCell="A11" zoomScaleNormal="100" workbookViewId="0">
      <selection activeCell="M20" sqref="M20"/>
    </sheetView>
  </sheetViews>
  <sheetFormatPr defaultColWidth="9.7265625" defaultRowHeight="13" x14ac:dyDescent="0.3"/>
  <cols>
    <col min="1" max="1" width="4.7265625" style="22" customWidth="1"/>
    <col min="2" max="2" width="13.54296875" style="22" customWidth="1"/>
    <col min="3" max="3" width="40.1796875" style="22" customWidth="1"/>
    <col min="4" max="4" width="13" style="22" customWidth="1"/>
    <col min="5" max="5" width="12.453125" style="31" customWidth="1"/>
    <col min="6" max="6" width="13.26953125" style="22" bestFit="1" customWidth="1"/>
    <col min="7" max="7" width="11.7265625" style="22" customWidth="1"/>
    <col min="8" max="8" width="13.453125" style="22" customWidth="1"/>
    <col min="9" max="9" width="11.26953125" style="22" customWidth="1"/>
    <col min="10" max="10" width="14.1796875" style="22" customWidth="1"/>
    <col min="11" max="11" width="9.7265625" style="22"/>
    <col min="12" max="12" width="18.81640625" style="22" customWidth="1"/>
    <col min="13" max="16384" width="9.7265625" style="22"/>
  </cols>
  <sheetData>
    <row r="1" spans="1:19" s="18" customFormat="1" ht="13.5" x14ac:dyDescent="0.35">
      <c r="A1" s="1396" t="s">
        <v>45</v>
      </c>
      <c r="B1" s="1396"/>
      <c r="C1" s="1396"/>
      <c r="D1" s="1396"/>
      <c r="E1" s="1396"/>
      <c r="F1" s="1396"/>
      <c r="G1" s="1396"/>
      <c r="H1" s="1396"/>
      <c r="I1" s="1396"/>
      <c r="J1" s="1396"/>
      <c r="K1" s="75"/>
      <c r="L1" s="75"/>
      <c r="M1" s="75"/>
      <c r="N1" s="75"/>
      <c r="O1" s="75"/>
    </row>
    <row r="2" spans="1:19" s="18" customFormat="1" ht="13.5" x14ac:dyDescent="0.35">
      <c r="A2" s="1396" t="s">
        <v>46</v>
      </c>
      <c r="B2" s="1396"/>
      <c r="C2" s="1396"/>
      <c r="D2" s="1396"/>
      <c r="E2" s="1396"/>
      <c r="F2" s="1396"/>
      <c r="G2" s="1396"/>
      <c r="H2" s="1396"/>
      <c r="I2" s="1396"/>
      <c r="J2" s="1396"/>
      <c r="K2" s="75"/>
      <c r="L2" s="75"/>
      <c r="M2" s="75"/>
      <c r="N2" s="75"/>
      <c r="O2" s="75"/>
    </row>
    <row r="3" spans="1:19" s="18" customFormat="1" ht="13.5" x14ac:dyDescent="0.35">
      <c r="A3" s="1396" t="s">
        <v>47</v>
      </c>
      <c r="B3" s="1396"/>
      <c r="C3" s="1396"/>
      <c r="D3" s="1396"/>
      <c r="E3" s="1396"/>
      <c r="F3" s="1396"/>
      <c r="G3" s="1396"/>
      <c r="H3" s="1396"/>
      <c r="I3" s="1396"/>
      <c r="J3" s="1396"/>
      <c r="K3" s="75"/>
      <c r="L3" s="75"/>
      <c r="M3" s="75"/>
      <c r="N3" s="75"/>
      <c r="O3" s="75"/>
    </row>
    <row r="4" spans="1:19" s="18" customFormat="1" ht="13.5" x14ac:dyDescent="0.35">
      <c r="A4" s="1396" t="s">
        <v>48</v>
      </c>
      <c r="B4" s="1396"/>
      <c r="C4" s="1396"/>
      <c r="D4" s="1396"/>
      <c r="E4" s="1396"/>
      <c r="F4" s="1396"/>
      <c r="G4" s="1396"/>
      <c r="H4" s="1396"/>
      <c r="I4" s="1396"/>
      <c r="J4" s="1396"/>
      <c r="K4" s="75"/>
      <c r="L4" s="75"/>
      <c r="M4" s="75"/>
      <c r="N4" s="75"/>
      <c r="O4" s="75"/>
    </row>
    <row r="5" spans="1:19" s="18" customFormat="1" ht="14" thickBot="1" x14ac:dyDescent="0.4">
      <c r="A5" s="12"/>
      <c r="B5" s="13"/>
      <c r="C5" s="13"/>
      <c r="D5" s="440"/>
      <c r="E5" s="440"/>
      <c r="F5" s="440"/>
      <c r="G5" s="440"/>
      <c r="H5" s="440"/>
      <c r="I5" s="440"/>
      <c r="J5" s="440"/>
      <c r="K5" s="76"/>
      <c r="L5" s="76"/>
      <c r="M5" s="76"/>
      <c r="N5" s="76"/>
      <c r="O5" s="76"/>
      <c r="P5" s="87"/>
      <c r="Q5" s="87"/>
      <c r="R5" s="87"/>
      <c r="S5" s="87"/>
    </row>
    <row r="6" spans="1:19" s="18" customFormat="1" ht="20.25" customHeight="1" x14ac:dyDescent="0.3">
      <c r="A6" s="93"/>
      <c r="B6" s="77" t="s">
        <v>54</v>
      </c>
      <c r="C6" s="78"/>
      <c r="D6" s="78" t="s">
        <v>6</v>
      </c>
      <c r="E6" s="1389">
        <f>'P1 Info &amp; Certification'!L20</f>
        <v>45108</v>
      </c>
      <c r="F6" s="1389"/>
      <c r="G6" s="96"/>
      <c r="H6" s="95" t="s">
        <v>7</v>
      </c>
      <c r="I6" s="1389">
        <f>'P1 Info &amp; Certification'!N20</f>
        <v>45473</v>
      </c>
      <c r="J6" s="1432"/>
      <c r="K6" s="88"/>
      <c r="L6" s="32"/>
      <c r="M6" s="92"/>
      <c r="N6" s="92"/>
      <c r="O6" s="32"/>
      <c r="P6" s="87"/>
      <c r="Q6" s="87"/>
      <c r="R6" s="87"/>
      <c r="S6" s="87"/>
    </row>
    <row r="7" spans="1:19" s="18" customFormat="1" x14ac:dyDescent="0.3">
      <c r="A7" s="83"/>
      <c r="B7" s="458"/>
      <c r="C7" s="458"/>
      <c r="D7" s="458"/>
      <c r="E7" s="13"/>
      <c r="F7" s="13"/>
      <c r="G7" s="13"/>
      <c r="H7" s="13"/>
      <c r="I7" s="13"/>
      <c r="J7" s="81"/>
      <c r="K7" s="13"/>
      <c r="L7" s="13"/>
      <c r="M7" s="13"/>
      <c r="N7" s="13"/>
      <c r="O7" s="13"/>
      <c r="P7" s="87"/>
      <c r="Q7" s="87"/>
      <c r="R7" s="87"/>
      <c r="S7" s="87"/>
    </row>
    <row r="8" spans="1:19" s="18" customFormat="1" ht="18" customHeight="1" thickBot="1" x14ac:dyDescent="0.35">
      <c r="A8" s="97"/>
      <c r="B8" s="445" t="s">
        <v>59</v>
      </c>
      <c r="C8" s="1439" t="str">
        <f>'P1 Info &amp; Certification'!E12</f>
        <v>COMMUNITY HEALTH CENTER, INC.</v>
      </c>
      <c r="D8" s="1439"/>
      <c r="E8" s="1439"/>
      <c r="F8" s="1439"/>
      <c r="G8" s="1439"/>
      <c r="H8" s="1439"/>
      <c r="I8" s="463"/>
      <c r="J8" s="464"/>
      <c r="K8" s="91"/>
      <c r="L8" s="91"/>
      <c r="M8" s="91"/>
      <c r="N8" s="91"/>
      <c r="O8" s="91"/>
      <c r="P8" s="87"/>
      <c r="Q8" s="87"/>
      <c r="R8" s="87"/>
      <c r="S8" s="87"/>
    </row>
    <row r="9" spans="1:19" s="18" customFormat="1" x14ac:dyDescent="0.3">
      <c r="A9" s="16"/>
      <c r="B9" s="19"/>
      <c r="C9" s="19"/>
      <c r="D9" s="19"/>
      <c r="E9" s="20"/>
      <c r="F9" s="19"/>
      <c r="G9" s="21"/>
      <c r="H9" s="19"/>
      <c r="I9" s="19"/>
      <c r="J9" s="19"/>
    </row>
    <row r="10" spans="1:19" s="18" customFormat="1" ht="13.5" thickBot="1" x14ac:dyDescent="0.35">
      <c r="A10" s="16"/>
      <c r="B10" s="19"/>
      <c r="C10" s="19"/>
      <c r="D10" s="19"/>
      <c r="E10" s="20"/>
      <c r="F10" s="19"/>
      <c r="G10" s="21"/>
      <c r="H10" s="19"/>
      <c r="I10" s="19"/>
      <c r="J10" s="17" t="s">
        <v>343</v>
      </c>
    </row>
    <row r="11" spans="1:19" s="18" customFormat="1" ht="19.5" customHeight="1" x14ac:dyDescent="0.35">
      <c r="A11" s="1440" t="s">
        <v>290</v>
      </c>
      <c r="B11" s="1441"/>
      <c r="C11" s="1441"/>
      <c r="D11" s="1441"/>
      <c r="E11" s="1441"/>
      <c r="F11" s="1441"/>
      <c r="G11" s="1441"/>
      <c r="H11" s="1441"/>
      <c r="I11" s="1441"/>
      <c r="J11" s="1442"/>
    </row>
    <row r="12" spans="1:19" s="18" customFormat="1" ht="13.5" thickBot="1" x14ac:dyDescent="0.35">
      <c r="A12" s="113"/>
      <c r="B12" s="114"/>
      <c r="C12" s="114"/>
      <c r="D12" s="114"/>
      <c r="E12" s="115"/>
      <c r="F12" s="114"/>
      <c r="G12" s="114"/>
      <c r="H12" s="114"/>
      <c r="I12" s="114"/>
      <c r="J12" s="116"/>
    </row>
    <row r="13" spans="1:19" s="30" customFormat="1" ht="11.15" customHeight="1" x14ac:dyDescent="0.3">
      <c r="A13" s="117"/>
      <c r="B13" s="118"/>
      <c r="C13" s="119"/>
      <c r="D13" s="1"/>
      <c r="E13" s="2" t="s">
        <v>2</v>
      </c>
      <c r="F13" s="1"/>
      <c r="G13" s="1" t="s">
        <v>10</v>
      </c>
      <c r="H13" s="1" t="s">
        <v>11</v>
      </c>
      <c r="I13" s="1" t="s">
        <v>12</v>
      </c>
      <c r="J13" s="212" t="s">
        <v>13</v>
      </c>
    </row>
    <row r="14" spans="1:19" s="30" customFormat="1" ht="11.15" customHeight="1" x14ac:dyDescent="0.3">
      <c r="A14" s="1443" t="s">
        <v>74</v>
      </c>
      <c r="B14" s="1444"/>
      <c r="C14" s="1445"/>
      <c r="D14" s="1" t="s">
        <v>9</v>
      </c>
      <c r="E14" s="2" t="s">
        <v>14</v>
      </c>
      <c r="F14" s="1"/>
      <c r="G14" s="1" t="s">
        <v>15</v>
      </c>
      <c r="H14" s="1" t="s">
        <v>16</v>
      </c>
      <c r="I14" s="1" t="s">
        <v>17</v>
      </c>
      <c r="J14" s="212" t="s">
        <v>18</v>
      </c>
    </row>
    <row r="15" spans="1:19" ht="11.15" customHeight="1" x14ac:dyDescent="0.3">
      <c r="A15" s="1443"/>
      <c r="B15" s="1444"/>
      <c r="C15" s="1445"/>
      <c r="D15" s="1" t="s">
        <v>0</v>
      </c>
      <c r="E15" s="2" t="s">
        <v>19</v>
      </c>
      <c r="F15" s="1" t="s">
        <v>1</v>
      </c>
      <c r="G15" s="1" t="s">
        <v>20</v>
      </c>
      <c r="H15" s="1" t="s">
        <v>21</v>
      </c>
      <c r="I15" s="1" t="s">
        <v>291</v>
      </c>
      <c r="J15" s="212" t="s">
        <v>22</v>
      </c>
    </row>
    <row r="16" spans="1:19" ht="11.15" customHeight="1" thickBot="1" x14ac:dyDescent="0.35">
      <c r="A16" s="120"/>
      <c r="B16" s="121"/>
      <c r="C16" s="122"/>
      <c r="D16" s="6" t="s">
        <v>60</v>
      </c>
      <c r="E16" s="4" t="s">
        <v>61</v>
      </c>
      <c r="F16" s="5" t="s">
        <v>62</v>
      </c>
      <c r="G16" s="6" t="s">
        <v>63</v>
      </c>
      <c r="H16" s="6" t="s">
        <v>64</v>
      </c>
      <c r="I16" s="6" t="s">
        <v>65</v>
      </c>
      <c r="J16" s="436" t="s">
        <v>66</v>
      </c>
    </row>
    <row r="17" spans="1:10" ht="12" customHeight="1" x14ac:dyDescent="0.3">
      <c r="A17" s="213" t="s">
        <v>103</v>
      </c>
      <c r="B17" s="1446" t="s">
        <v>104</v>
      </c>
      <c r="C17" s="1446"/>
      <c r="D17" s="132"/>
      <c r="E17" s="133"/>
      <c r="F17" s="132"/>
      <c r="G17" s="132"/>
      <c r="H17" s="132"/>
      <c r="I17" s="132"/>
      <c r="J17" s="254"/>
    </row>
    <row r="18" spans="1:10" ht="12" customHeight="1" x14ac:dyDescent="0.3">
      <c r="A18" s="218" t="s">
        <v>70</v>
      </c>
      <c r="B18" s="441" t="s">
        <v>105</v>
      </c>
      <c r="C18" s="446"/>
      <c r="D18" s="138"/>
      <c r="E18" s="29">
        <f>+'Attachment A'!C33</f>
        <v>75896</v>
      </c>
      <c r="F18" s="28">
        <f>SUM(D18:E18)</f>
        <v>75896</v>
      </c>
      <c r="G18" s="29"/>
      <c r="H18" s="28">
        <f t="shared" ref="H18:H24" si="0">F18+G18</f>
        <v>75896</v>
      </c>
      <c r="I18" s="29"/>
      <c r="J18" s="227">
        <f t="shared" ref="J18:J24" si="1">H18+I18</f>
        <v>75896</v>
      </c>
    </row>
    <row r="19" spans="1:10" ht="12" customHeight="1" x14ac:dyDescent="0.3">
      <c r="A19" s="220" t="s">
        <v>71</v>
      </c>
      <c r="B19" s="1433" t="s">
        <v>106</v>
      </c>
      <c r="C19" s="1452"/>
      <c r="D19" s="29"/>
      <c r="E19" s="29">
        <f>+'Attachment A'!C34</f>
        <v>0</v>
      </c>
      <c r="F19" s="28">
        <f>SUM(D19:E19)</f>
        <v>0</v>
      </c>
      <c r="G19" s="29"/>
      <c r="H19" s="28">
        <f t="shared" si="0"/>
        <v>0</v>
      </c>
      <c r="I19" s="29"/>
      <c r="J19" s="227">
        <f t="shared" si="1"/>
        <v>0</v>
      </c>
    </row>
    <row r="20" spans="1:10" ht="12" customHeight="1" x14ac:dyDescent="0.3">
      <c r="A20" s="220" t="s">
        <v>72</v>
      </c>
      <c r="B20" s="446" t="s">
        <v>107</v>
      </c>
      <c r="C20" s="446"/>
      <c r="D20" s="29"/>
      <c r="E20" s="29">
        <f>+'Attachment A'!C35</f>
        <v>1112968.48</v>
      </c>
      <c r="F20" s="28">
        <f t="shared" ref="F20:F29" si="2">SUM(D20:E20)</f>
        <v>1112968.48</v>
      </c>
      <c r="G20" s="29"/>
      <c r="H20" s="28">
        <f t="shared" si="0"/>
        <v>1112968.48</v>
      </c>
      <c r="I20" s="29">
        <v>0</v>
      </c>
      <c r="J20" s="227">
        <f t="shared" si="1"/>
        <v>1112968.48</v>
      </c>
    </row>
    <row r="21" spans="1:10" ht="12" customHeight="1" x14ac:dyDescent="0.3">
      <c r="A21" s="220" t="s">
        <v>73</v>
      </c>
      <c r="B21" s="26" t="s">
        <v>108</v>
      </c>
      <c r="C21" s="26"/>
      <c r="D21" s="29"/>
      <c r="E21" s="29">
        <f>+'Attachment A'!C36</f>
        <v>634312.69000000006</v>
      </c>
      <c r="F21" s="28">
        <f t="shared" si="2"/>
        <v>634312.69000000006</v>
      </c>
      <c r="G21" s="29"/>
      <c r="H21" s="28">
        <f t="shared" si="0"/>
        <v>634312.69000000006</v>
      </c>
      <c r="I21" s="29"/>
      <c r="J21" s="227">
        <f t="shared" si="1"/>
        <v>634312.69000000006</v>
      </c>
    </row>
    <row r="22" spans="1:10" ht="12" customHeight="1" x14ac:dyDescent="0.3">
      <c r="A22" s="220" t="s">
        <v>80</v>
      </c>
      <c r="B22" s="26" t="s">
        <v>109</v>
      </c>
      <c r="C22" s="26"/>
      <c r="D22" s="29"/>
      <c r="E22" s="29">
        <f>+'Attachment A'!C37</f>
        <v>1683120.63</v>
      </c>
      <c r="F22" s="28">
        <f t="shared" si="2"/>
        <v>1683120.63</v>
      </c>
      <c r="G22" s="29"/>
      <c r="H22" s="28">
        <f t="shared" si="0"/>
        <v>1683120.63</v>
      </c>
      <c r="I22" s="29"/>
      <c r="J22" s="227">
        <f t="shared" si="1"/>
        <v>1683120.63</v>
      </c>
    </row>
    <row r="23" spans="1:10" ht="12" customHeight="1" x14ac:dyDescent="0.3">
      <c r="A23" s="220" t="s">
        <v>81</v>
      </c>
      <c r="B23" s="26" t="s">
        <v>110</v>
      </c>
      <c r="C23" s="26"/>
      <c r="D23" s="29"/>
      <c r="E23" s="29"/>
      <c r="F23" s="28">
        <f t="shared" si="2"/>
        <v>0</v>
      </c>
      <c r="G23" s="29"/>
      <c r="H23" s="28">
        <f t="shared" si="0"/>
        <v>0</v>
      </c>
      <c r="I23" s="29"/>
      <c r="J23" s="227">
        <f t="shared" si="1"/>
        <v>0</v>
      </c>
    </row>
    <row r="24" spans="1:10" ht="12" customHeight="1" x14ac:dyDescent="0.3">
      <c r="A24" s="220" t="s">
        <v>112</v>
      </c>
      <c r="B24" s="26" t="s">
        <v>111</v>
      </c>
      <c r="C24" s="26"/>
      <c r="D24" s="29"/>
      <c r="E24" s="29">
        <f>+'Attachment A'!C38</f>
        <v>3003446.03</v>
      </c>
      <c r="F24" s="28">
        <f t="shared" si="2"/>
        <v>3003446.03</v>
      </c>
      <c r="G24" s="29"/>
      <c r="H24" s="28">
        <f t="shared" si="0"/>
        <v>3003446.03</v>
      </c>
      <c r="I24" s="29"/>
      <c r="J24" s="227">
        <f t="shared" si="1"/>
        <v>3003446.03</v>
      </c>
    </row>
    <row r="25" spans="1:10" ht="12" customHeight="1" x14ac:dyDescent="0.3">
      <c r="A25" s="220" t="s">
        <v>114</v>
      </c>
      <c r="B25" s="26" t="s">
        <v>44</v>
      </c>
      <c r="C25" s="26"/>
      <c r="D25" s="29"/>
      <c r="E25" s="29"/>
      <c r="F25" s="28"/>
      <c r="G25" s="29"/>
      <c r="H25" s="28"/>
      <c r="I25" s="29"/>
      <c r="J25" s="227"/>
    </row>
    <row r="26" spans="1:10" ht="12" customHeight="1" x14ac:dyDescent="0.3">
      <c r="A26" s="220"/>
      <c r="B26" s="466"/>
      <c r="C26" s="470" t="s">
        <v>451</v>
      </c>
      <c r="D26" s="29"/>
      <c r="E26" s="29">
        <f>+'Attachment A'!C39</f>
        <v>334346.94</v>
      </c>
      <c r="F26" s="28">
        <f t="shared" si="2"/>
        <v>334346.94</v>
      </c>
      <c r="G26" s="29"/>
      <c r="H26" s="28">
        <f>F26+G26</f>
        <v>334346.94</v>
      </c>
      <c r="I26" s="29"/>
      <c r="J26" s="227">
        <f>H26+I26</f>
        <v>334346.94</v>
      </c>
    </row>
    <row r="27" spans="1:10" ht="12" customHeight="1" x14ac:dyDescent="0.3">
      <c r="A27" s="220"/>
      <c r="B27" s="466"/>
      <c r="C27" s="461"/>
      <c r="D27" s="29"/>
      <c r="E27" s="29"/>
      <c r="F27" s="28">
        <f t="shared" si="2"/>
        <v>0</v>
      </c>
      <c r="G27" s="29"/>
      <c r="H27" s="28">
        <f>F27+G27</f>
        <v>0</v>
      </c>
      <c r="I27" s="29"/>
      <c r="J27" s="227">
        <f>H27+I27</f>
        <v>0</v>
      </c>
    </row>
    <row r="28" spans="1:10" ht="12" customHeight="1" x14ac:dyDescent="0.3">
      <c r="A28" s="223"/>
      <c r="B28" s="465"/>
      <c r="C28" s="461"/>
      <c r="D28" s="29"/>
      <c r="E28" s="29"/>
      <c r="F28" s="28">
        <f t="shared" si="2"/>
        <v>0</v>
      </c>
      <c r="G28" s="29"/>
      <c r="H28" s="28">
        <f>F28+G28</f>
        <v>0</v>
      </c>
      <c r="I28" s="29"/>
      <c r="J28" s="227">
        <f>H28+I28</f>
        <v>0</v>
      </c>
    </row>
    <row r="29" spans="1:10" ht="12" customHeight="1" x14ac:dyDescent="0.3">
      <c r="A29" s="223"/>
      <c r="B29" s="465"/>
      <c r="C29" s="462"/>
      <c r="D29" s="29"/>
      <c r="E29" s="29"/>
      <c r="F29" s="28">
        <f t="shared" si="2"/>
        <v>0</v>
      </c>
      <c r="G29" s="29"/>
      <c r="H29" s="28">
        <f>F29+G29</f>
        <v>0</v>
      </c>
      <c r="I29" s="29"/>
      <c r="J29" s="227">
        <f>H29+I29</f>
        <v>0</v>
      </c>
    </row>
    <row r="30" spans="1:10" ht="12" customHeight="1" x14ac:dyDescent="0.3">
      <c r="A30" s="223"/>
      <c r="B30" s="106"/>
      <c r="C30" s="108"/>
      <c r="D30" s="105"/>
      <c r="E30" s="29"/>
      <c r="F30" s="28">
        <f>SUM(D30:E30)</f>
        <v>0</v>
      </c>
      <c r="G30" s="29"/>
      <c r="H30" s="28">
        <f>F30+G30</f>
        <v>0</v>
      </c>
      <c r="I30" s="29"/>
      <c r="J30" s="227">
        <f>H30+I30</f>
        <v>0</v>
      </c>
    </row>
    <row r="31" spans="1:10" ht="12" customHeight="1" x14ac:dyDescent="0.3">
      <c r="A31" s="228" t="s">
        <v>113</v>
      </c>
      <c r="B31" s="111" t="s">
        <v>227</v>
      </c>
      <c r="C31" s="127"/>
      <c r="D31" s="128">
        <f t="shared" ref="D31:J31" si="3">SUM(D17:D30)</f>
        <v>0</v>
      </c>
      <c r="E31" s="128">
        <f t="shared" si="3"/>
        <v>6844090.7700000005</v>
      </c>
      <c r="F31" s="128">
        <f t="shared" si="3"/>
        <v>6844090.7700000005</v>
      </c>
      <c r="G31" s="128">
        <f t="shared" si="3"/>
        <v>0</v>
      </c>
      <c r="H31" s="128">
        <f t="shared" si="3"/>
        <v>6844090.7700000005</v>
      </c>
      <c r="I31" s="128">
        <f t="shared" si="3"/>
        <v>0</v>
      </c>
      <c r="J31" s="229">
        <f t="shared" si="3"/>
        <v>6844090.7700000005</v>
      </c>
    </row>
    <row r="32" spans="1:10" ht="12" customHeight="1" x14ac:dyDescent="0.3">
      <c r="A32" s="255"/>
      <c r="B32" s="189"/>
      <c r="C32" s="189"/>
      <c r="D32" s="190"/>
      <c r="E32" s="191"/>
      <c r="F32" s="190"/>
      <c r="G32" s="190"/>
      <c r="H32" s="192"/>
      <c r="I32" s="190"/>
      <c r="J32" s="256"/>
    </row>
    <row r="33" spans="1:11" ht="12" customHeight="1" x14ac:dyDescent="0.3">
      <c r="A33" s="244" t="s">
        <v>115</v>
      </c>
      <c r="B33" s="1446" t="s">
        <v>116</v>
      </c>
      <c r="C33" s="1446"/>
      <c r="D33" s="100"/>
      <c r="E33" s="101"/>
      <c r="F33" s="8"/>
      <c r="G33" s="100"/>
      <c r="H33" s="8"/>
      <c r="I33" s="100"/>
      <c r="J33" s="217"/>
    </row>
    <row r="34" spans="1:11" x14ac:dyDescent="0.3">
      <c r="A34" s="218" t="s">
        <v>70</v>
      </c>
      <c r="B34" s="1449" t="s">
        <v>117</v>
      </c>
      <c r="C34" s="1450"/>
      <c r="D34" s="34">
        <f>+'Attachment A'!AM21-48424</f>
        <v>8958075.1308662947</v>
      </c>
      <c r="E34" s="34">
        <f>+'Attachment A'!AN21</f>
        <v>2241154.6660696366</v>
      </c>
      <c r="F34" s="28">
        <f>SUM(D34:E34)</f>
        <v>11199229.796935931</v>
      </c>
      <c r="G34" s="34"/>
      <c r="H34" s="36">
        <f t="shared" ref="H34:H47" si="4">F34+G34</f>
        <v>11199229.796935931</v>
      </c>
      <c r="I34" s="37"/>
      <c r="J34" s="219">
        <f t="shared" ref="J34:J48" si="5">H34+I34</f>
        <v>11199229.796935931</v>
      </c>
    </row>
    <row r="35" spans="1:11" x14ac:dyDescent="0.3">
      <c r="A35" s="220" t="s">
        <v>71</v>
      </c>
      <c r="B35" s="1433" t="s">
        <v>118</v>
      </c>
      <c r="C35" s="1434"/>
      <c r="D35" s="38"/>
      <c r="E35" s="38">
        <v>0</v>
      </c>
      <c r="F35" s="28">
        <f>SUM(D35:E35)</f>
        <v>0</v>
      </c>
      <c r="G35" s="38"/>
      <c r="H35" s="36">
        <f t="shared" si="4"/>
        <v>0</v>
      </c>
      <c r="I35" s="39"/>
      <c r="J35" s="221">
        <f t="shared" si="5"/>
        <v>0</v>
      </c>
    </row>
    <row r="36" spans="1:11" x14ac:dyDescent="0.3">
      <c r="A36" s="220" t="s">
        <v>72</v>
      </c>
      <c r="B36" s="441" t="s">
        <v>119</v>
      </c>
      <c r="C36" s="442"/>
      <c r="D36" s="38"/>
      <c r="E36" s="38">
        <f>+'Attachment A'!C40</f>
        <v>152181.55999999997</v>
      </c>
      <c r="F36" s="28">
        <f t="shared" ref="F36:F47" si="6">SUM(D36:E36)</f>
        <v>152181.55999999997</v>
      </c>
      <c r="G36" s="38"/>
      <c r="H36" s="36">
        <f t="shared" si="4"/>
        <v>152181.55999999997</v>
      </c>
      <c r="I36" s="39"/>
      <c r="J36" s="221">
        <f t="shared" si="5"/>
        <v>152181.55999999997</v>
      </c>
    </row>
    <row r="37" spans="1:11" x14ac:dyDescent="0.3">
      <c r="A37" s="220" t="s">
        <v>73</v>
      </c>
      <c r="B37" s="441" t="s">
        <v>120</v>
      </c>
      <c r="C37" s="442"/>
      <c r="D37" s="38"/>
      <c r="E37" s="38">
        <f>+'Attachment A'!C41</f>
        <v>105512.85</v>
      </c>
      <c r="F37" s="28">
        <f t="shared" si="6"/>
        <v>105512.85</v>
      </c>
      <c r="G37" s="38"/>
      <c r="H37" s="36">
        <f t="shared" si="4"/>
        <v>105512.85</v>
      </c>
      <c r="I37" s="39"/>
      <c r="J37" s="221">
        <f t="shared" si="5"/>
        <v>105512.85</v>
      </c>
    </row>
    <row r="38" spans="1:11" x14ac:dyDescent="0.3">
      <c r="A38" s="220" t="s">
        <v>80</v>
      </c>
      <c r="B38" s="441" t="s">
        <v>121</v>
      </c>
      <c r="C38" s="442"/>
      <c r="D38" s="38"/>
      <c r="E38" s="38">
        <f>+'Attachment A'!C42</f>
        <v>10926.64</v>
      </c>
      <c r="F38" s="28">
        <f t="shared" si="6"/>
        <v>10926.64</v>
      </c>
      <c r="G38" s="38"/>
      <c r="H38" s="36">
        <f t="shared" si="4"/>
        <v>10926.64</v>
      </c>
      <c r="I38" s="39"/>
      <c r="J38" s="221">
        <f t="shared" si="5"/>
        <v>10926.64</v>
      </c>
    </row>
    <row r="39" spans="1:11" x14ac:dyDescent="0.3">
      <c r="A39" s="220" t="s">
        <v>81</v>
      </c>
      <c r="B39" s="441" t="s">
        <v>106</v>
      </c>
      <c r="C39" s="442"/>
      <c r="D39" s="38"/>
      <c r="E39" s="38"/>
      <c r="F39" s="28">
        <f t="shared" si="6"/>
        <v>0</v>
      </c>
      <c r="G39" s="38"/>
      <c r="H39" s="36">
        <f>F39+G39</f>
        <v>0</v>
      </c>
      <c r="I39" s="39"/>
      <c r="J39" s="221">
        <f>H39+I39</f>
        <v>0</v>
      </c>
    </row>
    <row r="40" spans="1:11" x14ac:dyDescent="0.3">
      <c r="A40" s="220" t="s">
        <v>112</v>
      </c>
      <c r="B40" s="441" t="s">
        <v>122</v>
      </c>
      <c r="C40" s="442"/>
      <c r="D40" s="139"/>
      <c r="E40" s="38">
        <f>+'Attachment A'!C43</f>
        <v>67108.09</v>
      </c>
      <c r="F40" s="28">
        <f t="shared" si="6"/>
        <v>67108.09</v>
      </c>
      <c r="G40" s="38"/>
      <c r="H40" s="36">
        <f t="shared" si="4"/>
        <v>67108.09</v>
      </c>
      <c r="I40" s="39"/>
      <c r="J40" s="221">
        <f t="shared" si="5"/>
        <v>67108.09</v>
      </c>
    </row>
    <row r="41" spans="1:11" x14ac:dyDescent="0.3">
      <c r="A41" s="220" t="s">
        <v>114</v>
      </c>
      <c r="B41" s="446" t="s">
        <v>359</v>
      </c>
      <c r="C41" s="442"/>
      <c r="D41" s="139"/>
      <c r="E41" s="38"/>
      <c r="F41" s="28">
        <f t="shared" si="6"/>
        <v>0</v>
      </c>
      <c r="G41" s="38"/>
      <c r="H41" s="36">
        <f t="shared" si="4"/>
        <v>0</v>
      </c>
      <c r="I41" s="39"/>
      <c r="J41" s="221">
        <f t="shared" si="5"/>
        <v>0</v>
      </c>
    </row>
    <row r="42" spans="1:11" x14ac:dyDescent="0.3">
      <c r="A42" s="220" t="s">
        <v>113</v>
      </c>
      <c r="B42" s="446" t="s">
        <v>123</v>
      </c>
      <c r="C42" s="442"/>
      <c r="D42" s="139"/>
      <c r="E42" s="38"/>
      <c r="F42" s="28">
        <f t="shared" si="6"/>
        <v>0</v>
      </c>
      <c r="G42" s="38"/>
      <c r="H42" s="36">
        <f t="shared" si="4"/>
        <v>0</v>
      </c>
      <c r="I42" s="39"/>
      <c r="J42" s="221">
        <f t="shared" si="5"/>
        <v>0</v>
      </c>
    </row>
    <row r="43" spans="1:11" x14ac:dyDescent="0.3">
      <c r="A43" s="220" t="s">
        <v>124</v>
      </c>
      <c r="B43" s="26" t="s">
        <v>44</v>
      </c>
      <c r="C43" s="442"/>
      <c r="D43" s="139"/>
      <c r="E43" s="38"/>
      <c r="F43" s="28"/>
      <c r="G43" s="38"/>
      <c r="H43" s="36"/>
      <c r="I43" s="39"/>
      <c r="J43" s="221"/>
    </row>
    <row r="44" spans="1:11" x14ac:dyDescent="0.3">
      <c r="A44" s="220"/>
      <c r="B44" s="465"/>
      <c r="C44" s="460" t="s">
        <v>444</v>
      </c>
      <c r="D44" s="38"/>
      <c r="E44" s="38">
        <f>+'Attachment A'!C44</f>
        <v>28567188.539999992</v>
      </c>
      <c r="F44" s="28">
        <f t="shared" si="6"/>
        <v>28567188.539999992</v>
      </c>
      <c r="G44" s="38"/>
      <c r="H44" s="36">
        <f t="shared" si="4"/>
        <v>28567188.539999992</v>
      </c>
      <c r="I44" s="39"/>
      <c r="J44" s="221">
        <f t="shared" si="5"/>
        <v>28567188.539999992</v>
      </c>
    </row>
    <row r="45" spans="1:11" x14ac:dyDescent="0.3">
      <c r="A45" s="220"/>
      <c r="B45" s="465"/>
      <c r="C45" s="462" t="s">
        <v>1283</v>
      </c>
      <c r="D45" s="38">
        <v>48424</v>
      </c>
      <c r="E45" s="38"/>
      <c r="F45" s="28">
        <f t="shared" si="6"/>
        <v>48424</v>
      </c>
      <c r="G45" s="38"/>
      <c r="H45" s="40">
        <f t="shared" si="4"/>
        <v>48424</v>
      </c>
      <c r="I45" s="38"/>
      <c r="J45" s="222">
        <f t="shared" si="5"/>
        <v>48424</v>
      </c>
      <c r="K45" s="33"/>
    </row>
    <row r="46" spans="1:11" x14ac:dyDescent="0.3">
      <c r="A46" s="220"/>
      <c r="B46" s="465"/>
      <c r="C46" s="461"/>
      <c r="D46" s="38"/>
      <c r="E46" s="38"/>
      <c r="F46" s="28">
        <f t="shared" si="6"/>
        <v>0</v>
      </c>
      <c r="G46" s="38">
        <v>0</v>
      </c>
      <c r="H46" s="40">
        <f>F46+G46</f>
        <v>0</v>
      </c>
      <c r="I46" s="38"/>
      <c r="J46" s="222">
        <f>H46+I46</f>
        <v>0</v>
      </c>
      <c r="K46" s="33"/>
    </row>
    <row r="47" spans="1:11" x14ac:dyDescent="0.3">
      <c r="A47" s="220"/>
      <c r="B47" s="465"/>
      <c r="C47" s="462"/>
      <c r="D47" s="38"/>
      <c r="E47" s="38"/>
      <c r="F47" s="28">
        <f t="shared" si="6"/>
        <v>0</v>
      </c>
      <c r="G47" s="38"/>
      <c r="H47" s="40">
        <f t="shared" si="4"/>
        <v>0</v>
      </c>
      <c r="I47" s="38"/>
      <c r="J47" s="222">
        <f t="shared" si="5"/>
        <v>0</v>
      </c>
      <c r="K47" s="33"/>
    </row>
    <row r="48" spans="1:11" ht="12.75" customHeight="1" x14ac:dyDescent="0.3">
      <c r="A48" s="223"/>
      <c r="B48" s="110"/>
      <c r="C48" s="460"/>
      <c r="D48" s="104"/>
      <c r="E48" s="41"/>
      <c r="F48" s="28">
        <f>SUM(D48:E48)</f>
        <v>0</v>
      </c>
      <c r="G48" s="41"/>
      <c r="H48" s="40">
        <f>F48+G48</f>
        <v>0</v>
      </c>
      <c r="I48" s="41"/>
      <c r="J48" s="222">
        <f t="shared" si="5"/>
        <v>0</v>
      </c>
      <c r="K48" s="33"/>
    </row>
    <row r="49" spans="1:11" s="126" customFormat="1" x14ac:dyDescent="0.3">
      <c r="A49" s="224" t="s">
        <v>125</v>
      </c>
      <c r="B49" s="1435" t="s">
        <v>228</v>
      </c>
      <c r="C49" s="1436"/>
      <c r="D49" s="129">
        <f t="shared" ref="D49:J49" si="7">SUM(D34:D48)</f>
        <v>9006499.1308662947</v>
      </c>
      <c r="E49" s="129">
        <f t="shared" si="7"/>
        <v>31144072.346069627</v>
      </c>
      <c r="F49" s="129">
        <f t="shared" si="7"/>
        <v>40150571.476935923</v>
      </c>
      <c r="G49" s="129">
        <f t="shared" si="7"/>
        <v>0</v>
      </c>
      <c r="H49" s="129">
        <f t="shared" si="7"/>
        <v>40150571.476935923</v>
      </c>
      <c r="I49" s="129">
        <f t="shared" si="7"/>
        <v>0</v>
      </c>
      <c r="J49" s="225">
        <f t="shared" si="7"/>
        <v>40150571.476935923</v>
      </c>
    </row>
    <row r="50" spans="1:11" ht="15.75" customHeight="1" thickBot="1" x14ac:dyDescent="0.35">
      <c r="A50" s="257" t="s">
        <v>126</v>
      </c>
      <c r="B50" s="1437" t="s">
        <v>338</v>
      </c>
      <c r="C50" s="1438"/>
      <c r="D50" s="327">
        <f>D49+D31</f>
        <v>9006499.1308662947</v>
      </c>
      <c r="E50" s="327">
        <f t="shared" ref="E50:J50" si="8">E49+E31</f>
        <v>37988163.11606963</v>
      </c>
      <c r="F50" s="327">
        <f t="shared" si="8"/>
        <v>46994662.246935926</v>
      </c>
      <c r="G50" s="327">
        <f t="shared" si="8"/>
        <v>0</v>
      </c>
      <c r="H50" s="327">
        <f t="shared" si="8"/>
        <v>46994662.246935926</v>
      </c>
      <c r="I50" s="327">
        <f t="shared" si="8"/>
        <v>0</v>
      </c>
      <c r="J50" s="328">
        <f t="shared" si="8"/>
        <v>46994662.246935926</v>
      </c>
    </row>
    <row r="51" spans="1:11" ht="13.5" thickTop="1" x14ac:dyDescent="0.3">
      <c r="A51" s="258"/>
      <c r="B51" s="446"/>
      <c r="C51" s="446"/>
      <c r="D51" s="467"/>
      <c r="E51" s="467"/>
      <c r="F51" s="329"/>
      <c r="G51" s="467"/>
      <c r="H51" s="329"/>
      <c r="I51" s="467"/>
      <c r="J51" s="330"/>
    </row>
    <row r="52" spans="1:11" ht="19.5" customHeight="1" thickBot="1" x14ac:dyDescent="0.35">
      <c r="A52" s="259" t="s">
        <v>127</v>
      </c>
      <c r="B52" s="1437" t="s">
        <v>339</v>
      </c>
      <c r="C52" s="1438"/>
      <c r="D52" s="327">
        <f>D50+'P6 Form A-4 - Non-Allow Other'!D37</f>
        <v>79054160.00000003</v>
      </c>
      <c r="E52" s="327">
        <f>E50+'P6 Form A-4 - Non-Allow Other'!E37</f>
        <v>100925255.61000004</v>
      </c>
      <c r="F52" s="327">
        <f>F50+'P6 Form A-4 - Non-Allow Other'!F37</f>
        <v>179979415.61000007</v>
      </c>
      <c r="G52" s="327">
        <f>G50+'P6 Form A-4 - Non-Allow Other'!G37</f>
        <v>0</v>
      </c>
      <c r="H52" s="327">
        <f>H50+'P6 Form A-4 - Non-Allow Other'!H37</f>
        <v>179979415.61000007</v>
      </c>
      <c r="I52" s="327">
        <f>I50+'P6 Form A-4 - Non-Allow Other'!I37</f>
        <v>0</v>
      </c>
      <c r="J52" s="328">
        <f>J50+'P6 Form A-4 - Non-Allow Other'!J37</f>
        <v>179979415.61000007</v>
      </c>
    </row>
    <row r="53" spans="1:11" ht="13.5" thickTop="1" x14ac:dyDescent="0.3">
      <c r="A53" s="260"/>
      <c r="B53" s="1451"/>
      <c r="C53" s="1451"/>
      <c r="D53" s="140"/>
      <c r="E53" s="141"/>
      <c r="F53" s="140"/>
      <c r="G53" s="140"/>
      <c r="H53" s="140"/>
      <c r="I53" s="140"/>
      <c r="J53" s="261"/>
      <c r="K53" s="142"/>
    </row>
    <row r="54" spans="1:11" ht="13.5" thickBot="1" x14ac:dyDescent="0.35">
      <c r="A54" s="262"/>
      <c r="B54" s="468" t="s">
        <v>340</v>
      </c>
      <c r="C54" s="263"/>
      <c r="D54" s="469"/>
      <c r="E54" s="469"/>
      <c r="F54" s="265"/>
      <c r="G54" s="469"/>
      <c r="H54" s="265"/>
      <c r="I54" s="469"/>
      <c r="J54" s="266"/>
    </row>
    <row r="55" spans="1:11" x14ac:dyDescent="0.3">
      <c r="A55" s="134"/>
      <c r="B55" s="1452"/>
      <c r="C55" s="1452"/>
      <c r="D55" s="135"/>
      <c r="E55" s="135"/>
      <c r="F55" s="136"/>
      <c r="G55" s="135"/>
      <c r="H55" s="136"/>
      <c r="I55" s="135"/>
      <c r="J55" s="136"/>
    </row>
    <row r="56" spans="1:11" x14ac:dyDescent="0.3">
      <c r="A56" s="134"/>
      <c r="B56" s="24"/>
      <c r="C56" s="24"/>
      <c r="D56" s="135"/>
      <c r="E56" s="135"/>
      <c r="F56" s="136"/>
      <c r="G56" s="135"/>
      <c r="H56" s="136"/>
      <c r="I56" s="135"/>
      <c r="J56" s="136"/>
    </row>
  </sheetData>
  <sheetProtection password="E1AE" sheet="1" formatColumns="0" formatRows="0"/>
  <mergeCells count="19">
    <mergeCell ref="B19:C19"/>
    <mergeCell ref="B17:C17"/>
    <mergeCell ref="A1:J1"/>
    <mergeCell ref="A2:J2"/>
    <mergeCell ref="A3:J3"/>
    <mergeCell ref="A4:J4"/>
    <mergeCell ref="I6:J6"/>
    <mergeCell ref="C8:H8"/>
    <mergeCell ref="E6:F6"/>
    <mergeCell ref="B49:C49"/>
    <mergeCell ref="B50:C50"/>
    <mergeCell ref="B53:C53"/>
    <mergeCell ref="B55:C55"/>
    <mergeCell ref="B52:C52"/>
    <mergeCell ref="A11:J11"/>
    <mergeCell ref="A14:C15"/>
    <mergeCell ref="B33:C33"/>
    <mergeCell ref="B34:C34"/>
    <mergeCell ref="B35:C35"/>
  </mergeCells>
  <printOptions horizontalCentered="1" verticalCentered="1"/>
  <pageMargins left="0.25" right="0.25" top="0.25" bottom="0.5" header="0.5" footer="0.25"/>
  <pageSetup scale="70" orientation="landscape" r:id="rId1"/>
  <headerFooter alignWithMargins="0">
    <oddFooter>&amp;LDSS-16 10-24-2016&amp;RPage 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42</vt:i4>
      </vt:variant>
    </vt:vector>
  </HeadingPairs>
  <TitlesOfParts>
    <vt:vector size="70" baseType="lpstr">
      <vt:lpstr>P1 Info &amp; Certification</vt:lpstr>
      <vt:lpstr>P2 Service Sites &amp; Rel. Parties</vt:lpstr>
      <vt:lpstr>ATTACHED LIST OF SITES</vt:lpstr>
      <vt:lpstr>RECONCILIATION TO AFS</vt:lpstr>
      <vt:lpstr>SPECIAL INPUTS</vt:lpstr>
      <vt:lpstr>Attachment A</vt:lpstr>
      <vt:lpstr>P14 Form D-Allow Cost-Visit</vt:lpstr>
      <vt:lpstr>P6 Form A-4 - Non-Allow Other</vt:lpstr>
      <vt:lpstr>P7 Form A-5 - OH </vt:lpstr>
      <vt:lpstr>P3 Form A-1 Health Care</vt:lpstr>
      <vt:lpstr>P4 Form A-2 - Dental</vt:lpstr>
      <vt:lpstr>P5 Form A-3 - Mental Health</vt:lpstr>
      <vt:lpstr>P8 Form B-1 Visits-FTE Hlth </vt:lpstr>
      <vt:lpstr>P9 Form B-1 Visits-FTE Hlth2 </vt:lpstr>
      <vt:lpstr>Form B-1 Detail</vt:lpstr>
      <vt:lpstr>MEDICAL DETAIL LIST</vt:lpstr>
      <vt:lpstr>P10 Form B-2 Visits-FTE Dental</vt:lpstr>
      <vt:lpstr>Form B-2 Detail</vt:lpstr>
      <vt:lpstr>DENTAL DETAIL LIST</vt:lpstr>
      <vt:lpstr>P11 Form B-3 Visits-FTE Mental </vt:lpstr>
      <vt:lpstr>Form B-3 Detail</vt:lpstr>
      <vt:lpstr>MH DETAIL LIST</vt:lpstr>
      <vt:lpstr>P12 Form B-4 Summary Personnel</vt:lpstr>
      <vt:lpstr>P13 Form C - Adj &amp; Alloc</vt:lpstr>
      <vt:lpstr>P15 Form E-Revenues</vt:lpstr>
      <vt:lpstr>P16 Form F-Grants-Contributions</vt:lpstr>
      <vt:lpstr>P17 Form G-Cost Disall &amp; Offset</vt:lpstr>
      <vt:lpstr>Sheet1</vt:lpstr>
      <vt:lpstr>'ATTACHED LIST OF SITES'!Print_Area</vt:lpstr>
      <vt:lpstr>'Attachment A'!Print_Area</vt:lpstr>
      <vt:lpstr>'DENTAL DETAIL LIST'!Print_Area</vt:lpstr>
      <vt:lpstr>'MH DETAIL LIST'!Print_Area</vt:lpstr>
      <vt:lpstr>'P1 Info &amp; Certification'!Print_Area</vt:lpstr>
      <vt:lpstr>'P10 Form B-2 Visits-FTE Dental'!Print_Area</vt:lpstr>
      <vt:lpstr>'P11 Form B-3 Visits-FTE Mental '!Print_Area</vt:lpstr>
      <vt:lpstr>'P12 Form B-4 Summary Personnel'!Print_Area</vt:lpstr>
      <vt:lpstr>'P13 Form C - Adj &amp; Alloc'!Print_Area</vt:lpstr>
      <vt:lpstr>'P14 Form D-Allow Cost-Visit'!Print_Area</vt:lpstr>
      <vt:lpstr>'P15 Form E-Revenues'!Print_Area</vt:lpstr>
      <vt:lpstr>'P16 Form F-Grants-Contributions'!Print_Area</vt:lpstr>
      <vt:lpstr>'P17 Form G-Cost Disall &amp; Offset'!Print_Area</vt:lpstr>
      <vt:lpstr>'P2 Service Sites &amp; Rel. Parties'!Print_Area</vt:lpstr>
      <vt:lpstr>'P3 Form A-1 Health Care'!Print_Area</vt:lpstr>
      <vt:lpstr>'P4 Form A-2 - Dental'!Print_Area</vt:lpstr>
      <vt:lpstr>'P5 Form A-3 - Mental Health'!Print_Area</vt:lpstr>
      <vt:lpstr>'P6 Form A-4 - Non-Allow Other'!Print_Area</vt:lpstr>
      <vt:lpstr>'P7 Form A-5 - OH '!Print_Area</vt:lpstr>
      <vt:lpstr>'P8 Form B-1 Visits-FTE Hlth '!Print_Area</vt:lpstr>
      <vt:lpstr>'P9 Form B-1 Visits-FTE Hlth2 '!Print_Area</vt:lpstr>
      <vt:lpstr>'RECONCILIATION TO AFS'!Print_Area</vt:lpstr>
      <vt:lpstr>'SPECIAL INPUTS'!Print_Area</vt:lpstr>
      <vt:lpstr>'DENTAL DETAIL LIST'!Print_Titles</vt:lpstr>
      <vt:lpstr>'MEDICAL DETAIL LIST'!Print_Titles</vt:lpstr>
      <vt:lpstr>'MH DETAIL LIST'!Print_Titles</vt:lpstr>
      <vt:lpstr>'P10 Form B-2 Visits-FTE Dental'!Print_Titles</vt:lpstr>
      <vt:lpstr>'P11 Form B-3 Visits-FTE Mental '!Print_Titles</vt:lpstr>
      <vt:lpstr>'P12 Form B-4 Summary Personnel'!Print_Titles</vt:lpstr>
      <vt:lpstr>'P13 Form C - Adj &amp; Alloc'!Print_Titles</vt:lpstr>
      <vt:lpstr>'P14 Form D-Allow Cost-Visit'!Print_Titles</vt:lpstr>
      <vt:lpstr>'P15 Form E-Revenues'!Print_Titles</vt:lpstr>
      <vt:lpstr>'P16 Form F-Grants-Contributions'!Print_Titles</vt:lpstr>
      <vt:lpstr>'P17 Form G-Cost Disall &amp; Offset'!Print_Titles</vt:lpstr>
      <vt:lpstr>'P2 Service Sites &amp; Rel. Parties'!Print_Titles</vt:lpstr>
      <vt:lpstr>'P3 Form A-1 Health Care'!Print_Titles</vt:lpstr>
      <vt:lpstr>'P4 Form A-2 - Dental'!Print_Titles</vt:lpstr>
      <vt:lpstr>'P5 Form A-3 - Mental Health'!Print_Titles</vt:lpstr>
      <vt:lpstr>'P6 Form A-4 - Non-Allow Other'!Print_Titles</vt:lpstr>
      <vt:lpstr>'P7 Form A-5 - OH '!Print_Titles</vt:lpstr>
      <vt:lpstr>'P8 Form B-1 Visits-FTE Hlth '!Print_Titles</vt:lpstr>
      <vt:lpstr>'P9 Form B-1 Visits-FTE Hlth2 '!Print_Titles</vt:lpstr>
    </vt:vector>
  </TitlesOfParts>
  <Company>Myers &amp; Stauffer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Myers &amp; Stauffer</dc:creator>
  <cp:lastModifiedBy>Mazzatto, Nicholas</cp:lastModifiedBy>
  <cp:lastPrinted>2024-12-26T01:40:59Z</cp:lastPrinted>
  <dcterms:created xsi:type="dcterms:W3CDTF">1999-03-01T21:20:18Z</dcterms:created>
  <dcterms:modified xsi:type="dcterms:W3CDTF">2025-01-29T14:49:49Z</dcterms:modified>
</cp:coreProperties>
</file>