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activeTab="0"/>
  </bookViews>
  <sheets>
    <sheet name="Enter Sheet" sheetId="1" r:id="rId1"/>
    <sheet name="Subsidy" sheetId="2" r:id="rId2"/>
    <sheet name="DSS" sheetId="3" r:id="rId3"/>
    <sheet name="SSI" sheetId="4" r:id="rId4"/>
  </sheets>
  <definedNames>
    <definedName name="_xlnm.Print_Area" localSheetId="2">'DSS'!$A$1:$G$42</definedName>
    <definedName name="_xlnm.Print_Area" localSheetId="0">'Enter Sheet'!$A$1:$F$31</definedName>
    <definedName name="_xlnm.Print_Area" localSheetId="3">'SSI'!$A$1:$F$35</definedName>
    <definedName name="_xlnm.Print_Area" localSheetId="1">'Subsidy'!$A$1:$F$53</definedName>
  </definedNames>
  <calcPr fullCalcOnLoad="1"/>
</workbook>
</file>

<file path=xl/sharedStrings.xml><?xml version="1.0" encoding="utf-8"?>
<sst xmlns="http://schemas.openxmlformats.org/spreadsheetml/2006/main" count="183" uniqueCount="154">
  <si>
    <t xml:space="preserve">     AFDC? (Y or N)</t>
  </si>
  <si>
    <t>N</t>
  </si>
  <si>
    <t>Total Rent:</t>
  </si>
  <si>
    <t>Rent Subsidy:</t>
  </si>
  <si>
    <t>Date:</t>
  </si>
  <si>
    <t>Monthly Income</t>
  </si>
  <si>
    <t>Monthly Expenses</t>
  </si>
  <si>
    <t>1.) Gross Monthly Wages (EI)</t>
  </si>
  <si>
    <t>7.) Housing Costs</t>
  </si>
  <si>
    <t xml:space="preserve">      Monthly Rent</t>
  </si>
  <si>
    <t>2.) Adjusted Earned Income (AEI)</t>
  </si>
  <si>
    <t xml:space="preserve">      + Utilities</t>
  </si>
  <si>
    <t xml:space="preserve">     Gross Monthly Wages x 80% =</t>
  </si>
  <si>
    <t xml:space="preserve">      + Rental Insurance</t>
  </si>
  <si>
    <t xml:space="preserve">      + Other Costs</t>
  </si>
  <si>
    <t>3.) Unearnd Income (UI)</t>
  </si>
  <si>
    <t xml:space="preserve">      = Total </t>
  </si>
  <si>
    <t xml:space="preserve">     +SSDI/SSA</t>
  </si>
  <si>
    <t xml:space="preserve">     + SSI</t>
  </si>
  <si>
    <t>8.) DMR Subsidy</t>
  </si>
  <si>
    <t xml:space="preserve">     +DSS</t>
  </si>
  <si>
    <t xml:space="preserve">      Housing Costs(Line 7)</t>
  </si>
  <si>
    <t xml:space="preserve">     +Other Income (*specify below)</t>
  </si>
  <si>
    <t xml:space="preserve">     - Recipient Share</t>
  </si>
  <si>
    <t xml:space="preserve">     = UI Total</t>
  </si>
  <si>
    <t>4.) Adjusted Unearned Income (AUI)</t>
  </si>
  <si>
    <t>9.) MINARI Subsidy</t>
  </si>
  <si>
    <t xml:space="preserve">     If no Wages:</t>
  </si>
  <si>
    <t xml:space="preserve">     Line 3(UI)</t>
  </si>
  <si>
    <t xml:space="preserve">     x 90% =</t>
  </si>
  <si>
    <t xml:space="preserve">    - Line 3 (UI)</t>
  </si>
  <si>
    <t xml:space="preserve">     - Line 1 (Gross Wages)</t>
  </si>
  <si>
    <t>5.) Total Applied Income is:</t>
  </si>
  <si>
    <t xml:space="preserve">     Line 3 (UI) If Wages</t>
  </si>
  <si>
    <t xml:space="preserve">     or Line 4 (AUI) if no Wages</t>
  </si>
  <si>
    <t>10.) Greater of Lines 8 and 9</t>
  </si>
  <si>
    <t xml:space="preserve">     + Line 2 (AEI)</t>
  </si>
  <si>
    <t xml:space="preserve">     = TAI</t>
  </si>
  <si>
    <t>11.) Adjusted DMR Subsidy</t>
  </si>
  <si>
    <t>6.) Recipient Share is</t>
  </si>
  <si>
    <t xml:space="preserve">     Line 5.) (AI )</t>
  </si>
  <si>
    <t xml:space="preserve">    -DSS Shelter Allowance</t>
  </si>
  <si>
    <t xml:space="preserve">     x 45% =</t>
  </si>
  <si>
    <t>12.) Lesser of Lines 10 and 11</t>
  </si>
  <si>
    <t>13.) MAXARI Deduction</t>
  </si>
  <si>
    <t xml:space="preserve">       Gross Monthly Wages (Line 1)</t>
  </si>
  <si>
    <t xml:space="preserve">       Unearned Income (Line 3)</t>
  </si>
  <si>
    <t xml:space="preserve">      + Line 12</t>
  </si>
  <si>
    <t xml:space="preserve">      - Housing Costs(Line 7)</t>
  </si>
  <si>
    <t>14.) Gross Monthly Subsidy</t>
  </si>
  <si>
    <t xml:space="preserve">        Line 12</t>
  </si>
  <si>
    <t xml:space="preserve">    -MAXARI deduction Line 13</t>
  </si>
  <si>
    <t>15.) NET Monthly subsidy</t>
  </si>
  <si>
    <t xml:space="preserve">    Gross Monthly Subsidy</t>
  </si>
  <si>
    <t xml:space="preserve">     (Line 14)</t>
  </si>
  <si>
    <t xml:space="preserve">     - One Month Security</t>
  </si>
  <si>
    <t xml:space="preserve">     Deposit Refund</t>
  </si>
  <si>
    <t>Award:</t>
  </si>
  <si>
    <t>Monthly Earned Income</t>
  </si>
  <si>
    <t>1.) Monthly wages (gross)(combined for couples)</t>
  </si>
  <si>
    <r>
      <t xml:space="preserve">2.) Subtract EARNED INCOME DISREGARD </t>
    </r>
    <r>
      <rPr>
        <b/>
        <sz val="10"/>
        <rFont val="Univers"/>
        <family val="2"/>
      </rPr>
      <t>**</t>
    </r>
  </si>
  <si>
    <t>-</t>
  </si>
  <si>
    <t>3.) Enter result</t>
  </si>
  <si>
    <t>=</t>
  </si>
  <si>
    <t xml:space="preserve">     - IRWE deduction</t>
  </si>
  <si>
    <t>4.) Divide by two</t>
  </si>
  <si>
    <t>/</t>
  </si>
  <si>
    <t>5.) Results = APPLIED EARNED INCOME</t>
  </si>
  <si>
    <t xml:space="preserve"> Monthly Unearned Income</t>
  </si>
  <si>
    <t>6.) SSA/SSDI</t>
  </si>
  <si>
    <t>7.) SSI</t>
  </si>
  <si>
    <t>+</t>
  </si>
  <si>
    <r>
      <t xml:space="preserve">8.) Other </t>
    </r>
    <r>
      <rPr>
        <b/>
        <sz val="10"/>
        <rFont val="Univers"/>
        <family val="2"/>
      </rPr>
      <t>*</t>
    </r>
    <r>
      <rPr>
        <sz val="10"/>
        <rFont val="Univers"/>
        <family val="2"/>
      </rPr>
      <t xml:space="preserve"> (see note below)</t>
    </r>
  </si>
  <si>
    <t>9.) Total</t>
  </si>
  <si>
    <r>
      <t xml:space="preserve">10.) Subtract UNEARNED INCOME DISREGARD INCOME </t>
    </r>
    <r>
      <rPr>
        <b/>
        <sz val="10"/>
        <rFont val="Univers"/>
        <family val="2"/>
      </rPr>
      <t>*</t>
    </r>
  </si>
  <si>
    <t>11.) Result = APPLIED UNEARNED INCOME</t>
  </si>
  <si>
    <t>Total Applied Income</t>
  </si>
  <si>
    <t>12.) APPLIED EARNED INCOME (Line 4)</t>
  </si>
  <si>
    <t>13.) + APPLIED UNEARNED INCOME (Line 10)</t>
  </si>
  <si>
    <r>
      <t xml:space="preserve">14.) = TOTAL APPLIED INCOME </t>
    </r>
    <r>
      <rPr>
        <b/>
        <sz val="10"/>
        <rFont val="Univers"/>
        <family val="2"/>
      </rPr>
      <t>****</t>
    </r>
  </si>
  <si>
    <t>Needs</t>
  </si>
  <si>
    <r>
      <t>15.) Shelter Costs(</t>
    </r>
    <r>
      <rPr>
        <sz val="9"/>
        <rFont val="Univers"/>
        <family val="2"/>
      </rPr>
      <t>enter actual rent costs up to $400 max, $200 w/ roommate</t>
    </r>
    <r>
      <rPr>
        <sz val="10"/>
        <rFont val="Univers"/>
        <family val="2"/>
      </rPr>
      <t>)</t>
    </r>
  </si>
  <si>
    <t>16.) + Personal Needs Allowance (statewide standard)</t>
  </si>
  <si>
    <t>17.) + Other miscellaneous needs ***(see note below)</t>
  </si>
  <si>
    <t>18.) = Total NEEDS</t>
  </si>
  <si>
    <t>19.) Total Applied Income (line 14)(subtract)</t>
  </si>
  <si>
    <t>19.) Benefit will equal deficit</t>
  </si>
  <si>
    <t>* (8) Unemployment, trust fund, VA benefit, railroad retirement, etc.</t>
  </si>
  <si>
    <t>** (10) $183 when living alone, $250.90 with more than one roommate</t>
  </si>
  <si>
    <t>Region A:</t>
  </si>
  <si>
    <t xml:space="preserve">Individual   $574.86       Region B:     Individual     $476.19 </t>
  </si>
  <si>
    <t>Region B:</t>
  </si>
  <si>
    <t xml:space="preserve">Individual:   $476.19 </t>
  </si>
  <si>
    <t>Couple     $733.59</t>
  </si>
  <si>
    <t>Couple:    $633.49</t>
  </si>
  <si>
    <t>**** (17)   Special diets, Meals-on-Wheels, refuse removal)</t>
  </si>
  <si>
    <t>Award =</t>
  </si>
  <si>
    <t>Monthly Unearned Income</t>
  </si>
  <si>
    <t>Unearned Income (SSA/SSDI)</t>
  </si>
  <si>
    <t>Total (combined for couples)</t>
  </si>
  <si>
    <t>Subtract UNEARNED INCOME DISREGARD ($20)</t>
  </si>
  <si>
    <t>Countable Unearned Income</t>
  </si>
  <si>
    <t xml:space="preserve"> Monthly Earned Income</t>
  </si>
  <si>
    <t>Earned Income (wages)</t>
  </si>
  <si>
    <t>Subtract UNEARNED INCOME DISREGARD if no unearned income ($20)</t>
  </si>
  <si>
    <t>Subtract EARNED INCOME DISREGARD ($65)</t>
  </si>
  <si>
    <t>Total</t>
  </si>
  <si>
    <t>Divide by two</t>
  </si>
  <si>
    <t>Countable Earned Income</t>
  </si>
  <si>
    <t>Total Countable Income</t>
  </si>
  <si>
    <t>SSI (without PASS)</t>
  </si>
  <si>
    <t>For PASS Candidates Only*</t>
  </si>
  <si>
    <t>A) Total Countable Income</t>
  </si>
  <si>
    <t>PASS</t>
  </si>
  <si>
    <t>Revised Total Countable Income</t>
  </si>
  <si>
    <t>SSI (with PASS)</t>
  </si>
  <si>
    <t>Wages:</t>
  </si>
  <si>
    <t xml:space="preserve"> SSDI:</t>
  </si>
  <si>
    <t>SSI:</t>
  </si>
  <si>
    <t xml:space="preserve"> DSS:</t>
  </si>
  <si>
    <t>Other:</t>
  </si>
  <si>
    <t>Total Income with Rent Subsidy:</t>
  </si>
  <si>
    <t>After Rent Income:</t>
  </si>
  <si>
    <t>Loan Retained:</t>
  </si>
  <si>
    <t>Total Income Before Rent Subsidy:</t>
  </si>
  <si>
    <t>Less THC:</t>
  </si>
  <si>
    <t>Number of people sharing rent:</t>
  </si>
  <si>
    <t xml:space="preserve">     AFDC? (Y or N):</t>
  </si>
  <si>
    <t>Annualize:</t>
  </si>
  <si>
    <t>DSS:</t>
  </si>
  <si>
    <t>Enter actual or projected utility amount:</t>
  </si>
  <si>
    <t>Insurance :</t>
  </si>
  <si>
    <t xml:space="preserve">     + 550</t>
  </si>
  <si>
    <t xml:space="preserve">      - $700.00</t>
  </si>
  <si>
    <t>Supplemental Security Income Calculation</t>
  </si>
  <si>
    <t>DSS Cash Assistance Calculation</t>
  </si>
  <si>
    <t>Rent Subsidy Calculation</t>
  </si>
  <si>
    <t>Applicant:</t>
  </si>
  <si>
    <t>Region: SR</t>
  </si>
  <si>
    <t>Enter new SSI amount when Social Security announces cost of living increase.</t>
  </si>
  <si>
    <t>Name</t>
  </si>
  <si>
    <t>Rent Subsidy and Entitlements Projection Form</t>
  </si>
  <si>
    <t>Applicant's Rent Share:</t>
  </si>
  <si>
    <t>Applicant's Utility Share:</t>
  </si>
  <si>
    <t>Applicant's Share of THC:</t>
  </si>
  <si>
    <t>Does individual live with parents or guardians (Y/N):</t>
  </si>
  <si>
    <t xml:space="preserve">   Individual's Name:  </t>
  </si>
  <si>
    <t xml:space="preserve">             who are not parents or guardians($183 for married couples)</t>
  </si>
  <si>
    <t>***(14) Eligible for Tittle 19 without spenddown if Total Applied Income is less than the following:</t>
  </si>
  <si>
    <t xml:space="preserve">   Individual:</t>
  </si>
  <si>
    <t>Other (Unemployment, trust fund, VA benefits, railroad retirement.)</t>
  </si>
  <si>
    <t>SSI Benefit</t>
  </si>
  <si>
    <t>Federal Benefit Rate (1999 annual FBR)</t>
  </si>
  <si>
    <t>B) Federal Benefit Rate (1999 annual FBR)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</si>
</sst>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General_)"/>
    <numFmt numFmtId="166" formatCode="0.00_)"/>
    <numFmt numFmtId="167" formatCode="0.0_)"/>
    <numFmt numFmtId="168" formatCode="0_)"/>
    <numFmt numFmtId="169" formatCode="mm/dd/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$&quot;#,##0.00"/>
  </numFmts>
  <fonts count="8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sz val="10"/>
      <name val="Univers"/>
      <family val="2"/>
    </font>
    <font>
      <b/>
      <sz val="10"/>
      <name val="Univers"/>
      <family val="2"/>
    </font>
    <font>
      <sz val="10"/>
      <color indexed="12"/>
      <name val="Univers"/>
      <family val="2"/>
    </font>
    <font>
      <b/>
      <sz val="11"/>
      <name val="Univers"/>
      <family val="2"/>
    </font>
    <font>
      <b/>
      <i/>
      <sz val="10"/>
      <name val="Univers"/>
      <family val="2"/>
    </font>
    <font>
      <sz val="9"/>
      <name val="Univers"/>
      <family val="2"/>
    </font>
    <font>
      <sz val="10"/>
      <color indexed="8"/>
      <name val="Univers"/>
      <family val="2"/>
    </font>
    <font>
      <b/>
      <sz val="10"/>
      <color indexed="8"/>
      <name val="Univers"/>
      <family val="2"/>
    </font>
    <font>
      <sz val="10"/>
      <color indexed="10"/>
      <name val="Univers"/>
      <family val="2"/>
    </font>
    <font>
      <b/>
      <i/>
      <sz val="12"/>
      <name val="Univers"/>
      <family val="2"/>
    </font>
    <font>
      <b/>
      <sz val="12"/>
      <name val="Univers"/>
      <family val="2"/>
    </font>
    <font>
      <b/>
      <sz val="12"/>
      <color indexed="10"/>
      <name val="Univers"/>
      <family val="2"/>
    </font>
    <font>
      <b/>
      <sz val="12.5"/>
      <name val="Univers"/>
      <family val="2"/>
    </font>
    <font>
      <b/>
      <sz val="14"/>
      <name val="Univers"/>
      <family val="2"/>
    </font>
    <font>
      <sz val="14"/>
      <name val="Univers"/>
      <family val="2"/>
    </font>
    <font>
      <b/>
      <sz val="14"/>
      <color indexed="8"/>
      <name val="Univers"/>
      <family val="2"/>
    </font>
    <font>
      <b/>
      <i/>
      <sz val="16"/>
      <color indexed="10"/>
      <name val="Univers"/>
      <family val="2"/>
    </font>
    <font>
      <b/>
      <sz val="12"/>
      <color indexed="8"/>
      <name val="Univers"/>
      <family val="2"/>
    </font>
    <font>
      <b/>
      <i/>
      <sz val="10"/>
      <color indexed="16"/>
      <name val="Univers"/>
      <family val="2"/>
    </font>
    <font>
      <b/>
      <i/>
      <sz val="12"/>
      <color indexed="8"/>
      <name val="Univers"/>
      <family val="2"/>
    </font>
    <font>
      <b/>
      <i/>
      <sz val="14"/>
      <color indexed="10"/>
      <name val="Univers"/>
      <family val="2"/>
    </font>
    <font>
      <b/>
      <i/>
      <sz val="12"/>
      <color indexed="10"/>
      <name val="Univers"/>
      <family val="2"/>
    </font>
    <font>
      <sz val="12"/>
      <name val="Univers"/>
      <family val="2"/>
    </font>
    <font>
      <sz val="18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Univers"/>
      <family val="2"/>
    </font>
    <font>
      <sz val="10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i/>
      <sz val="16"/>
      <color indexed="8"/>
      <name val="Calibri"/>
      <family val="2"/>
    </font>
    <font>
      <sz val="24"/>
      <color indexed="8"/>
      <name val="Calibri"/>
      <family val="2"/>
    </font>
    <font>
      <sz val="24"/>
      <name val="Calibri"/>
      <family val="2"/>
    </font>
    <font>
      <b/>
      <i/>
      <sz val="16"/>
      <color indexed="10"/>
      <name val="Calibri"/>
      <family val="2"/>
    </font>
    <font>
      <sz val="16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Univers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64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 horizontal="fill"/>
      <protection/>
    </xf>
    <xf numFmtId="0" fontId="6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right"/>
      <protection/>
    </xf>
    <xf numFmtId="4" fontId="6" fillId="0" borderId="0" xfId="0" applyNumberFormat="1" applyFont="1" applyBorder="1" applyAlignment="1">
      <alignment horizontal="left"/>
    </xf>
    <xf numFmtId="0" fontId="6" fillId="0" borderId="10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166" fontId="5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14" fillId="0" borderId="1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right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 quotePrefix="1">
      <alignment horizontal="left"/>
      <protection/>
    </xf>
    <xf numFmtId="0" fontId="17" fillId="0" borderId="0" xfId="0" applyFont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4" fontId="16" fillId="33" borderId="0" xfId="0" applyNumberFormat="1" applyFont="1" applyFill="1" applyBorder="1" applyAlignment="1" applyProtection="1">
      <alignment horizontal="center"/>
      <protection/>
    </xf>
    <xf numFmtId="4" fontId="25" fillId="0" borderId="10" xfId="0" applyNumberFormat="1" applyFont="1" applyBorder="1" applyAlignment="1" applyProtection="1">
      <alignment horizontal="left"/>
      <protection/>
    </xf>
    <xf numFmtId="4" fontId="26" fillId="0" borderId="10" xfId="0" applyNumberFormat="1" applyFont="1" applyBorder="1" applyAlignment="1" applyProtection="1">
      <alignment horizontal="left"/>
      <protection/>
    </xf>
    <xf numFmtId="4" fontId="16" fillId="0" borderId="11" xfId="0" applyNumberFormat="1" applyFont="1" applyFill="1" applyBorder="1" applyAlignment="1" applyProtection="1">
      <alignment horizontal="right"/>
      <protection locked="0"/>
    </xf>
    <xf numFmtId="4" fontId="16" fillId="0" borderId="12" xfId="0" applyNumberFormat="1" applyFont="1" applyFill="1" applyBorder="1" applyAlignment="1" applyProtection="1">
      <alignment horizontal="right"/>
      <protection locked="0"/>
    </xf>
    <xf numFmtId="3" fontId="16" fillId="0" borderId="13" xfId="0" applyNumberFormat="1" applyFont="1" applyFill="1" applyBorder="1" applyAlignment="1" applyProtection="1">
      <alignment horizontal="right"/>
      <protection locked="0"/>
    </xf>
    <xf numFmtId="4" fontId="16" fillId="0" borderId="13" xfId="0" applyNumberFormat="1" applyFont="1" applyFill="1" applyBorder="1" applyAlignment="1" applyProtection="1">
      <alignment horizontal="right"/>
      <protection locked="0"/>
    </xf>
    <xf numFmtId="4" fontId="16" fillId="0" borderId="14" xfId="0" applyNumberFormat="1" applyFont="1" applyFill="1" applyBorder="1" applyAlignment="1" applyProtection="1">
      <alignment horizontal="right"/>
      <protection locked="0"/>
    </xf>
    <xf numFmtId="4" fontId="20" fillId="33" borderId="15" xfId="0" applyNumberFormat="1" applyFont="1" applyFill="1" applyBorder="1" applyAlignment="1" applyProtection="1">
      <alignment horizontal="right"/>
      <protection/>
    </xf>
    <xf numFmtId="4" fontId="16" fillId="33" borderId="16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3" fontId="16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17" fillId="0" borderId="15" xfId="0" applyFont="1" applyBorder="1" applyAlignment="1" applyProtection="1">
      <alignment horizontal="left"/>
      <protection/>
    </xf>
    <xf numFmtId="4" fontId="8" fillId="0" borderId="17" xfId="0" applyNumberFormat="1" applyFont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4" fontId="13" fillId="0" borderId="16" xfId="0" applyNumberFormat="1" applyFont="1" applyFill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/>
      <protection/>
    </xf>
    <xf numFmtId="166" fontId="5" fillId="0" borderId="17" xfId="0" applyNumberFormat="1" applyFont="1" applyBorder="1" applyAlignment="1" applyProtection="1">
      <alignment horizontal="right"/>
      <protection/>
    </xf>
    <xf numFmtId="0" fontId="5" fillId="0" borderId="15" xfId="0" applyFont="1" applyBorder="1" applyAlignment="1" applyProtection="1">
      <alignment horizontal="fill"/>
      <protection/>
    </xf>
    <xf numFmtId="0" fontId="5" fillId="0" borderId="16" xfId="0" applyFont="1" applyBorder="1" applyAlignment="1" applyProtection="1">
      <alignment horizontal="right"/>
      <protection/>
    </xf>
    <xf numFmtId="0" fontId="5" fillId="0" borderId="15" xfId="0" applyFont="1" applyBorder="1" applyAlignment="1" applyProtection="1">
      <alignment horizontal="left"/>
      <protection/>
    </xf>
    <xf numFmtId="166" fontId="23" fillId="0" borderId="16" xfId="0" applyNumberFormat="1" applyFont="1" applyBorder="1" applyAlignment="1" applyProtection="1">
      <alignment horizontal="right"/>
      <protection/>
    </xf>
    <xf numFmtId="166" fontId="23" fillId="0" borderId="17" xfId="0" applyNumberFormat="1" applyFont="1" applyBorder="1" applyAlignment="1" applyProtection="1">
      <alignment horizontal="right"/>
      <protection/>
    </xf>
    <xf numFmtId="166" fontId="11" fillId="0" borderId="16" xfId="0" applyNumberFormat="1" applyFont="1" applyBorder="1" applyAlignment="1" applyProtection="1">
      <alignment horizontal="right"/>
      <protection/>
    </xf>
    <xf numFmtId="166" fontId="11" fillId="0" borderId="17" xfId="0" applyNumberFormat="1" applyFont="1" applyBorder="1" applyAlignment="1" applyProtection="1">
      <alignment horizontal="right"/>
      <protection/>
    </xf>
    <xf numFmtId="0" fontId="5" fillId="0" borderId="18" xfId="0" applyFont="1" applyBorder="1" applyAlignment="1" applyProtection="1">
      <alignment horizontal="left"/>
      <protection/>
    </xf>
    <xf numFmtId="0" fontId="5" fillId="0" borderId="17" xfId="0" applyFont="1" applyBorder="1" applyAlignment="1" applyProtection="1">
      <alignment horizontal="right"/>
      <protection/>
    </xf>
    <xf numFmtId="168" fontId="11" fillId="0" borderId="17" xfId="0" applyNumberFormat="1" applyFont="1" applyBorder="1" applyAlignment="1" applyProtection="1">
      <alignment horizontal="right"/>
      <protection/>
    </xf>
    <xf numFmtId="166" fontId="11" fillId="0" borderId="17" xfId="0" applyNumberFormat="1" applyFont="1" applyBorder="1" applyAlignment="1" applyProtection="1">
      <alignment horizontal="right"/>
      <protection/>
    </xf>
    <xf numFmtId="0" fontId="5" fillId="0" borderId="15" xfId="0" applyFont="1" applyBorder="1" applyAlignment="1" applyProtection="1" quotePrefix="1">
      <alignment horizontal="left"/>
      <protection/>
    </xf>
    <xf numFmtId="0" fontId="5" fillId="0" borderId="16" xfId="0" applyFont="1" applyBorder="1" applyAlignment="1" applyProtection="1" quotePrefix="1">
      <alignment horizontal="left"/>
      <protection/>
    </xf>
    <xf numFmtId="0" fontId="5" fillId="0" borderId="18" xfId="0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 horizontal="left"/>
      <protection/>
    </xf>
    <xf numFmtId="0" fontId="6" fillId="0" borderId="18" xfId="0" applyFont="1" applyBorder="1" applyAlignment="1" applyProtection="1">
      <alignment horizontal="left"/>
      <protection/>
    </xf>
    <xf numFmtId="166" fontId="5" fillId="0" borderId="16" xfId="0" applyNumberFormat="1" applyFont="1" applyBorder="1" applyAlignment="1" applyProtection="1">
      <alignment horizontal="right"/>
      <protection/>
    </xf>
    <xf numFmtId="166" fontId="13" fillId="0" borderId="16" xfId="0" applyNumberFormat="1" applyFont="1" applyBorder="1" applyAlignment="1" applyProtection="1">
      <alignment horizontal="right"/>
      <protection/>
    </xf>
    <xf numFmtId="165" fontId="5" fillId="0" borderId="17" xfId="0" applyNumberFormat="1" applyFont="1" applyBorder="1" applyAlignment="1" applyProtection="1">
      <alignment horizontal="right"/>
      <protection/>
    </xf>
    <xf numFmtId="166" fontId="83" fillId="0" borderId="17" xfId="0" applyNumberFormat="1" applyFont="1" applyBorder="1" applyAlignment="1" applyProtection="1">
      <alignment horizontal="right"/>
      <protection/>
    </xf>
    <xf numFmtId="0" fontId="9" fillId="0" borderId="18" xfId="0" applyFont="1" applyBorder="1" applyAlignment="1" applyProtection="1">
      <alignment horizontal="left"/>
      <protection/>
    </xf>
    <xf numFmtId="166" fontId="12" fillId="0" borderId="16" xfId="0" applyNumberFormat="1" applyFont="1" applyBorder="1" applyAlignment="1" applyProtection="1">
      <alignment horizontal="right"/>
      <protection/>
    </xf>
    <xf numFmtId="166" fontId="13" fillId="0" borderId="17" xfId="0" applyNumberFormat="1" applyFont="1" applyBorder="1" applyAlignment="1" applyProtection="1">
      <alignment horizontal="right"/>
      <protection/>
    </xf>
    <xf numFmtId="166" fontId="5" fillId="0" borderId="17" xfId="0" applyNumberFormat="1" applyFont="1" applyBorder="1" applyAlignment="1" applyProtection="1">
      <alignment horizontal="right"/>
      <protection/>
    </xf>
    <xf numFmtId="166" fontId="5" fillId="0" borderId="15" xfId="0" applyNumberFormat="1" applyFont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 horizontal="right"/>
      <protection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/>
    </xf>
    <xf numFmtId="0" fontId="5" fillId="34" borderId="19" xfId="0" applyFont="1" applyFill="1" applyBorder="1" applyAlignment="1" applyProtection="1">
      <alignment horizontal="fill"/>
      <protection/>
    </xf>
    <xf numFmtId="0" fontId="5" fillId="34" borderId="20" xfId="0" applyFont="1" applyFill="1" applyBorder="1" applyAlignment="1" applyProtection="1">
      <alignment horizontal="fill"/>
      <protection/>
    </xf>
    <xf numFmtId="0" fontId="5" fillId="34" borderId="20" xfId="0" applyFont="1" applyFill="1" applyBorder="1" applyAlignment="1" applyProtection="1">
      <alignment horizontal="center"/>
      <protection/>
    </xf>
    <xf numFmtId="166" fontId="11" fillId="34" borderId="21" xfId="0" applyNumberFormat="1" applyFont="1" applyFill="1" applyBorder="1" applyAlignment="1" applyProtection="1">
      <alignment horizontal="right"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Border="1" applyAlignment="1">
      <alignment/>
    </xf>
    <xf numFmtId="7" fontId="51" fillId="0" borderId="0" xfId="0" applyNumberFormat="1" applyFont="1" applyAlignment="1">
      <alignment horizontal="right"/>
    </xf>
    <xf numFmtId="0" fontId="51" fillId="0" borderId="0" xfId="0" applyFont="1" applyAlignment="1">
      <alignment horizontal="left"/>
    </xf>
    <xf numFmtId="7" fontId="51" fillId="0" borderId="0" xfId="0" applyNumberFormat="1" applyFont="1" applyAlignment="1">
      <alignment/>
    </xf>
    <xf numFmtId="7" fontId="51" fillId="0" borderId="0" xfId="0" applyNumberFormat="1" applyFont="1" applyBorder="1" applyAlignment="1">
      <alignment/>
    </xf>
    <xf numFmtId="0" fontId="53" fillId="0" borderId="0" xfId="0" applyFont="1" applyFill="1" applyBorder="1" applyAlignment="1" applyProtection="1">
      <alignment horizontal="left"/>
      <protection/>
    </xf>
    <xf numFmtId="0" fontId="54" fillId="0" borderId="0" xfId="0" applyFont="1" applyFill="1" applyBorder="1" applyAlignment="1" applyProtection="1" quotePrefix="1">
      <alignment horizontal="left"/>
      <protection/>
    </xf>
    <xf numFmtId="0" fontId="53" fillId="0" borderId="0" xfId="0" applyFont="1" applyFill="1" applyBorder="1" applyAlignment="1" applyProtection="1" quotePrefix="1">
      <alignment horizontal="left"/>
      <protection/>
    </xf>
    <xf numFmtId="0" fontId="54" fillId="0" borderId="0" xfId="0" applyFont="1" applyFill="1" applyBorder="1" applyAlignment="1" applyProtection="1">
      <alignment horizontal="left"/>
      <protection/>
    </xf>
    <xf numFmtId="0" fontId="53" fillId="0" borderId="20" xfId="0" applyFont="1" applyFill="1" applyBorder="1" applyAlignment="1" applyProtection="1">
      <alignment horizontal="left"/>
      <protection/>
    </xf>
    <xf numFmtId="7" fontId="53" fillId="0" borderId="0" xfId="0" applyNumberFormat="1" applyFont="1" applyFill="1" applyBorder="1" applyAlignment="1" applyProtection="1">
      <alignment horizontal="right"/>
      <protection/>
    </xf>
    <xf numFmtId="7" fontId="53" fillId="0" borderId="22" xfId="0" applyNumberFormat="1" applyFont="1" applyFill="1" applyBorder="1" applyAlignment="1" applyProtection="1">
      <alignment horizontal="right"/>
      <protection/>
    </xf>
    <xf numFmtId="7" fontId="53" fillId="0" borderId="10" xfId="0" applyNumberFormat="1" applyFont="1" applyFill="1" applyBorder="1" applyAlignment="1" applyProtection="1">
      <alignment horizontal="right"/>
      <protection/>
    </xf>
    <xf numFmtId="7" fontId="53" fillId="0" borderId="23" xfId="0" applyNumberFormat="1" applyFont="1" applyFill="1" applyBorder="1" applyAlignment="1" applyProtection="1">
      <alignment horizontal="right"/>
      <protection/>
    </xf>
    <xf numFmtId="7" fontId="53" fillId="0" borderId="24" xfId="0" applyNumberFormat="1" applyFont="1" applyFill="1" applyBorder="1" applyAlignment="1" applyProtection="1">
      <alignment horizontal="right"/>
      <protection/>
    </xf>
    <xf numFmtId="0" fontId="53" fillId="0" borderId="0" xfId="0" applyFont="1" applyFill="1" applyBorder="1" applyAlignment="1" applyProtection="1">
      <alignment/>
      <protection/>
    </xf>
    <xf numFmtId="0" fontId="53" fillId="0" borderId="22" xfId="0" applyFont="1" applyFill="1" applyBorder="1" applyAlignment="1" applyProtection="1">
      <alignment horizontal="right"/>
      <protection/>
    </xf>
    <xf numFmtId="0" fontId="53" fillId="0" borderId="22" xfId="0" applyFont="1" applyFill="1" applyBorder="1" applyAlignment="1" applyProtection="1">
      <alignment/>
      <protection/>
    </xf>
    <xf numFmtId="7" fontId="53" fillId="0" borderId="20" xfId="0" applyNumberFormat="1" applyFont="1" applyFill="1" applyBorder="1" applyAlignment="1" applyProtection="1">
      <alignment horizontal="right"/>
      <protection/>
    </xf>
    <xf numFmtId="7" fontId="53" fillId="0" borderId="25" xfId="0" applyNumberFormat="1" applyFont="1" applyFill="1" applyBorder="1" applyAlignment="1" applyProtection="1">
      <alignment horizontal="right"/>
      <protection/>
    </xf>
    <xf numFmtId="7" fontId="53" fillId="0" borderId="0" xfId="0" applyNumberFormat="1" applyFont="1" applyFill="1" applyBorder="1" applyAlignment="1" applyProtection="1">
      <alignment/>
      <protection/>
    </xf>
    <xf numFmtId="7" fontId="53" fillId="0" borderId="16" xfId="0" applyNumberFormat="1" applyFont="1" applyFill="1" applyBorder="1" applyAlignment="1" applyProtection="1">
      <alignment/>
      <protection/>
    </xf>
    <xf numFmtId="7" fontId="53" fillId="0" borderId="10" xfId="0" applyNumberFormat="1" applyFont="1" applyFill="1" applyBorder="1" applyAlignment="1" applyProtection="1">
      <alignment/>
      <protection/>
    </xf>
    <xf numFmtId="7" fontId="53" fillId="0" borderId="24" xfId="0" applyNumberFormat="1" applyFont="1" applyFill="1" applyBorder="1" applyAlignment="1" applyProtection="1">
      <alignment/>
      <protection/>
    </xf>
    <xf numFmtId="7" fontId="53" fillId="0" borderId="17" xfId="0" applyNumberFormat="1" applyFont="1" applyFill="1" applyBorder="1" applyAlignment="1" applyProtection="1">
      <alignment/>
      <protection/>
    </xf>
    <xf numFmtId="0" fontId="53" fillId="0" borderId="16" xfId="0" applyFont="1" applyFill="1" applyBorder="1" applyAlignment="1" applyProtection="1">
      <alignment/>
      <protection/>
    </xf>
    <xf numFmtId="7" fontId="54" fillId="0" borderId="24" xfId="0" applyNumberFormat="1" applyFont="1" applyFill="1" applyBorder="1" applyAlignment="1" applyProtection="1">
      <alignment/>
      <protection/>
    </xf>
    <xf numFmtId="7" fontId="53" fillId="0" borderId="10" xfId="0" applyNumberFormat="1" applyFont="1" applyFill="1" applyBorder="1" applyAlignment="1" applyProtection="1">
      <alignment horizontal="center"/>
      <protection/>
    </xf>
    <xf numFmtId="7" fontId="53" fillId="0" borderId="17" xfId="0" applyNumberFormat="1" applyFont="1" applyFill="1" applyBorder="1" applyAlignment="1" applyProtection="1">
      <alignment horizontal="right"/>
      <protection/>
    </xf>
    <xf numFmtId="7" fontId="53" fillId="0" borderId="20" xfId="0" applyNumberFormat="1" applyFont="1" applyFill="1" applyBorder="1" applyAlignment="1" applyProtection="1">
      <alignment/>
      <protection/>
    </xf>
    <xf numFmtId="7" fontId="53" fillId="0" borderId="21" xfId="0" applyNumberFormat="1" applyFont="1" applyFill="1" applyBorder="1" applyAlignment="1" applyProtection="1">
      <alignment/>
      <protection/>
    </xf>
    <xf numFmtId="7" fontId="55" fillId="0" borderId="26" xfId="0" applyNumberFormat="1" applyFont="1" applyFill="1" applyBorder="1" applyAlignment="1" applyProtection="1" quotePrefix="1">
      <alignment horizontal="right"/>
      <protection/>
    </xf>
    <xf numFmtId="14" fontId="56" fillId="0" borderId="27" xfId="0" applyNumberFormat="1" applyFont="1" applyFill="1" applyBorder="1" applyAlignment="1" applyProtection="1">
      <alignment horizontal="center"/>
      <protection/>
    </xf>
    <xf numFmtId="7" fontId="55" fillId="0" borderId="26" xfId="0" applyNumberFormat="1" applyFont="1" applyFill="1" applyBorder="1" applyAlignment="1" applyProtection="1">
      <alignment horizontal="right"/>
      <protection/>
    </xf>
    <xf numFmtId="0" fontId="55" fillId="0" borderId="28" xfId="0" applyFont="1" applyFill="1" applyBorder="1" applyAlignment="1" applyProtection="1" quotePrefix="1">
      <alignment horizontal="left"/>
      <protection/>
    </xf>
    <xf numFmtId="4" fontId="24" fillId="0" borderId="29" xfId="0" applyNumberFormat="1" applyFont="1" applyFill="1" applyBorder="1" applyAlignment="1">
      <alignment/>
    </xf>
    <xf numFmtId="4" fontId="16" fillId="0" borderId="29" xfId="0" applyNumberFormat="1" applyFont="1" applyFill="1" applyBorder="1" applyAlignment="1" applyProtection="1">
      <alignment/>
      <protection locked="0"/>
    </xf>
    <xf numFmtId="4" fontId="15" fillId="0" borderId="30" xfId="0" applyNumberFormat="1" applyFont="1" applyFill="1" applyBorder="1" applyAlignment="1" applyProtection="1">
      <alignment horizontal="right"/>
      <protection/>
    </xf>
    <xf numFmtId="4" fontId="27" fillId="0" borderId="12" xfId="0" applyNumberFormat="1" applyFont="1" applyFill="1" applyBorder="1" applyAlignment="1" applyProtection="1">
      <alignment/>
      <protection/>
    </xf>
    <xf numFmtId="4" fontId="27" fillId="0" borderId="11" xfId="0" applyNumberFormat="1" applyFont="1" applyFill="1" applyBorder="1" applyAlignment="1" applyProtection="1">
      <alignment/>
      <protection/>
    </xf>
    <xf numFmtId="4" fontId="15" fillId="0" borderId="30" xfId="0" applyNumberFormat="1" applyFont="1" applyFill="1" applyBorder="1" applyAlignment="1" applyProtection="1">
      <alignment/>
      <protection/>
    </xf>
    <xf numFmtId="0" fontId="18" fillId="35" borderId="15" xfId="0" applyFont="1" applyFill="1" applyBorder="1" applyAlignment="1" applyProtection="1">
      <alignment horizontal="right"/>
      <protection/>
    </xf>
    <xf numFmtId="0" fontId="15" fillId="35" borderId="15" xfId="0" applyFont="1" applyFill="1" applyBorder="1" applyAlignment="1" applyProtection="1">
      <alignment horizontal="right"/>
      <protection/>
    </xf>
    <xf numFmtId="4" fontId="18" fillId="35" borderId="15" xfId="0" applyNumberFormat="1" applyFont="1" applyFill="1" applyBorder="1" applyAlignment="1" applyProtection="1">
      <alignment horizontal="right"/>
      <protection/>
    </xf>
    <xf numFmtId="4" fontId="19" fillId="35" borderId="15" xfId="0" applyNumberFormat="1" applyFont="1" applyFill="1" applyBorder="1" applyAlignment="1" applyProtection="1">
      <alignment horizontal="right"/>
      <protection/>
    </xf>
    <xf numFmtId="0" fontId="18" fillId="35" borderId="15" xfId="0" applyFont="1" applyFill="1" applyBorder="1" applyAlignment="1" applyProtection="1">
      <alignment horizontal="right"/>
      <protection/>
    </xf>
    <xf numFmtId="0" fontId="0" fillId="35" borderId="15" xfId="0" applyFill="1" applyBorder="1" applyAlignment="1" applyProtection="1">
      <alignment/>
      <protection/>
    </xf>
    <xf numFmtId="4" fontId="6" fillId="35" borderId="15" xfId="0" applyNumberFormat="1" applyFont="1" applyFill="1" applyBorder="1" applyAlignment="1" applyProtection="1">
      <alignment/>
      <protection/>
    </xf>
    <xf numFmtId="4" fontId="6" fillId="35" borderId="0" xfId="0" applyNumberFormat="1" applyFont="1" applyFill="1" applyBorder="1" applyAlignment="1" applyProtection="1">
      <alignment/>
      <protection/>
    </xf>
    <xf numFmtId="1" fontId="16" fillId="35" borderId="0" xfId="0" applyNumberFormat="1" applyFont="1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/>
      <protection/>
    </xf>
    <xf numFmtId="4" fontId="16" fillId="35" borderId="0" xfId="0" applyNumberFormat="1" applyFont="1" applyFill="1" applyBorder="1" applyAlignment="1" applyProtection="1">
      <alignment horizontal="center"/>
      <protection/>
    </xf>
    <xf numFmtId="4" fontId="15" fillId="35" borderId="0" xfId="0" applyNumberFormat="1" applyFont="1" applyFill="1" applyBorder="1" applyAlignment="1" applyProtection="1">
      <alignment horizontal="left"/>
      <protection/>
    </xf>
    <xf numFmtId="4" fontId="18" fillId="35" borderId="0" xfId="0" applyNumberFormat="1" applyFont="1" applyFill="1" applyBorder="1" applyAlignment="1" applyProtection="1">
      <alignment horizontal="right"/>
      <protection/>
    </xf>
    <xf numFmtId="4" fontId="16" fillId="35" borderId="16" xfId="0" applyNumberFormat="1" applyFont="1" applyFill="1" applyBorder="1" applyAlignment="1" applyProtection="1">
      <alignment horizontal="center"/>
      <protection/>
    </xf>
    <xf numFmtId="1" fontId="16" fillId="35" borderId="16" xfId="0" applyNumberFormat="1" applyFont="1" applyFill="1" applyBorder="1" applyAlignment="1" applyProtection="1">
      <alignment horizontal="center"/>
      <protection/>
    </xf>
    <xf numFmtId="4" fontId="6" fillId="35" borderId="19" xfId="0" applyNumberFormat="1" applyFont="1" applyFill="1" applyBorder="1" applyAlignment="1" applyProtection="1">
      <alignment/>
      <protection/>
    </xf>
    <xf numFmtId="4" fontId="6" fillId="35" borderId="20" xfId="0" applyNumberFormat="1" applyFont="1" applyFill="1" applyBorder="1" applyAlignment="1" applyProtection="1">
      <alignment/>
      <protection/>
    </xf>
    <xf numFmtId="1" fontId="16" fillId="35" borderId="20" xfId="0" applyNumberFormat="1" applyFont="1" applyFill="1" applyBorder="1" applyAlignment="1" applyProtection="1">
      <alignment horizontal="center"/>
      <protection/>
    </xf>
    <xf numFmtId="1" fontId="16" fillId="35" borderId="21" xfId="0" applyNumberFormat="1" applyFont="1" applyFill="1" applyBorder="1" applyAlignment="1" applyProtection="1">
      <alignment horizontal="center"/>
      <protection/>
    </xf>
    <xf numFmtId="0" fontId="1" fillId="34" borderId="15" xfId="0" applyFont="1" applyFill="1" applyBorder="1" applyAlignment="1" applyProtection="1">
      <alignment horizontal="left"/>
      <protection/>
    </xf>
    <xf numFmtId="0" fontId="15" fillId="34" borderId="19" xfId="0" applyFont="1" applyFill="1" applyBorder="1" applyAlignment="1" applyProtection="1">
      <alignment horizontal="right"/>
      <protection/>
    </xf>
    <xf numFmtId="4" fontId="6" fillId="34" borderId="16" xfId="0" applyNumberFormat="1" applyFont="1" applyFill="1" applyBorder="1" applyAlignment="1" applyProtection="1">
      <alignment/>
      <protection/>
    </xf>
    <xf numFmtId="4" fontId="6" fillId="34" borderId="21" xfId="0" applyNumberFormat="1" applyFont="1" applyFill="1" applyBorder="1" applyAlignment="1" applyProtection="1">
      <alignment/>
      <protection/>
    </xf>
    <xf numFmtId="4" fontId="6" fillId="34" borderId="20" xfId="0" applyNumberFormat="1" applyFont="1" applyFill="1" applyBorder="1" applyAlignment="1" applyProtection="1">
      <alignment/>
      <protection/>
    </xf>
    <xf numFmtId="0" fontId="18" fillId="34" borderId="0" xfId="0" applyFont="1" applyFill="1" applyBorder="1" applyAlignment="1" applyProtection="1">
      <alignment horizontal="right"/>
      <protection/>
    </xf>
    <xf numFmtId="1" fontId="16" fillId="34" borderId="16" xfId="0" applyNumberFormat="1" applyFont="1" applyFill="1" applyBorder="1" applyAlignment="1" applyProtection="1">
      <alignment horizontal="center"/>
      <protection/>
    </xf>
    <xf numFmtId="0" fontId="18" fillId="34" borderId="16" xfId="0" applyFont="1" applyFill="1" applyBorder="1" applyAlignment="1" applyProtection="1">
      <alignment horizontal="right"/>
      <protection/>
    </xf>
    <xf numFmtId="4" fontId="16" fillId="35" borderId="31" xfId="0" applyNumberFormat="1" applyFont="1" applyFill="1" applyBorder="1" applyAlignment="1" applyProtection="1">
      <alignment horizontal="center"/>
      <protection/>
    </xf>
    <xf numFmtId="1" fontId="16" fillId="34" borderId="15" xfId="0" applyNumberFormat="1" applyFont="1" applyFill="1" applyBorder="1" applyAlignment="1" applyProtection="1">
      <alignment horizontal="center"/>
      <protection/>
    </xf>
    <xf numFmtId="0" fontId="18" fillId="34" borderId="15" xfId="0" applyFont="1" applyFill="1" applyBorder="1" applyAlignment="1" applyProtection="1">
      <alignment horizontal="right"/>
      <protection/>
    </xf>
    <xf numFmtId="4" fontId="24" fillId="0" borderId="32" xfId="0" applyNumberFormat="1" applyFont="1" applyFill="1" applyBorder="1" applyAlignment="1">
      <alignment/>
    </xf>
    <xf numFmtId="0" fontId="18" fillId="34" borderId="33" xfId="0" applyFont="1" applyFill="1" applyBorder="1" applyAlignment="1" applyProtection="1">
      <alignment horizontal="right"/>
      <protection/>
    </xf>
    <xf numFmtId="4" fontId="24" fillId="0" borderId="34" xfId="0" applyNumberFormat="1" applyFont="1" applyFill="1" applyBorder="1" applyAlignment="1">
      <alignment/>
    </xf>
    <xf numFmtId="4" fontId="16" fillId="34" borderId="35" xfId="0" applyNumberFormat="1" applyFont="1" applyFill="1" applyBorder="1" applyAlignment="1" applyProtection="1">
      <alignment horizontal="center"/>
      <protection/>
    </xf>
    <xf numFmtId="0" fontId="18" fillId="34" borderId="36" xfId="0" applyFont="1" applyFill="1" applyBorder="1" applyAlignment="1" applyProtection="1">
      <alignment horizontal="right"/>
      <protection/>
    </xf>
    <xf numFmtId="0" fontId="0" fillId="34" borderId="37" xfId="0" applyFill="1" applyBorder="1" applyAlignment="1" applyProtection="1">
      <alignment/>
      <protection/>
    </xf>
    <xf numFmtId="0" fontId="18" fillId="34" borderId="38" xfId="0" applyFont="1" applyFill="1" applyBorder="1" applyAlignment="1" applyProtection="1">
      <alignment horizontal="right"/>
      <protection/>
    </xf>
    <xf numFmtId="0" fontId="18" fillId="34" borderId="39" xfId="0" applyFont="1" applyFill="1" applyBorder="1" applyAlignment="1" applyProtection="1">
      <alignment horizontal="right"/>
      <protection/>
    </xf>
    <xf numFmtId="1" fontId="16" fillId="35" borderId="40" xfId="0" applyNumberFormat="1" applyFont="1" applyFill="1" applyBorder="1" applyAlignment="1" applyProtection="1">
      <alignment horizontal="center"/>
      <protection/>
    </xf>
    <xf numFmtId="4" fontId="16" fillId="35" borderId="40" xfId="0" applyNumberFormat="1" applyFont="1" applyFill="1" applyBorder="1" applyAlignment="1" applyProtection="1">
      <alignment horizontal="center"/>
      <protection/>
    </xf>
    <xf numFmtId="0" fontId="18" fillId="35" borderId="41" xfId="0" applyFont="1" applyFill="1" applyBorder="1" applyAlignment="1" applyProtection="1">
      <alignment horizontal="right"/>
      <protection/>
    </xf>
    <xf numFmtId="0" fontId="18" fillId="0" borderId="28" xfId="0" applyFont="1" applyFill="1" applyBorder="1" applyAlignment="1" applyProtection="1">
      <alignment horizontal="right"/>
      <protection/>
    </xf>
    <xf numFmtId="4" fontId="24" fillId="0" borderId="42" xfId="0" applyNumberFormat="1" applyFont="1" applyFill="1" applyBorder="1" applyAlignment="1">
      <alignment/>
    </xf>
    <xf numFmtId="1" fontId="22" fillId="34" borderId="0" xfId="0" applyNumberFormat="1" applyFont="1" applyFill="1" applyBorder="1" applyAlignment="1" applyProtection="1">
      <alignment horizontal="center"/>
      <protection/>
    </xf>
    <xf numFmtId="4" fontId="22" fillId="34" borderId="43" xfId="0" applyNumberFormat="1" applyFont="1" applyFill="1" applyBorder="1" applyAlignment="1" applyProtection="1">
      <alignment horizontal="right"/>
      <protection/>
    </xf>
    <xf numFmtId="4" fontId="22" fillId="34" borderId="44" xfId="0" applyNumberFormat="1" applyFont="1" applyFill="1" applyBorder="1" applyAlignment="1" applyProtection="1">
      <alignment horizontal="right"/>
      <protection/>
    </xf>
    <xf numFmtId="3" fontId="16" fillId="0" borderId="45" xfId="0" applyNumberFormat="1" applyFont="1" applyFill="1" applyBorder="1" applyAlignment="1" applyProtection="1">
      <alignment horizontal="center"/>
      <protection locked="0"/>
    </xf>
    <xf numFmtId="4" fontId="22" fillId="34" borderId="30" xfId="0" applyNumberFormat="1" applyFont="1" applyFill="1" applyBorder="1" applyAlignment="1" applyProtection="1">
      <alignment horizontal="right"/>
      <protection/>
    </xf>
    <xf numFmtId="0" fontId="53" fillId="0" borderId="15" xfId="0" applyFont="1" applyFill="1" applyBorder="1" applyAlignment="1" applyProtection="1">
      <alignment/>
      <protection/>
    </xf>
    <xf numFmtId="0" fontId="54" fillId="0" borderId="15" xfId="0" applyFont="1" applyFill="1" applyBorder="1" applyAlignment="1" applyProtection="1" quotePrefix="1">
      <alignment horizontal="left"/>
      <protection/>
    </xf>
    <xf numFmtId="0" fontId="53" fillId="0" borderId="15" xfId="0" applyFont="1" applyFill="1" applyBorder="1" applyAlignment="1" applyProtection="1" quotePrefix="1">
      <alignment horizontal="left"/>
      <protection/>
    </xf>
    <xf numFmtId="0" fontId="54" fillId="0" borderId="15" xfId="0" applyFont="1" applyFill="1" applyBorder="1" applyAlignment="1" applyProtection="1">
      <alignment/>
      <protection/>
    </xf>
    <xf numFmtId="0" fontId="53" fillId="0" borderId="19" xfId="0" applyFont="1" applyFill="1" applyBorder="1" applyAlignment="1" applyProtection="1">
      <alignment/>
      <protection/>
    </xf>
    <xf numFmtId="0" fontId="0" fillId="36" borderId="28" xfId="0" applyFill="1" applyBorder="1" applyAlignment="1" applyProtection="1">
      <alignment/>
      <protection/>
    </xf>
    <xf numFmtId="0" fontId="0" fillId="36" borderId="26" xfId="0" applyFill="1" applyBorder="1" applyAlignment="1" applyProtection="1">
      <alignment/>
      <protection/>
    </xf>
    <xf numFmtId="0" fontId="0" fillId="36" borderId="27" xfId="0" applyFill="1" applyBorder="1" applyAlignment="1" applyProtection="1">
      <alignment/>
      <protection/>
    </xf>
    <xf numFmtId="0" fontId="0" fillId="2" borderId="41" xfId="0" applyFill="1" applyBorder="1" applyAlignment="1" applyProtection="1">
      <alignment/>
      <protection/>
    </xf>
    <xf numFmtId="0" fontId="0" fillId="2" borderId="4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30" fillId="34" borderId="41" xfId="0" applyFont="1" applyFill="1" applyBorder="1" applyAlignment="1" applyProtection="1">
      <alignment horizontal="center" vertical="center" wrapText="1"/>
      <protection/>
    </xf>
    <xf numFmtId="0" fontId="4" fillId="34" borderId="40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4" fontId="21" fillId="37" borderId="15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36" borderId="28" xfId="0" applyFill="1" applyBorder="1" applyAlignment="1" applyProtection="1">
      <alignment/>
      <protection/>
    </xf>
    <xf numFmtId="0" fontId="0" fillId="36" borderId="26" xfId="0" applyFill="1" applyBorder="1" applyAlignment="1" applyProtection="1">
      <alignment/>
      <protection/>
    </xf>
    <xf numFmtId="0" fontId="0" fillId="36" borderId="27" xfId="0" applyFill="1" applyBorder="1" applyAlignment="1" applyProtection="1">
      <alignment/>
      <protection/>
    </xf>
    <xf numFmtId="0" fontId="0" fillId="38" borderId="28" xfId="0" applyFont="1" applyFill="1" applyBorder="1" applyAlignment="1" applyProtection="1">
      <alignment/>
      <protection/>
    </xf>
    <xf numFmtId="0" fontId="0" fillId="38" borderId="26" xfId="0" applyFill="1" applyBorder="1" applyAlignment="1" applyProtection="1">
      <alignment/>
      <protection/>
    </xf>
    <xf numFmtId="0" fontId="0" fillId="38" borderId="27" xfId="0" applyFill="1" applyBorder="1" applyAlignment="1" applyProtection="1">
      <alignment/>
      <protection/>
    </xf>
    <xf numFmtId="0" fontId="57" fillId="34" borderId="41" xfId="0" applyFont="1" applyFill="1" applyBorder="1" applyAlignment="1" applyProtection="1">
      <alignment horizontal="center" vertical="center"/>
      <protection/>
    </xf>
    <xf numFmtId="0" fontId="58" fillId="0" borderId="40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7" fontId="59" fillId="0" borderId="26" xfId="0" applyNumberFormat="1" applyFont="1" applyFill="1" applyBorder="1" applyAlignment="1" applyProtection="1">
      <alignment horizontal="left"/>
      <protection/>
    </xf>
    <xf numFmtId="0" fontId="60" fillId="0" borderId="26" xfId="0" applyFont="1" applyBorder="1" applyAlignment="1">
      <alignment horizontal="left"/>
    </xf>
    <xf numFmtId="0" fontId="61" fillId="39" borderId="28" xfId="0" applyFont="1" applyFill="1" applyBorder="1" applyAlignment="1" applyProtection="1">
      <alignment horizontal="center"/>
      <protection/>
    </xf>
    <xf numFmtId="0" fontId="28" fillId="0" borderId="26" xfId="0" applyFont="1" applyBorder="1" applyAlignment="1">
      <alignment horizontal="center"/>
    </xf>
    <xf numFmtId="0" fontId="28" fillId="0" borderId="46" xfId="0" applyFont="1" applyBorder="1" applyAlignment="1">
      <alignment horizontal="center"/>
    </xf>
    <xf numFmtId="0" fontId="62" fillId="34" borderId="28" xfId="0" applyFont="1" applyFill="1" applyBorder="1" applyAlignment="1" applyProtection="1">
      <alignment horizontal="center" vertical="center"/>
      <protection/>
    </xf>
    <xf numFmtId="0" fontId="62" fillId="34" borderId="26" xfId="0" applyFont="1" applyFill="1" applyBorder="1" applyAlignment="1">
      <alignment horizontal="center" vertical="center"/>
    </xf>
    <xf numFmtId="0" fontId="62" fillId="34" borderId="27" xfId="0" applyFont="1" applyFill="1" applyBorder="1" applyAlignment="1">
      <alignment horizontal="center" vertical="center"/>
    </xf>
    <xf numFmtId="0" fontId="28" fillId="34" borderId="28" xfId="0" applyFont="1" applyFill="1" applyBorder="1" applyAlignment="1" applyProtection="1">
      <alignment horizontal="center" vertical="center"/>
      <protection/>
    </xf>
    <xf numFmtId="0" fontId="28" fillId="34" borderId="26" xfId="0" applyFont="1" applyFill="1" applyBorder="1" applyAlignment="1">
      <alignment horizontal="center" vertical="center"/>
    </xf>
    <xf numFmtId="0" fontId="28" fillId="34" borderId="27" xfId="0" applyFont="1" applyFill="1" applyBorder="1" applyAlignment="1">
      <alignment horizontal="center" vertical="center"/>
    </xf>
    <xf numFmtId="0" fontId="0" fillId="35" borderId="47" xfId="0" applyFill="1" applyBorder="1" applyAlignment="1" applyProtection="1">
      <alignment/>
      <protection/>
    </xf>
    <xf numFmtId="0" fontId="31" fillId="2" borderId="28" xfId="0" applyFont="1" applyFill="1" applyBorder="1" applyAlignment="1" applyProtection="1">
      <alignment horizontal="center" vertical="center"/>
      <protection/>
    </xf>
    <xf numFmtId="0" fontId="29" fillId="2" borderId="26" xfId="0" applyFont="1" applyFill="1" applyBorder="1" applyAlignment="1">
      <alignment vertical="center"/>
    </xf>
    <xf numFmtId="0" fontId="29" fillId="2" borderId="27" xfId="0" applyFont="1" applyFill="1" applyBorder="1" applyAlignment="1">
      <alignment vertical="center"/>
    </xf>
    <xf numFmtId="0" fontId="15" fillId="0" borderId="48" xfId="0" applyFont="1" applyBorder="1" applyAlignment="1" applyProtection="1">
      <alignment horizontal="center"/>
      <protection/>
    </xf>
    <xf numFmtId="0" fontId="63" fillId="0" borderId="24" xfId="0" applyFont="1" applyBorder="1" applyAlignment="1">
      <alignment horizontal="center"/>
    </xf>
    <xf numFmtId="0" fontId="63" fillId="0" borderId="49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4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8" sqref="D8"/>
    </sheetView>
  </sheetViews>
  <sheetFormatPr defaultColWidth="9.140625" defaultRowHeight="12.75"/>
  <cols>
    <col min="1" max="1" width="61.8515625" style="0" customWidth="1"/>
    <col min="2" max="2" width="12.8515625" style="0" customWidth="1"/>
    <col min="3" max="3" width="8.00390625" style="0" customWidth="1"/>
    <col min="4" max="4" width="19.8515625" style="0" bestFit="1" customWidth="1"/>
    <col min="5" max="5" width="11.00390625" style="0" bestFit="1" customWidth="1"/>
    <col min="6" max="6" width="17.8515625" style="0" customWidth="1"/>
    <col min="7" max="7" width="9.140625" style="53" customWidth="1"/>
  </cols>
  <sheetData>
    <row r="1" spans="1:6" ht="27" thickBot="1">
      <c r="A1" s="230" t="s">
        <v>141</v>
      </c>
      <c r="B1" s="231"/>
      <c r="C1" s="231"/>
      <c r="D1" s="231"/>
      <c r="E1" s="231"/>
      <c r="F1" s="232"/>
    </row>
    <row r="2" spans="1:7" ht="22.5" customHeight="1" thickBot="1">
      <c r="A2" s="209"/>
      <c r="B2" s="210"/>
      <c r="C2" s="210"/>
      <c r="D2" s="210"/>
      <c r="E2" s="210"/>
      <c r="F2" s="211"/>
      <c r="G2" s="48"/>
    </row>
    <row r="3" spans="1:7" ht="21" thickBot="1">
      <c r="A3" s="44" t="s">
        <v>137</v>
      </c>
      <c r="B3" s="206" t="s">
        <v>140</v>
      </c>
      <c r="C3" s="207"/>
      <c r="D3" s="208"/>
      <c r="E3" s="36"/>
      <c r="F3" s="45"/>
      <c r="G3" s="48"/>
    </row>
    <row r="4" spans="1:7" ht="13.5" thickBot="1">
      <c r="A4" s="212"/>
      <c r="B4" s="213"/>
      <c r="C4" s="213"/>
      <c r="D4" s="213"/>
      <c r="E4" s="213"/>
      <c r="F4" s="214"/>
      <c r="G4" s="48"/>
    </row>
    <row r="5" spans="1:7" ht="18.75">
      <c r="A5" s="178" t="s">
        <v>2</v>
      </c>
      <c r="B5" s="40">
        <v>2400</v>
      </c>
      <c r="C5" s="176"/>
      <c r="D5" s="176"/>
      <c r="E5" s="177"/>
      <c r="F5" s="165"/>
      <c r="G5" s="48"/>
    </row>
    <row r="6" spans="1:7" ht="18.75">
      <c r="A6" s="138" t="s">
        <v>126</v>
      </c>
      <c r="B6" s="41">
        <v>3</v>
      </c>
      <c r="C6" s="149"/>
      <c r="D6" s="146"/>
      <c r="E6" s="148"/>
      <c r="F6" s="151"/>
      <c r="G6" s="48"/>
    </row>
    <row r="7" spans="1:7" ht="19.5" thickBot="1">
      <c r="A7" s="139" t="s">
        <v>130</v>
      </c>
      <c r="B7" s="43">
        <v>200</v>
      </c>
      <c r="C7" s="149"/>
      <c r="D7" s="150"/>
      <c r="E7" s="145"/>
      <c r="F7" s="151"/>
      <c r="G7" s="48"/>
    </row>
    <row r="8" spans="1:7" ht="18.75">
      <c r="A8" s="138" t="s">
        <v>142</v>
      </c>
      <c r="B8" s="183">
        <f>Subsidy!E6</f>
        <v>800</v>
      </c>
      <c r="C8" s="149"/>
      <c r="D8" s="150"/>
      <c r="E8" s="145"/>
      <c r="F8" s="151"/>
      <c r="G8" s="48"/>
    </row>
    <row r="9" spans="1:8" ht="19.5" thickBot="1">
      <c r="A9" s="138" t="s">
        <v>143</v>
      </c>
      <c r="B9" s="182">
        <f>+Subsidy!E7</f>
        <v>66.66666666666667</v>
      </c>
      <c r="C9" s="149"/>
      <c r="D9" s="150"/>
      <c r="E9" s="145"/>
      <c r="F9" s="151"/>
      <c r="G9" s="48"/>
      <c r="H9" s="46"/>
    </row>
    <row r="10" spans="1:7" ht="19.5" thickBot="1">
      <c r="A10" s="138" t="s">
        <v>144</v>
      </c>
      <c r="B10" s="185">
        <f>+B8+B9</f>
        <v>866.6666666666666</v>
      </c>
      <c r="C10" s="146"/>
      <c r="D10" s="169" t="s">
        <v>3</v>
      </c>
      <c r="E10" s="170">
        <f>+Subsidy!F52</f>
        <v>411</v>
      </c>
      <c r="F10" s="171"/>
      <c r="G10" s="48"/>
    </row>
    <row r="11" spans="1:7" ht="15.75">
      <c r="A11" s="139" t="s">
        <v>145</v>
      </c>
      <c r="B11" s="184" t="s">
        <v>1</v>
      </c>
      <c r="C11" s="146"/>
      <c r="D11" s="166"/>
      <c r="E11" s="181"/>
      <c r="F11" s="163"/>
      <c r="G11" s="48"/>
    </row>
    <row r="12" spans="1:7" ht="18.75">
      <c r="A12" s="140" t="s">
        <v>127</v>
      </c>
      <c r="B12" s="47" t="s">
        <v>1</v>
      </c>
      <c r="C12" s="149"/>
      <c r="D12" s="172" t="s">
        <v>118</v>
      </c>
      <c r="E12" s="132">
        <f>+SSI!F2</f>
        <v>0</v>
      </c>
      <c r="F12" s="173"/>
      <c r="G12" s="48"/>
    </row>
    <row r="13" spans="1:7" ht="18.75">
      <c r="A13" s="140" t="s">
        <v>123</v>
      </c>
      <c r="B13" s="42">
        <v>0</v>
      </c>
      <c r="C13" s="149"/>
      <c r="D13" s="167"/>
      <c r="E13" s="162"/>
      <c r="F13" s="164"/>
      <c r="G13" s="48"/>
    </row>
    <row r="14" spans="1:7" ht="19.5" thickBot="1">
      <c r="A14" s="140" t="s">
        <v>131</v>
      </c>
      <c r="B14" s="43">
        <v>10</v>
      </c>
      <c r="C14" s="149"/>
      <c r="D14" s="174" t="s">
        <v>129</v>
      </c>
      <c r="E14" s="168">
        <f>+DSS!G2</f>
        <v>0</v>
      </c>
      <c r="F14" s="175"/>
      <c r="G14" s="48"/>
    </row>
    <row r="15" spans="1:7" ht="19.5" thickBot="1">
      <c r="A15" s="141"/>
      <c r="B15" s="148"/>
      <c r="C15" s="149"/>
      <c r="D15" s="146"/>
      <c r="E15" s="148"/>
      <c r="F15" s="151"/>
      <c r="G15" s="48"/>
    </row>
    <row r="16" spans="1:7" ht="18.75">
      <c r="A16" s="142" t="s">
        <v>116</v>
      </c>
      <c r="B16" s="40">
        <v>300</v>
      </c>
      <c r="C16" s="146"/>
      <c r="D16" s="200" t="s">
        <v>139</v>
      </c>
      <c r="E16" s="201"/>
      <c r="F16" s="202"/>
      <c r="G16" s="48"/>
    </row>
    <row r="17" spans="1:7" ht="18.75">
      <c r="A17" s="142" t="s">
        <v>117</v>
      </c>
      <c r="B17" s="42">
        <v>794</v>
      </c>
      <c r="C17" s="146"/>
      <c r="D17" s="203"/>
      <c r="E17" s="204"/>
      <c r="F17" s="205"/>
      <c r="G17" s="48"/>
    </row>
    <row r="18" spans="1:7" ht="18.75">
      <c r="A18" s="142" t="s">
        <v>118</v>
      </c>
      <c r="B18" s="42">
        <v>0</v>
      </c>
      <c r="C18" s="146"/>
      <c r="D18" s="157"/>
      <c r="E18" s="133">
        <v>840</v>
      </c>
      <c r="F18" s="159"/>
      <c r="G18" s="48"/>
    </row>
    <row r="19" spans="1:7" ht="19.5" thickBot="1">
      <c r="A19" s="142" t="s">
        <v>119</v>
      </c>
      <c r="B19" s="42">
        <v>0</v>
      </c>
      <c r="C19" s="148"/>
      <c r="D19" s="158"/>
      <c r="E19" s="161"/>
      <c r="F19" s="160"/>
      <c r="G19" s="48"/>
    </row>
    <row r="20" spans="1:7" ht="19.5" thickBot="1">
      <c r="A20" s="142" t="s">
        <v>120</v>
      </c>
      <c r="B20" s="39">
        <v>0</v>
      </c>
      <c r="C20" s="145"/>
      <c r="D20" s="146"/>
      <c r="E20" s="146"/>
      <c r="F20" s="152"/>
      <c r="G20" s="48"/>
    </row>
    <row r="21" spans="1:7" ht="16.5" thickBot="1">
      <c r="A21" s="143"/>
      <c r="B21" s="229"/>
      <c r="C21" s="145"/>
      <c r="D21" s="146"/>
      <c r="E21" s="146"/>
      <c r="F21" s="152"/>
      <c r="G21" s="48"/>
    </row>
    <row r="22" spans="1:7" ht="19.5" thickBot="1">
      <c r="A22" s="142" t="s">
        <v>124</v>
      </c>
      <c r="B22" s="134">
        <f>SUM(B16:B20)</f>
        <v>1094</v>
      </c>
      <c r="C22" s="145"/>
      <c r="D22" s="179" t="s">
        <v>128</v>
      </c>
      <c r="E22" s="180">
        <f>+E10*12</f>
        <v>4932</v>
      </c>
      <c r="F22" s="152"/>
      <c r="G22" s="48"/>
    </row>
    <row r="23" spans="1:7" ht="16.5" thickBot="1">
      <c r="A23" s="144"/>
      <c r="B23" s="145"/>
      <c r="C23" s="145"/>
      <c r="D23" s="146"/>
      <c r="E23" s="146"/>
      <c r="F23" s="152"/>
      <c r="G23" s="48"/>
    </row>
    <row r="24" spans="1:7" ht="18.75">
      <c r="A24" s="140" t="s">
        <v>121</v>
      </c>
      <c r="B24" s="135">
        <f>+B22+E10</f>
        <v>1505</v>
      </c>
      <c r="C24" s="145"/>
      <c r="D24" s="146"/>
      <c r="E24" s="146"/>
      <c r="F24" s="152"/>
      <c r="G24" s="48"/>
    </row>
    <row r="25" spans="1:7" ht="19.5" thickBot="1">
      <c r="A25" s="140" t="s">
        <v>125</v>
      </c>
      <c r="B25" s="136">
        <f>+Subsidy!F10</f>
        <v>876.6666666666666</v>
      </c>
      <c r="C25" s="145"/>
      <c r="D25" s="146"/>
      <c r="E25" s="146"/>
      <c r="F25" s="152"/>
      <c r="G25" s="48"/>
    </row>
    <row r="26" spans="1:7" ht="16.5" thickBot="1">
      <c r="A26" s="143"/>
      <c r="B26" s="147"/>
      <c r="C26" s="145"/>
      <c r="D26" s="146"/>
      <c r="E26" s="146"/>
      <c r="F26" s="152"/>
      <c r="G26" s="48"/>
    </row>
    <row r="27" spans="1:7" ht="19.5" thickBot="1">
      <c r="A27" s="140" t="s">
        <v>122</v>
      </c>
      <c r="B27" s="137">
        <f>+B24-B25</f>
        <v>628.3333333333334</v>
      </c>
      <c r="C27" s="145"/>
      <c r="D27" s="146"/>
      <c r="E27" s="146"/>
      <c r="F27" s="152"/>
      <c r="G27" s="48"/>
    </row>
    <row r="28" spans="1:7" ht="16.5" thickBot="1">
      <c r="A28" s="153"/>
      <c r="B28" s="154"/>
      <c r="C28" s="154"/>
      <c r="D28" s="155"/>
      <c r="E28" s="155"/>
      <c r="F28" s="156"/>
      <c r="G28" s="48"/>
    </row>
    <row r="29" spans="1:7" ht="12.75">
      <c r="A29" s="194"/>
      <c r="B29" s="195"/>
      <c r="C29" s="195"/>
      <c r="D29" s="195"/>
      <c r="E29" s="195"/>
      <c r="F29" s="196"/>
      <c r="G29" s="48"/>
    </row>
    <row r="30" spans="1:7" ht="13.5" thickBot="1">
      <c r="A30" s="197"/>
      <c r="B30" s="198"/>
      <c r="C30" s="198"/>
      <c r="D30" s="198"/>
      <c r="E30" s="198"/>
      <c r="F30" s="199"/>
      <c r="G30" s="48"/>
    </row>
    <row r="31" spans="1:7" ht="13.5" thickBot="1">
      <c r="A31" s="191"/>
      <c r="B31" s="192"/>
      <c r="C31" s="192"/>
      <c r="D31" s="192"/>
      <c r="E31" s="192"/>
      <c r="F31" s="193"/>
      <c r="G31" s="48"/>
    </row>
    <row r="32" spans="1:7" ht="12.75">
      <c r="A32" s="48"/>
      <c r="B32" s="48"/>
      <c r="C32" s="48"/>
      <c r="D32" s="48"/>
      <c r="E32" s="48"/>
      <c r="F32" s="48"/>
      <c r="G32" s="48"/>
    </row>
    <row r="33" spans="4:7" s="53" customFormat="1" ht="12.75">
      <c r="D33" s="48"/>
      <c r="E33" s="48"/>
      <c r="F33" s="48"/>
      <c r="G33" s="48"/>
    </row>
    <row r="34" spans="4:6" s="53" customFormat="1" ht="12.75">
      <c r="D34" s="48"/>
      <c r="E34" s="48"/>
      <c r="F34" s="48"/>
    </row>
    <row r="35" s="53" customFormat="1" ht="55.5" customHeight="1">
      <c r="G35" s="48"/>
    </row>
    <row r="36" s="53" customFormat="1" ht="12.75"/>
    <row r="37" s="53" customFormat="1" ht="12.75"/>
    <row r="38" s="53" customFormat="1" ht="12.75"/>
    <row r="39" s="53" customFormat="1" ht="12.75"/>
    <row r="40" spans="1:6" s="53" customFormat="1" ht="12.75">
      <c r="A40"/>
      <c r="B40"/>
      <c r="C40"/>
      <c r="D40"/>
      <c r="E40"/>
      <c r="F40"/>
    </row>
  </sheetData>
  <sheetProtection sheet="1"/>
  <mergeCells count="5">
    <mergeCell ref="A1:F1"/>
    <mergeCell ref="D16:F17"/>
    <mergeCell ref="B3:D3"/>
    <mergeCell ref="A2:F2"/>
    <mergeCell ref="A4:F4"/>
  </mergeCells>
  <printOptions gridLines="1" horizontalCentered="1"/>
  <pageMargins left="0.17" right="0.2" top="0.4" bottom="0.19" header="0.19" footer="0.17"/>
  <pageSetup fitToHeight="1" fitToWidth="1" horizontalDpi="600" verticalDpi="600" orientation="landscape" r:id="rId2"/>
  <headerFooter alignWithMargins="0">
    <oddFooter>&amp;LUpdated Calculation as of 1/2022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53"/>
  <sheetViews>
    <sheetView showGridLines="0" zoomScale="85" zoomScaleNormal="85" zoomScalePageLayoutView="0" workbookViewId="0" topLeftCell="A1">
      <pane ySplit="2" topLeftCell="A21" activePane="bottomLeft" state="frozen"/>
      <selection pane="topLeft" activeCell="A1" sqref="A1"/>
      <selection pane="bottomLeft" activeCell="F40" sqref="F40"/>
    </sheetView>
  </sheetViews>
  <sheetFormatPr defaultColWidth="9.140625" defaultRowHeight="12.75"/>
  <cols>
    <col min="1" max="1" width="43.7109375" style="97" bestFit="1" customWidth="1"/>
    <col min="2" max="3" width="17.00390625" style="98" customWidth="1"/>
    <col min="4" max="4" width="40.8515625" style="99" customWidth="1"/>
    <col min="5" max="5" width="14.00390625" style="100" customWidth="1"/>
    <col min="6" max="6" width="16.140625" style="101" bestFit="1" customWidth="1"/>
    <col min="7" max="16384" width="9.140625" style="95" customWidth="1"/>
  </cols>
  <sheetData>
    <row r="1" spans="1:6" ht="36" customHeight="1" thickBot="1">
      <c r="A1" s="215" t="s">
        <v>136</v>
      </c>
      <c r="B1" s="216"/>
      <c r="C1" s="216"/>
      <c r="D1" s="216"/>
      <c r="E1" s="216"/>
      <c r="F1" s="217"/>
    </row>
    <row r="2" spans="1:6" ht="34.5" customHeight="1" thickBot="1">
      <c r="A2" s="131" t="s">
        <v>138</v>
      </c>
      <c r="B2" s="128" t="s">
        <v>137</v>
      </c>
      <c r="C2" s="218" t="str">
        <f>+'Enter Sheet'!B3</f>
        <v>Name</v>
      </c>
      <c r="D2" s="219"/>
      <c r="E2" s="130" t="s">
        <v>4</v>
      </c>
      <c r="F2" s="129">
        <f ca="1">TODAY()</f>
        <v>44621</v>
      </c>
    </row>
    <row r="3" spans="1:6" s="96" customFormat="1" ht="32.25" customHeight="1" thickBot="1">
      <c r="A3" s="220" t="s">
        <v>5</v>
      </c>
      <c r="B3" s="221"/>
      <c r="C3" s="222"/>
      <c r="D3" s="220" t="s">
        <v>6</v>
      </c>
      <c r="E3" s="221"/>
      <c r="F3" s="222"/>
    </row>
    <row r="4" spans="1:6" ht="18.75">
      <c r="A4" s="186"/>
      <c r="B4" s="107"/>
      <c r="C4" s="108"/>
      <c r="D4" s="102"/>
      <c r="E4" s="117"/>
      <c r="F4" s="118"/>
    </row>
    <row r="5" spans="1:6" ht="18.75">
      <c r="A5" s="187" t="s">
        <v>7</v>
      </c>
      <c r="B5" s="109">
        <f>+'Enter Sheet'!B16</f>
        <v>300</v>
      </c>
      <c r="C5" s="108"/>
      <c r="D5" s="103" t="s">
        <v>8</v>
      </c>
      <c r="E5" s="117"/>
      <c r="F5" s="118"/>
    </row>
    <row r="6" spans="1:6" ht="18.75">
      <c r="A6" s="186"/>
      <c r="B6" s="107"/>
      <c r="C6" s="108"/>
      <c r="D6" s="104" t="s">
        <v>9</v>
      </c>
      <c r="E6" s="119">
        <f>+'Enter Sheet'!B5/'Enter Sheet'!B6</f>
        <v>800</v>
      </c>
      <c r="F6" s="118"/>
    </row>
    <row r="7" spans="1:6" ht="18.75">
      <c r="A7" s="188" t="s">
        <v>10</v>
      </c>
      <c r="B7" s="109">
        <f>+B5</f>
        <v>300</v>
      </c>
      <c r="C7" s="108"/>
      <c r="D7" s="104" t="s">
        <v>11</v>
      </c>
      <c r="E7" s="120">
        <f>+'Enter Sheet'!B7/'Enter Sheet'!B6</f>
        <v>66.66666666666667</v>
      </c>
      <c r="F7" s="118"/>
    </row>
    <row r="8" spans="1:6" ht="18.75">
      <c r="A8" s="188" t="s">
        <v>12</v>
      </c>
      <c r="B8" s="107"/>
      <c r="C8" s="110">
        <f>IF(B5=0,0,B5*0.8)</f>
        <v>240</v>
      </c>
      <c r="D8" s="104" t="s">
        <v>13</v>
      </c>
      <c r="E8" s="120">
        <v>0</v>
      </c>
      <c r="F8" s="118"/>
    </row>
    <row r="9" spans="1:6" ht="18.75">
      <c r="A9" s="186"/>
      <c r="B9" s="107"/>
      <c r="C9" s="108"/>
      <c r="D9" s="104" t="s">
        <v>14</v>
      </c>
      <c r="E9" s="120">
        <f>+'Enter Sheet'!B14</f>
        <v>10</v>
      </c>
      <c r="F9" s="118"/>
    </row>
    <row r="10" spans="1:6" ht="18.75">
      <c r="A10" s="187" t="s">
        <v>15</v>
      </c>
      <c r="B10" s="107"/>
      <c r="C10" s="108"/>
      <c r="D10" s="104" t="s">
        <v>16</v>
      </c>
      <c r="E10" s="117"/>
      <c r="F10" s="121">
        <f>+SUM(E6:E9)</f>
        <v>876.6666666666666</v>
      </c>
    </row>
    <row r="11" spans="1:6" ht="18.75">
      <c r="A11" s="188" t="s">
        <v>17</v>
      </c>
      <c r="B11" s="109">
        <f>+'Enter Sheet'!B17</f>
        <v>794</v>
      </c>
      <c r="C11" s="108"/>
      <c r="D11" s="102"/>
      <c r="E11" s="117"/>
      <c r="F11" s="118"/>
    </row>
    <row r="12" spans="1:6" ht="18.75">
      <c r="A12" s="188" t="s">
        <v>18</v>
      </c>
      <c r="B12" s="111">
        <f>+'Enter Sheet'!B18</f>
        <v>0</v>
      </c>
      <c r="C12" s="108"/>
      <c r="D12" s="103" t="s">
        <v>19</v>
      </c>
      <c r="E12" s="117"/>
      <c r="F12" s="118"/>
    </row>
    <row r="13" spans="1:6" ht="18.75">
      <c r="A13" s="188" t="s">
        <v>20</v>
      </c>
      <c r="B13" s="111">
        <f>+'Enter Sheet'!B19</f>
        <v>0</v>
      </c>
      <c r="C13" s="108"/>
      <c r="D13" s="104" t="s">
        <v>21</v>
      </c>
      <c r="E13" s="119">
        <f>+F10</f>
        <v>876.6666666666666</v>
      </c>
      <c r="F13" s="118"/>
    </row>
    <row r="14" spans="1:6" ht="18.75">
      <c r="A14" s="188" t="s">
        <v>22</v>
      </c>
      <c r="B14" s="111">
        <f>+'Enter Sheet'!B20</f>
        <v>0</v>
      </c>
      <c r="C14" s="108"/>
      <c r="D14" s="104" t="s">
        <v>23</v>
      </c>
      <c r="E14" s="120">
        <f>(+C30)*-1</f>
        <v>-465.3</v>
      </c>
      <c r="F14" s="122"/>
    </row>
    <row r="15" spans="1:6" ht="18.75">
      <c r="A15" s="188" t="s">
        <v>24</v>
      </c>
      <c r="B15" s="107"/>
      <c r="C15" s="110">
        <f>SUM(B11:B14)</f>
        <v>794</v>
      </c>
      <c r="D15" s="104" t="s">
        <v>16</v>
      </c>
      <c r="E15" s="117"/>
      <c r="F15" s="121">
        <f>+IF(C30&gt;E13,0,+E13+E14)</f>
        <v>411.3666666666666</v>
      </c>
    </row>
    <row r="16" spans="1:6" ht="18.75">
      <c r="A16" s="186"/>
      <c r="B16" s="107"/>
      <c r="C16" s="108"/>
      <c r="D16" s="102"/>
      <c r="E16" s="117"/>
      <c r="F16" s="118"/>
    </row>
    <row r="17" spans="1:6" ht="18.75">
      <c r="A17" s="187" t="s">
        <v>25</v>
      </c>
      <c r="B17" s="107"/>
      <c r="C17" s="108"/>
      <c r="D17" s="105" t="s">
        <v>26</v>
      </c>
      <c r="E17" s="117"/>
      <c r="F17" s="118"/>
    </row>
    <row r="18" spans="1:6" ht="18.75">
      <c r="A18" s="188" t="s">
        <v>27</v>
      </c>
      <c r="B18" s="107"/>
      <c r="C18" s="108"/>
      <c r="D18" s="104" t="s">
        <v>21</v>
      </c>
      <c r="E18" s="119">
        <f>+F10</f>
        <v>876.6666666666666</v>
      </c>
      <c r="F18" s="118"/>
    </row>
    <row r="19" spans="1:6" ht="18.75">
      <c r="A19" s="188" t="s">
        <v>28</v>
      </c>
      <c r="B19" s="109">
        <f>+C15</f>
        <v>794</v>
      </c>
      <c r="C19" s="108"/>
      <c r="D19" s="103" t="s">
        <v>132</v>
      </c>
      <c r="E19" s="123">
        <v>550</v>
      </c>
      <c r="F19" s="118"/>
    </row>
    <row r="20" spans="1:6" ht="18.75">
      <c r="A20" s="188" t="s">
        <v>29</v>
      </c>
      <c r="B20" s="107"/>
      <c r="C20" s="110">
        <f>IF($B$5=0,$C$15*0.9,0)</f>
        <v>0</v>
      </c>
      <c r="D20" s="104" t="s">
        <v>30</v>
      </c>
      <c r="E20" s="120">
        <f>(+C15*-1)</f>
        <v>-794</v>
      </c>
      <c r="F20" s="118"/>
    </row>
    <row r="21" spans="1:6" ht="18.75">
      <c r="A21" s="186"/>
      <c r="B21" s="107"/>
      <c r="C21" s="108"/>
      <c r="D21" s="104" t="s">
        <v>31</v>
      </c>
      <c r="E21" s="120">
        <f>(+B5)*-1</f>
        <v>-300</v>
      </c>
      <c r="F21" s="122"/>
    </row>
    <row r="22" spans="1:6" ht="18.75">
      <c r="A22" s="187" t="s">
        <v>32</v>
      </c>
      <c r="B22" s="107"/>
      <c r="C22" s="108"/>
      <c r="D22" s="104" t="s">
        <v>16</v>
      </c>
      <c r="E22" s="117"/>
      <c r="F22" s="121">
        <f>IF(+SUM(E18:E21)&lt;0,0,IF(+SUM(E18:E21)&gt;F10,F10,+SUM(E18:E21)))</f>
        <v>332.6666666666665</v>
      </c>
    </row>
    <row r="23" spans="1:6" ht="18.75">
      <c r="A23" s="188" t="s">
        <v>33</v>
      </c>
      <c r="B23" s="109">
        <f>IF(B5&gt;0,C15,0)</f>
        <v>794</v>
      </c>
      <c r="C23" s="108"/>
      <c r="D23" s="102"/>
      <c r="E23" s="117"/>
      <c r="F23" s="118"/>
    </row>
    <row r="24" spans="1:6" ht="18.75">
      <c r="A24" s="188" t="s">
        <v>34</v>
      </c>
      <c r="B24" s="111">
        <f>IF(B5=0,C20,0)</f>
        <v>0</v>
      </c>
      <c r="C24" s="108"/>
      <c r="D24" s="105" t="s">
        <v>35</v>
      </c>
      <c r="E24" s="117"/>
      <c r="F24" s="121">
        <f>MAX(F15:F22)</f>
        <v>411.3666666666666</v>
      </c>
    </row>
    <row r="25" spans="1:6" ht="18.75">
      <c r="A25" s="188" t="s">
        <v>36</v>
      </c>
      <c r="B25" s="111">
        <f>+C8</f>
        <v>240</v>
      </c>
      <c r="C25" s="108"/>
      <c r="D25" s="102"/>
      <c r="E25" s="117"/>
      <c r="F25" s="118"/>
    </row>
    <row r="26" spans="1:6" ht="18.75">
      <c r="A26" s="188" t="s">
        <v>37</v>
      </c>
      <c r="B26" s="107"/>
      <c r="C26" s="110">
        <f>SUM(B23:B25)</f>
        <v>1034</v>
      </c>
      <c r="D26" s="103" t="s">
        <v>38</v>
      </c>
      <c r="E26" s="117"/>
      <c r="F26" s="118"/>
    </row>
    <row r="27" spans="1:6" ht="18.75">
      <c r="A27" s="188"/>
      <c r="B27" s="107"/>
      <c r="C27" s="108"/>
      <c r="D27" s="102" t="s">
        <v>0</v>
      </c>
      <c r="E27" s="124" t="str">
        <f>+'Enter Sheet'!B12</f>
        <v>N</v>
      </c>
      <c r="F27" s="118"/>
    </row>
    <row r="28" spans="1:6" ht="18.75">
      <c r="A28" s="189" t="s">
        <v>39</v>
      </c>
      <c r="B28" s="107"/>
      <c r="C28" s="108"/>
      <c r="D28" s="104" t="s">
        <v>21</v>
      </c>
      <c r="E28" s="120">
        <f>+F10</f>
        <v>876.6666666666666</v>
      </c>
      <c r="F28" s="118"/>
    </row>
    <row r="29" spans="1:6" ht="18.75">
      <c r="A29" s="188" t="s">
        <v>40</v>
      </c>
      <c r="B29" s="109">
        <f>+C26</f>
        <v>1034</v>
      </c>
      <c r="C29" s="108"/>
      <c r="D29" s="104" t="s">
        <v>41</v>
      </c>
      <c r="E29" s="120">
        <f>IF(E27="Y",-200,+IF(+'Enter Sheet'!B6=1,-400,-200))</f>
        <v>-200</v>
      </c>
      <c r="F29" s="118"/>
    </row>
    <row r="30" spans="1:6" ht="18.75">
      <c r="A30" s="188" t="s">
        <v>42</v>
      </c>
      <c r="B30" s="107"/>
      <c r="C30" s="110">
        <f>+B29*0.45</f>
        <v>465.3</v>
      </c>
      <c r="D30" s="104" t="s">
        <v>16</v>
      </c>
      <c r="E30" s="117"/>
      <c r="F30" s="125" t="str">
        <f>+IF(B13=0,"N/A",(E28+E29))</f>
        <v>N/A</v>
      </c>
    </row>
    <row r="31" spans="1:6" ht="18.75">
      <c r="A31" s="186"/>
      <c r="B31" s="107"/>
      <c r="C31" s="108"/>
      <c r="D31" s="102"/>
      <c r="E31" s="117"/>
      <c r="F31" s="118"/>
    </row>
    <row r="32" spans="1:6" ht="18.75">
      <c r="A32" s="186"/>
      <c r="B32" s="107"/>
      <c r="C32" s="108"/>
      <c r="D32" s="103" t="s">
        <v>43</v>
      </c>
      <c r="E32" s="117"/>
      <c r="F32" s="121">
        <f>MIN(F24:F30)</f>
        <v>411.3666666666666</v>
      </c>
    </row>
    <row r="33" spans="1:6" ht="18.75">
      <c r="A33" s="186"/>
      <c r="B33" s="112"/>
      <c r="C33" s="113"/>
      <c r="D33" s="102"/>
      <c r="E33" s="117"/>
      <c r="F33" s="118"/>
    </row>
    <row r="34" spans="1:6" ht="18.75">
      <c r="A34" s="186"/>
      <c r="B34" s="112"/>
      <c r="C34" s="113"/>
      <c r="D34" s="105" t="s">
        <v>44</v>
      </c>
      <c r="E34" s="117"/>
      <c r="F34" s="118"/>
    </row>
    <row r="35" spans="1:6" ht="18.75">
      <c r="A35" s="186"/>
      <c r="B35" s="112"/>
      <c r="C35" s="113"/>
      <c r="D35" s="104" t="s">
        <v>45</v>
      </c>
      <c r="E35" s="119">
        <f>+B5</f>
        <v>300</v>
      </c>
      <c r="F35" s="118"/>
    </row>
    <row r="36" spans="1:6" ht="18.75">
      <c r="A36" s="186"/>
      <c r="B36" s="112"/>
      <c r="C36" s="114"/>
      <c r="D36" s="104" t="s">
        <v>46</v>
      </c>
      <c r="E36" s="120">
        <f>+C15</f>
        <v>794</v>
      </c>
      <c r="F36" s="118"/>
    </row>
    <row r="37" spans="1:6" ht="18.75">
      <c r="A37" s="186"/>
      <c r="B37" s="112"/>
      <c r="C37" s="114"/>
      <c r="D37" s="104" t="s">
        <v>47</v>
      </c>
      <c r="E37" s="120">
        <f>+F32</f>
        <v>411.3666666666666</v>
      </c>
      <c r="F37" s="118"/>
    </row>
    <row r="38" spans="1:6" ht="18.75">
      <c r="A38" s="186"/>
      <c r="B38" s="112"/>
      <c r="C38" s="114"/>
      <c r="D38" s="104" t="s">
        <v>48</v>
      </c>
      <c r="E38" s="120">
        <f>-F10</f>
        <v>-876.6666666666666</v>
      </c>
      <c r="F38" s="118"/>
    </row>
    <row r="39" spans="1:6" ht="18.75">
      <c r="A39" s="186"/>
      <c r="B39" s="112"/>
      <c r="C39" s="114"/>
      <c r="D39" s="104" t="s">
        <v>133</v>
      </c>
      <c r="E39" s="120">
        <v>-700</v>
      </c>
      <c r="F39" s="118"/>
    </row>
    <row r="40" spans="1:6" ht="18.75">
      <c r="A40" s="186"/>
      <c r="B40" s="112"/>
      <c r="C40" s="114"/>
      <c r="D40" s="104" t="s">
        <v>16</v>
      </c>
      <c r="E40" s="117"/>
      <c r="F40" s="121">
        <f>IF(E27="Y",0,IF(+SUM(E35:E39)&lt;0,0,+SUM(E35:E39)))</f>
        <v>0</v>
      </c>
    </row>
    <row r="41" spans="1:6" ht="18.75">
      <c r="A41" s="186"/>
      <c r="B41" s="112"/>
      <c r="C41" s="114"/>
      <c r="D41" s="102"/>
      <c r="E41" s="117"/>
      <c r="F41" s="118"/>
    </row>
    <row r="42" spans="1:6" ht="18.75">
      <c r="A42" s="186"/>
      <c r="B42" s="112"/>
      <c r="C42" s="114"/>
      <c r="D42" s="102" t="s">
        <v>49</v>
      </c>
      <c r="E42" s="117"/>
      <c r="F42" s="118"/>
    </row>
    <row r="43" spans="1:6" ht="18.75">
      <c r="A43" s="186"/>
      <c r="B43" s="112"/>
      <c r="C43" s="114"/>
      <c r="D43" s="104" t="s">
        <v>50</v>
      </c>
      <c r="E43" s="119">
        <f>+F32</f>
        <v>411.3666666666666</v>
      </c>
      <c r="F43" s="118"/>
    </row>
    <row r="44" spans="1:6" ht="18.75">
      <c r="A44" s="186"/>
      <c r="B44" s="112"/>
      <c r="C44" s="114"/>
      <c r="D44" s="104" t="s">
        <v>51</v>
      </c>
      <c r="E44" s="120">
        <f>-F40</f>
        <v>0</v>
      </c>
      <c r="F44" s="118"/>
    </row>
    <row r="45" spans="1:6" ht="18.75">
      <c r="A45" s="186"/>
      <c r="B45" s="112"/>
      <c r="C45" s="114"/>
      <c r="D45" s="104" t="s">
        <v>16</v>
      </c>
      <c r="E45" s="117"/>
      <c r="F45" s="121">
        <f>IF(E43+E44&lt;0,0,E43+E44)</f>
        <v>411.3666666666666</v>
      </c>
    </row>
    <row r="46" spans="1:6" ht="18.75">
      <c r="A46" s="186"/>
      <c r="B46" s="112"/>
      <c r="C46" s="114"/>
      <c r="D46" s="102"/>
      <c r="E46" s="117"/>
      <c r="F46" s="118"/>
    </row>
    <row r="47" spans="1:6" ht="18.75">
      <c r="A47" s="186"/>
      <c r="B47" s="112"/>
      <c r="C47" s="114"/>
      <c r="D47" s="102" t="s">
        <v>52</v>
      </c>
      <c r="E47" s="117"/>
      <c r="F47" s="118"/>
    </row>
    <row r="48" spans="1:6" ht="18.75">
      <c r="A48" s="186"/>
      <c r="B48" s="112"/>
      <c r="C48" s="114"/>
      <c r="D48" s="102" t="s">
        <v>53</v>
      </c>
      <c r="E48" s="117"/>
      <c r="F48" s="118"/>
    </row>
    <row r="49" spans="1:6" ht="18.75">
      <c r="A49" s="186"/>
      <c r="B49" s="107"/>
      <c r="C49" s="108"/>
      <c r="D49" s="102" t="s">
        <v>54</v>
      </c>
      <c r="E49" s="119">
        <f>IF(AND(F45&lt;10,F45&gt;0),10,F45)</f>
        <v>411.3666666666666</v>
      </c>
      <c r="F49" s="118"/>
    </row>
    <row r="50" spans="1:6" ht="18.75">
      <c r="A50" s="186"/>
      <c r="B50" s="107"/>
      <c r="C50" s="108"/>
      <c r="D50" s="104" t="s">
        <v>55</v>
      </c>
      <c r="E50" s="120"/>
      <c r="F50" s="118"/>
    </row>
    <row r="51" spans="1:6" ht="18.75">
      <c r="A51" s="186"/>
      <c r="B51" s="107"/>
      <c r="C51" s="108"/>
      <c r="D51" s="104" t="s">
        <v>56</v>
      </c>
      <c r="E51" s="120">
        <f>+'Enter Sheet'!B13</f>
        <v>0</v>
      </c>
      <c r="F51" s="118"/>
    </row>
    <row r="52" spans="1:6" ht="18.75">
      <c r="A52" s="186"/>
      <c r="B52" s="107"/>
      <c r="C52" s="108"/>
      <c r="D52" s="104" t="s">
        <v>16</v>
      </c>
      <c r="E52" s="117"/>
      <c r="F52" s="121">
        <f>ROUNDDOWN((E49-E51),0)</f>
        <v>411</v>
      </c>
    </row>
    <row r="53" spans="1:6" ht="19.5" thickBot="1">
      <c r="A53" s="190"/>
      <c r="B53" s="115"/>
      <c r="C53" s="116"/>
      <c r="D53" s="106"/>
      <c r="E53" s="126"/>
      <c r="F53" s="127"/>
    </row>
  </sheetData>
  <sheetProtection sheet="1"/>
  <mergeCells count="4">
    <mergeCell ref="A1:F1"/>
    <mergeCell ref="C2:D2"/>
    <mergeCell ref="A3:C3"/>
    <mergeCell ref="D3:F3"/>
  </mergeCells>
  <printOptions horizontalCentered="1"/>
  <pageMargins left="0.17" right="0.17" top="0.32" bottom="0.2" header="0.25" footer="0.25"/>
  <pageSetup fitToHeight="1" fitToWidth="1" horizontalDpi="600" verticalDpi="6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4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37" sqref="A37"/>
    </sheetView>
  </sheetViews>
  <sheetFormatPr defaultColWidth="9.140625" defaultRowHeight="12.75"/>
  <cols>
    <col min="1" max="1" width="19.8515625" style="0" customWidth="1"/>
    <col min="2" max="2" width="18.8515625" style="0" customWidth="1"/>
    <col min="3" max="3" width="6.421875" style="19" customWidth="1"/>
    <col min="4" max="4" width="10.8515625" style="0" bestFit="1" customWidth="1"/>
    <col min="5" max="5" width="9.140625" style="0" customWidth="1"/>
    <col min="6" max="6" width="2.8515625" style="0" customWidth="1"/>
    <col min="7" max="7" width="10.8515625" style="0" customWidth="1"/>
    <col min="8" max="8" width="11.28125" style="0" customWidth="1"/>
  </cols>
  <sheetData>
    <row r="1" spans="1:8" ht="30.75" customHeight="1" thickBot="1">
      <c r="A1" s="223" t="s">
        <v>135</v>
      </c>
      <c r="B1" s="224"/>
      <c r="C1" s="224"/>
      <c r="D1" s="224"/>
      <c r="E1" s="224"/>
      <c r="F1" s="224"/>
      <c r="G1" s="225"/>
      <c r="H1" s="5"/>
    </row>
    <row r="2" spans="1:7" ht="18.75">
      <c r="A2" s="74" t="s">
        <v>146</v>
      </c>
      <c r="B2" s="37" t="str">
        <f>+'Enter Sheet'!B3</f>
        <v>Name</v>
      </c>
      <c r="C2" s="29"/>
      <c r="D2" s="30"/>
      <c r="E2" s="6" t="s">
        <v>57</v>
      </c>
      <c r="F2" s="8"/>
      <c r="G2" s="55">
        <f>ROUNDDOWN(G32,0)</f>
        <v>0</v>
      </c>
    </row>
    <row r="3" spans="1:7" ht="15.75">
      <c r="A3" s="75"/>
      <c r="B3" s="16"/>
      <c r="C3" s="31"/>
      <c r="D3" s="32"/>
      <c r="E3" s="21"/>
      <c r="F3" s="8"/>
      <c r="G3" s="55"/>
    </row>
    <row r="4" spans="1:7" ht="15">
      <c r="A4" s="58"/>
      <c r="B4" s="33"/>
      <c r="C4" s="22" t="s">
        <v>58</v>
      </c>
      <c r="D4" s="23"/>
      <c r="E4" s="20"/>
      <c r="F4" s="8"/>
      <c r="G4" s="59"/>
    </row>
    <row r="5" spans="1:7" ht="12.75">
      <c r="A5" s="60"/>
      <c r="B5" s="2"/>
      <c r="C5" s="17"/>
      <c r="D5" s="2"/>
      <c r="E5" s="2"/>
      <c r="F5" s="3"/>
      <c r="G5" s="61"/>
    </row>
    <row r="6" spans="1:7" ht="12.75">
      <c r="A6" s="62" t="s">
        <v>59</v>
      </c>
      <c r="B6" s="11"/>
      <c r="C6" s="17"/>
      <c r="D6" s="34"/>
      <c r="E6" s="34"/>
      <c r="F6" s="3"/>
      <c r="G6" s="65">
        <f>+'Enter Sheet'!B16</f>
        <v>300</v>
      </c>
    </row>
    <row r="7" spans="1:7" ht="12.75">
      <c r="A7" s="62" t="s">
        <v>60</v>
      </c>
      <c r="B7" s="11"/>
      <c r="C7" s="17"/>
      <c r="D7" s="34"/>
      <c r="E7" s="34"/>
      <c r="F7" s="3" t="s">
        <v>61</v>
      </c>
      <c r="G7" s="59">
        <v>65</v>
      </c>
    </row>
    <row r="8" spans="1:7" ht="12.75">
      <c r="A8" s="62" t="s">
        <v>62</v>
      </c>
      <c r="B8" s="11"/>
      <c r="C8" s="17"/>
      <c r="D8" s="34"/>
      <c r="E8" s="34"/>
      <c r="F8" s="3" t="s">
        <v>63</v>
      </c>
      <c r="G8" s="76">
        <f>(+G6-G7)</f>
        <v>235</v>
      </c>
    </row>
    <row r="9" spans="1:7" ht="12.75">
      <c r="A9" s="62" t="s">
        <v>64</v>
      </c>
      <c r="B9" s="11"/>
      <c r="C9" s="17"/>
      <c r="D9" s="34"/>
      <c r="E9" s="34"/>
      <c r="F9" s="3" t="s">
        <v>61</v>
      </c>
      <c r="G9" s="77">
        <v>0</v>
      </c>
    </row>
    <row r="10" spans="1:8" ht="12.75">
      <c r="A10" s="62" t="s">
        <v>65</v>
      </c>
      <c r="B10" s="11"/>
      <c r="C10" s="17"/>
      <c r="D10" s="34"/>
      <c r="E10" s="34"/>
      <c r="F10" s="3" t="s">
        <v>66</v>
      </c>
      <c r="G10" s="78">
        <v>2</v>
      </c>
      <c r="H10" s="7"/>
    </row>
    <row r="11" spans="1:8" ht="12.75">
      <c r="A11" s="67" t="s">
        <v>67</v>
      </c>
      <c r="B11" s="14"/>
      <c r="C11" s="35"/>
      <c r="D11" s="33"/>
      <c r="E11" s="33"/>
      <c r="F11" s="8" t="s">
        <v>63</v>
      </c>
      <c r="G11" s="59">
        <f>IF((G8-G9)/2&lt;0,0,(G8-G9)/2)</f>
        <v>117.5</v>
      </c>
      <c r="H11" s="5"/>
    </row>
    <row r="12" spans="1:8" ht="15">
      <c r="A12" s="58"/>
      <c r="B12" s="33"/>
      <c r="C12" s="22" t="s">
        <v>68</v>
      </c>
      <c r="D12" s="22"/>
      <c r="E12" s="33"/>
      <c r="F12" s="8"/>
      <c r="G12" s="68"/>
      <c r="H12" s="7"/>
    </row>
    <row r="13" spans="1:8" ht="12.75">
      <c r="A13" s="60"/>
      <c r="B13" s="2"/>
      <c r="C13" s="17"/>
      <c r="D13" s="2"/>
      <c r="E13" s="2"/>
      <c r="F13" s="3"/>
      <c r="G13" s="61"/>
      <c r="H13" s="13"/>
    </row>
    <row r="14" spans="1:7" ht="12.75">
      <c r="A14" s="62" t="s">
        <v>69</v>
      </c>
      <c r="B14" s="11"/>
      <c r="C14" s="17"/>
      <c r="D14" s="34"/>
      <c r="E14" s="34"/>
      <c r="F14" s="3"/>
      <c r="G14" s="65">
        <f>+'Enter Sheet'!B17</f>
        <v>794</v>
      </c>
    </row>
    <row r="15" spans="1:7" ht="12.75">
      <c r="A15" s="62" t="s">
        <v>70</v>
      </c>
      <c r="B15" s="11"/>
      <c r="C15" s="17"/>
      <c r="D15" s="34"/>
      <c r="E15" s="34"/>
      <c r="F15" s="3" t="s">
        <v>71</v>
      </c>
      <c r="G15" s="65">
        <f>+'Enter Sheet'!B18</f>
        <v>0</v>
      </c>
    </row>
    <row r="16" spans="1:7" ht="12.75">
      <c r="A16" s="62" t="s">
        <v>72</v>
      </c>
      <c r="B16" s="11"/>
      <c r="C16" s="17"/>
      <c r="D16" s="34"/>
      <c r="E16" s="34"/>
      <c r="F16" s="3" t="s">
        <v>71</v>
      </c>
      <c r="G16" s="66">
        <f>+'Enter Sheet'!B20</f>
        <v>0</v>
      </c>
    </row>
    <row r="17" spans="1:7" ht="12.75">
      <c r="A17" s="62" t="s">
        <v>73</v>
      </c>
      <c r="B17" s="11"/>
      <c r="C17" s="17"/>
      <c r="D17" s="34"/>
      <c r="E17" s="34"/>
      <c r="F17" s="3" t="s">
        <v>63</v>
      </c>
      <c r="G17" s="76">
        <f>SUM(G14:G16)</f>
        <v>794</v>
      </c>
    </row>
    <row r="18" spans="1:7" ht="12.75">
      <c r="A18" s="62" t="s">
        <v>74</v>
      </c>
      <c r="B18" s="11"/>
      <c r="C18" s="17"/>
      <c r="D18" s="34"/>
      <c r="E18" s="34"/>
      <c r="F18" s="3" t="s">
        <v>61</v>
      </c>
      <c r="G18" s="79">
        <f>IF('Enter Sheet'!B11="Y",343,IF('Enter Sheet'!B6=1,343,412.9))</f>
        <v>412.9</v>
      </c>
    </row>
    <row r="19" spans="1:7" ht="12.75">
      <c r="A19" s="67" t="s">
        <v>75</v>
      </c>
      <c r="B19" s="14"/>
      <c r="C19" s="35"/>
      <c r="D19" s="33"/>
      <c r="E19" s="33"/>
      <c r="F19" s="8" t="s">
        <v>63</v>
      </c>
      <c r="G19" s="59">
        <f>IF(G17-G18&lt;0,0,G17-G18)</f>
        <v>381.1</v>
      </c>
    </row>
    <row r="20" spans="1:7" ht="15">
      <c r="A20" s="58"/>
      <c r="B20" s="33"/>
      <c r="C20" s="22" t="s">
        <v>76</v>
      </c>
      <c r="D20" s="22"/>
      <c r="E20" s="33"/>
      <c r="F20" s="8"/>
      <c r="G20" s="59"/>
    </row>
    <row r="21" spans="1:7" ht="12.75">
      <c r="A21" s="60"/>
      <c r="B21" s="2"/>
      <c r="C21" s="17"/>
      <c r="D21" s="2"/>
      <c r="E21" s="2"/>
      <c r="F21" s="3"/>
      <c r="G21" s="61"/>
    </row>
    <row r="22" spans="1:7" ht="12.75">
      <c r="A22" s="62" t="s">
        <v>77</v>
      </c>
      <c r="B22" s="11"/>
      <c r="C22" s="17"/>
      <c r="D22" s="34"/>
      <c r="E22" s="34"/>
      <c r="F22" s="3"/>
      <c r="G22" s="76">
        <f>G11</f>
        <v>117.5</v>
      </c>
    </row>
    <row r="23" spans="1:7" ht="12.75">
      <c r="A23" s="62" t="s">
        <v>78</v>
      </c>
      <c r="B23" s="11"/>
      <c r="C23" s="17"/>
      <c r="D23" s="34"/>
      <c r="E23" s="34"/>
      <c r="F23" s="3" t="s">
        <v>71</v>
      </c>
      <c r="G23" s="59">
        <f>G19</f>
        <v>381.1</v>
      </c>
    </row>
    <row r="24" spans="1:7" ht="12.75">
      <c r="A24" s="67" t="s">
        <v>79</v>
      </c>
      <c r="B24" s="14"/>
      <c r="C24" s="35"/>
      <c r="D24" s="33"/>
      <c r="E24" s="33"/>
      <c r="F24" s="8" t="s">
        <v>63</v>
      </c>
      <c r="G24" s="59">
        <f>G22+G23</f>
        <v>498.6</v>
      </c>
    </row>
    <row r="25" spans="1:7" ht="15">
      <c r="A25" s="80"/>
      <c r="B25" s="24"/>
      <c r="C25" s="22" t="s">
        <v>80</v>
      </c>
      <c r="D25" s="22"/>
      <c r="E25" s="33"/>
      <c r="F25" s="8"/>
      <c r="G25" s="59"/>
    </row>
    <row r="26" spans="1:7" ht="12.75">
      <c r="A26" s="60"/>
      <c r="B26" s="2"/>
      <c r="C26" s="17"/>
      <c r="D26" s="2"/>
      <c r="E26" s="2"/>
      <c r="F26" s="3"/>
      <c r="G26" s="61"/>
    </row>
    <row r="27" spans="1:7" ht="12.75">
      <c r="A27" s="62" t="s">
        <v>81</v>
      </c>
      <c r="B27" s="11"/>
      <c r="C27" s="17"/>
      <c r="D27" s="34"/>
      <c r="E27" s="34"/>
      <c r="F27" s="3"/>
      <c r="G27" s="81">
        <f>(Subsidy!E29)*-1</f>
        <v>200</v>
      </c>
    </row>
    <row r="28" spans="1:7" ht="12.75">
      <c r="A28" s="62" t="s">
        <v>82</v>
      </c>
      <c r="B28" s="11"/>
      <c r="C28" s="17"/>
      <c r="D28" s="34"/>
      <c r="E28" s="34"/>
      <c r="F28" s="3" t="s">
        <v>71</v>
      </c>
      <c r="G28" s="76">
        <v>164.1</v>
      </c>
    </row>
    <row r="29" spans="1:7" ht="12.75">
      <c r="A29" s="62" t="s">
        <v>83</v>
      </c>
      <c r="B29" s="11"/>
      <c r="C29" s="17"/>
      <c r="D29" s="34"/>
      <c r="E29" s="34"/>
      <c r="F29" s="3" t="s">
        <v>71</v>
      </c>
      <c r="G29" s="82">
        <v>0</v>
      </c>
    </row>
    <row r="30" spans="1:7" ht="12.75">
      <c r="A30" s="62" t="s">
        <v>84</v>
      </c>
      <c r="B30" s="11"/>
      <c r="C30" s="17"/>
      <c r="D30" s="34"/>
      <c r="E30" s="34"/>
      <c r="F30" s="3" t="s">
        <v>63</v>
      </c>
      <c r="G30" s="76">
        <f>SUM(G27:G29)</f>
        <v>364.1</v>
      </c>
    </row>
    <row r="31" spans="1:7" ht="12.75">
      <c r="A31" s="62" t="s">
        <v>85</v>
      </c>
      <c r="B31" s="11"/>
      <c r="C31" s="17"/>
      <c r="D31" s="34"/>
      <c r="E31" s="34"/>
      <c r="F31" s="3" t="s">
        <v>61</v>
      </c>
      <c r="G31" s="59">
        <f>+G24</f>
        <v>498.6</v>
      </c>
    </row>
    <row r="32" spans="1:7" ht="12.75">
      <c r="A32" s="67" t="s">
        <v>86</v>
      </c>
      <c r="B32" s="14"/>
      <c r="C32" s="35"/>
      <c r="D32" s="33"/>
      <c r="E32" s="33"/>
      <c r="F32" s="8" t="s">
        <v>63</v>
      </c>
      <c r="G32" s="83">
        <f>IF(G30-G24&lt;0,0,G30-G24)</f>
        <v>0</v>
      </c>
    </row>
    <row r="33" spans="1:7" ht="12.75" hidden="1">
      <c r="A33" s="84"/>
      <c r="B33" s="10"/>
      <c r="C33" s="10"/>
      <c r="D33" s="10"/>
      <c r="E33" s="10"/>
      <c r="F33" s="10"/>
      <c r="G33" s="76"/>
    </row>
    <row r="34" spans="1:7" ht="12.75" hidden="1">
      <c r="A34" s="85" t="s">
        <v>87</v>
      </c>
      <c r="B34" s="15"/>
      <c r="C34" s="17"/>
      <c r="D34" s="34"/>
      <c r="E34" s="34"/>
      <c r="F34" s="3"/>
      <c r="G34" s="76"/>
    </row>
    <row r="35" spans="1:7" ht="12.75" hidden="1">
      <c r="A35" s="85" t="s">
        <v>88</v>
      </c>
      <c r="B35" s="15"/>
      <c r="C35" s="17"/>
      <c r="D35" s="34"/>
      <c r="E35" s="34"/>
      <c r="F35" s="3"/>
      <c r="G35" s="76"/>
    </row>
    <row r="36" spans="1:7" ht="12.75" hidden="1">
      <c r="A36" s="85" t="s">
        <v>147</v>
      </c>
      <c r="B36" s="15"/>
      <c r="C36" s="17"/>
      <c r="D36" s="34"/>
      <c r="E36" s="34"/>
      <c r="F36" s="3"/>
      <c r="G36" s="76"/>
    </row>
    <row r="37" spans="1:7" ht="12.75" hidden="1">
      <c r="A37" s="85" t="s">
        <v>148</v>
      </c>
      <c r="B37" s="15"/>
      <c r="C37" s="17"/>
      <c r="D37" s="34"/>
      <c r="E37" s="34"/>
      <c r="F37" s="3"/>
      <c r="G37" s="76"/>
    </row>
    <row r="38" spans="1:7" ht="12.75" hidden="1">
      <c r="A38" s="86" t="s">
        <v>89</v>
      </c>
      <c r="B38" s="15"/>
      <c r="C38" s="17"/>
      <c r="D38" s="34"/>
      <c r="E38" s="34"/>
      <c r="F38" s="3"/>
      <c r="G38" s="76"/>
    </row>
    <row r="39" spans="1:7" ht="12.75" hidden="1">
      <c r="A39" s="85"/>
      <c r="B39" s="15" t="s">
        <v>90</v>
      </c>
      <c r="C39" s="4"/>
      <c r="D39" s="25" t="s">
        <v>91</v>
      </c>
      <c r="E39" s="15" t="s">
        <v>92</v>
      </c>
      <c r="F39" s="3"/>
      <c r="G39" s="76"/>
    </row>
    <row r="40" spans="1:7" ht="12.75" hidden="1">
      <c r="A40" s="85"/>
      <c r="B40" s="15" t="s">
        <v>93</v>
      </c>
      <c r="C40" s="17"/>
      <c r="D40" s="15"/>
      <c r="E40" s="15" t="s">
        <v>94</v>
      </c>
      <c r="F40" s="3"/>
      <c r="G40" s="76"/>
    </row>
    <row r="41" spans="1:7" ht="12.75" hidden="1">
      <c r="A41" s="85" t="s">
        <v>95</v>
      </c>
      <c r="B41" s="15"/>
      <c r="C41" s="17"/>
      <c r="D41" s="15"/>
      <c r="E41" s="15"/>
      <c r="F41" s="3"/>
      <c r="G41" s="76"/>
    </row>
    <row r="42" spans="1:7" ht="13.5" thickBot="1">
      <c r="A42" s="87"/>
      <c r="B42" s="88"/>
      <c r="C42" s="89"/>
      <c r="D42" s="88"/>
      <c r="E42" s="88"/>
      <c r="F42" s="88"/>
      <c r="G42" s="90"/>
    </row>
    <row r="43" spans="1:7" ht="12.75">
      <c r="A43" s="9"/>
      <c r="B43" s="9"/>
      <c r="C43" s="18"/>
      <c r="D43" s="9"/>
      <c r="E43" s="9"/>
      <c r="F43" s="12"/>
      <c r="G43" s="10"/>
    </row>
  </sheetData>
  <sheetProtection sheet="1"/>
  <mergeCells count="1">
    <mergeCell ref="A1:G1"/>
  </mergeCells>
  <printOptions horizontalCentered="1"/>
  <pageMargins left="0.25" right="0.25" top="0.8" bottom="0.5" header="0.5" footer="0.2"/>
  <pageSetup horizontalDpi="300" verticalDpi="300" orientation="portrait" scale="1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36"/>
  <sheetViews>
    <sheetView showGridLines="0" zoomScale="106" zoomScaleNormal="106" zoomScalePageLayoutView="0" workbookViewId="0" topLeftCell="A1">
      <pane ySplit="2" topLeftCell="A3" activePane="bottomLeft" state="frozen"/>
      <selection pane="topLeft" activeCell="A1" sqref="A1"/>
      <selection pane="bottomLeft" activeCell="I15" sqref="I15"/>
    </sheetView>
  </sheetViews>
  <sheetFormatPr defaultColWidth="9.140625" defaultRowHeight="12.75"/>
  <cols>
    <col min="1" max="1" width="18.00390625" style="0" customWidth="1"/>
    <col min="2" max="2" width="18.8515625" style="0" customWidth="1"/>
    <col min="3" max="3" width="4.00390625" style="19" customWidth="1"/>
    <col min="4" max="4" width="6.00390625" style="0" customWidth="1"/>
    <col min="5" max="5" width="19.140625" style="0" customWidth="1"/>
    <col min="6" max="6" width="10.57421875" style="0" bestFit="1" customWidth="1"/>
  </cols>
  <sheetData>
    <row r="1" spans="1:6" ht="30.75" customHeight="1" thickBot="1">
      <c r="A1" s="226" t="s">
        <v>134</v>
      </c>
      <c r="B1" s="227"/>
      <c r="C1" s="227"/>
      <c r="D1" s="227"/>
      <c r="E1" s="227"/>
      <c r="F1" s="228"/>
    </row>
    <row r="2" spans="1:6" ht="16.5">
      <c r="A2" s="54" t="s">
        <v>149</v>
      </c>
      <c r="B2" s="38" t="str">
        <f>+'Enter Sheet'!B3</f>
        <v>Name</v>
      </c>
      <c r="C2" s="31"/>
      <c r="D2" s="32"/>
      <c r="E2" s="27" t="s">
        <v>96</v>
      </c>
      <c r="F2" s="55">
        <f>+IF(F34&gt;F26,F34,F26)</f>
        <v>0</v>
      </c>
    </row>
    <row r="3" spans="1:6" s="53" customFormat="1" ht="12.75">
      <c r="A3" s="56"/>
      <c r="B3" s="49"/>
      <c r="C3" s="50"/>
      <c r="D3" s="51"/>
      <c r="E3" s="52"/>
      <c r="F3" s="57"/>
    </row>
    <row r="4" spans="1:6" ht="15.75">
      <c r="A4" s="233" t="s">
        <v>97</v>
      </c>
      <c r="B4" s="234"/>
      <c r="C4" s="234"/>
      <c r="D4" s="234"/>
      <c r="E4" s="234"/>
      <c r="F4" s="235"/>
    </row>
    <row r="5" spans="1:6" ht="12.75">
      <c r="A5" s="60"/>
      <c r="B5" s="2"/>
      <c r="C5" s="17"/>
      <c r="D5" s="2"/>
      <c r="E5" s="2"/>
      <c r="F5" s="61"/>
    </row>
    <row r="6" spans="1:6" ht="12.75">
      <c r="A6" s="62" t="s">
        <v>98</v>
      </c>
      <c r="B6" s="11"/>
      <c r="C6" s="17"/>
      <c r="D6" s="34"/>
      <c r="E6" s="34"/>
      <c r="F6" s="63">
        <f>+'Enter Sheet'!B17</f>
        <v>794</v>
      </c>
    </row>
    <row r="7" spans="1:6" ht="12.75">
      <c r="A7" s="62" t="s">
        <v>150</v>
      </c>
      <c r="B7" s="11"/>
      <c r="C7" s="17"/>
      <c r="D7" s="34"/>
      <c r="E7" s="34"/>
      <c r="F7" s="64">
        <f>+'Enter Sheet'!B20</f>
        <v>0</v>
      </c>
    </row>
    <row r="8" spans="1:6" ht="12.75">
      <c r="A8" s="62" t="s">
        <v>99</v>
      </c>
      <c r="B8" s="11"/>
      <c r="C8" s="17"/>
      <c r="D8" s="34"/>
      <c r="E8" s="34"/>
      <c r="F8" s="65">
        <f>+SUM(F6:F7)</f>
        <v>794</v>
      </c>
    </row>
    <row r="9" spans="1:7" ht="12.75">
      <c r="A9" s="62" t="s">
        <v>100</v>
      </c>
      <c r="B9" s="11"/>
      <c r="C9" s="17"/>
      <c r="D9" s="34"/>
      <c r="E9" s="34"/>
      <c r="F9" s="66">
        <v>-20</v>
      </c>
      <c r="G9" s="28"/>
    </row>
    <row r="10" spans="1:6" ht="12.75">
      <c r="A10" s="67" t="s">
        <v>101</v>
      </c>
      <c r="B10" s="14"/>
      <c r="C10" s="35"/>
      <c r="D10" s="33"/>
      <c r="E10" s="33"/>
      <c r="F10" s="66">
        <f>+IF(F8=0,0,SUM(F8:F9))</f>
        <v>774</v>
      </c>
    </row>
    <row r="11" spans="1:6" ht="15.75">
      <c r="A11" s="233" t="s">
        <v>102</v>
      </c>
      <c r="B11" s="234"/>
      <c r="C11" s="234"/>
      <c r="D11" s="234"/>
      <c r="E11" s="234"/>
      <c r="F11" s="235"/>
    </row>
    <row r="12" spans="1:6" ht="12.75">
      <c r="A12" s="60"/>
      <c r="B12" s="2"/>
      <c r="C12" s="17"/>
      <c r="D12" s="2"/>
      <c r="E12" s="2"/>
      <c r="F12" s="61"/>
    </row>
    <row r="13" spans="1:6" ht="12.75">
      <c r="A13" s="62" t="s">
        <v>103</v>
      </c>
      <c r="B13" s="11"/>
      <c r="C13" s="17"/>
      <c r="D13" s="34"/>
      <c r="E13" s="34"/>
      <c r="F13" s="63">
        <f>+'Enter Sheet'!B16</f>
        <v>300</v>
      </c>
    </row>
    <row r="14" spans="1:6" ht="12.75">
      <c r="A14" s="62" t="s">
        <v>104</v>
      </c>
      <c r="B14" s="11"/>
      <c r="C14" s="17"/>
      <c r="D14" s="34"/>
      <c r="E14" s="34"/>
      <c r="F14" s="65">
        <f>+IF(F10=0,-20,0)</f>
        <v>0</v>
      </c>
    </row>
    <row r="15" spans="1:6" ht="12.75">
      <c r="A15" s="62" t="s">
        <v>105</v>
      </c>
      <c r="B15" s="11"/>
      <c r="C15" s="17"/>
      <c r="D15" s="34"/>
      <c r="E15" s="34"/>
      <c r="F15" s="66">
        <v>-65</v>
      </c>
    </row>
    <row r="16" spans="1:6" ht="12.75">
      <c r="A16" s="62" t="s">
        <v>106</v>
      </c>
      <c r="B16" s="11"/>
      <c r="C16" s="17"/>
      <c r="D16" s="34"/>
      <c r="E16" s="34"/>
      <c r="F16" s="65">
        <f>IF(F13&lt;65,0,+SUM(F13:F15))</f>
        <v>235</v>
      </c>
    </row>
    <row r="17" spans="1:6" ht="12.75">
      <c r="A17" s="62" t="s">
        <v>107</v>
      </c>
      <c r="B17" s="11"/>
      <c r="C17" s="17"/>
      <c r="D17" s="34"/>
      <c r="E17" s="34"/>
      <c r="F17" s="69">
        <v>2</v>
      </c>
    </row>
    <row r="18" spans="1:6" ht="12.75">
      <c r="A18" s="67" t="s">
        <v>108</v>
      </c>
      <c r="B18" s="14"/>
      <c r="C18" s="35"/>
      <c r="D18" s="33"/>
      <c r="E18" s="33"/>
      <c r="F18" s="70">
        <f>+IF(F16&gt;0,(F16/F17),0)</f>
        <v>117.5</v>
      </c>
    </row>
    <row r="19" spans="1:6" ht="15.75">
      <c r="A19" s="233" t="s">
        <v>109</v>
      </c>
      <c r="B19" s="234"/>
      <c r="C19" s="234"/>
      <c r="D19" s="234"/>
      <c r="E19" s="234"/>
      <c r="F19" s="235"/>
    </row>
    <row r="20" spans="1:6" ht="12.75">
      <c r="A20" s="62" t="s">
        <v>101</v>
      </c>
      <c r="B20" s="11"/>
      <c r="C20" s="17"/>
      <c r="D20" s="34"/>
      <c r="E20" s="34"/>
      <c r="F20" s="65">
        <f>+F10</f>
        <v>774</v>
      </c>
    </row>
    <row r="21" spans="1:6" ht="12.75">
      <c r="A21" s="62" t="s">
        <v>108</v>
      </c>
      <c r="B21" s="11"/>
      <c r="C21" s="17"/>
      <c r="D21" s="34"/>
      <c r="E21" s="34"/>
      <c r="F21" s="66">
        <f>+F18</f>
        <v>117.5</v>
      </c>
    </row>
    <row r="22" spans="1:6" ht="12.75">
      <c r="A22" s="67" t="s">
        <v>109</v>
      </c>
      <c r="B22" s="14"/>
      <c r="C22" s="35"/>
      <c r="D22" s="33"/>
      <c r="E22" s="33"/>
      <c r="F22" s="66">
        <f>+SUM(F20:F21)</f>
        <v>891.5</v>
      </c>
    </row>
    <row r="23" spans="1:6" ht="15.75">
      <c r="A23" s="233" t="s">
        <v>151</v>
      </c>
      <c r="B23" s="234"/>
      <c r="C23" s="234"/>
      <c r="D23" s="234"/>
      <c r="E23" s="234"/>
      <c r="F23" s="235"/>
    </row>
    <row r="24" spans="1:6" ht="12.75">
      <c r="A24" s="62" t="s">
        <v>152</v>
      </c>
      <c r="B24" s="11"/>
      <c r="C24" s="17"/>
      <c r="D24" s="34"/>
      <c r="E24" s="34"/>
      <c r="F24" s="63">
        <f>+'Enter Sheet'!E18</f>
        <v>840</v>
      </c>
    </row>
    <row r="25" spans="1:6" ht="12.75">
      <c r="A25" s="62" t="s">
        <v>109</v>
      </c>
      <c r="B25" s="11"/>
      <c r="C25" s="17"/>
      <c r="D25" s="34"/>
      <c r="E25" s="34"/>
      <c r="F25" s="66">
        <f>+F22*-1</f>
        <v>-891.5</v>
      </c>
    </row>
    <row r="26" spans="1:6" ht="12.75">
      <c r="A26" s="67" t="s">
        <v>110</v>
      </c>
      <c r="B26" s="14"/>
      <c r="C26" s="35"/>
      <c r="D26" s="33"/>
      <c r="E26" s="33"/>
      <c r="F26" s="66">
        <f>IF(SUM(F24:F25)&lt;0,0,+SUM(F24:F25))</f>
        <v>0</v>
      </c>
    </row>
    <row r="27" spans="1:6" ht="15.75">
      <c r="A27" s="233" t="s">
        <v>111</v>
      </c>
      <c r="B27" s="234"/>
      <c r="C27" s="234"/>
      <c r="D27" s="234"/>
      <c r="E27" s="234"/>
      <c r="F27" s="235"/>
    </row>
    <row r="28" spans="1:6" ht="12.75">
      <c r="A28" s="62" t="s">
        <v>112</v>
      </c>
      <c r="B28" s="11"/>
      <c r="C28" s="17"/>
      <c r="D28" s="34"/>
      <c r="E28" s="34"/>
      <c r="F28" s="65">
        <f>+F22</f>
        <v>891.5</v>
      </c>
    </row>
    <row r="29" spans="1:6" ht="12.75">
      <c r="A29" s="62" t="s">
        <v>113</v>
      </c>
      <c r="B29" s="11"/>
      <c r="C29" s="17"/>
      <c r="D29" s="34"/>
      <c r="E29" s="34"/>
      <c r="F29" s="59">
        <v>0</v>
      </c>
    </row>
    <row r="30" spans="1:6" ht="12.75">
      <c r="A30" s="62" t="s">
        <v>114</v>
      </c>
      <c r="B30" s="11"/>
      <c r="C30" s="17"/>
      <c r="D30" s="34"/>
      <c r="E30" s="34"/>
      <c r="F30" s="65">
        <f>+SUM(F28:F29)</f>
        <v>891.5</v>
      </c>
    </row>
    <row r="31" spans="1:6" ht="12.75">
      <c r="A31" s="71"/>
      <c r="B31" s="26"/>
      <c r="C31" s="26"/>
      <c r="D31" s="26"/>
      <c r="E31" s="26"/>
      <c r="F31" s="72"/>
    </row>
    <row r="32" spans="1:6" s="1" customFormat="1" ht="12.75">
      <c r="A32" s="62" t="s">
        <v>153</v>
      </c>
      <c r="B32" s="11"/>
      <c r="C32" s="17"/>
      <c r="D32" s="34"/>
      <c r="E32" s="34"/>
      <c r="F32" s="65">
        <v>500</v>
      </c>
    </row>
    <row r="33" spans="1:6" s="1" customFormat="1" ht="12.75">
      <c r="A33" s="62" t="s">
        <v>114</v>
      </c>
      <c r="B33" s="11"/>
      <c r="C33" s="17"/>
      <c r="D33" s="34"/>
      <c r="E33" s="34"/>
      <c r="F33" s="66">
        <f>+F30*-1</f>
        <v>-891.5</v>
      </c>
    </row>
    <row r="34" spans="1:6" ht="15">
      <c r="A34" s="73" t="s">
        <v>115</v>
      </c>
      <c r="B34" s="24"/>
      <c r="C34" s="22"/>
      <c r="D34" s="22"/>
      <c r="E34" s="33"/>
      <c r="F34" s="66">
        <f>IF(SUM(F32:F33)&lt;0,0,+SUM(F32:F33))</f>
        <v>0</v>
      </c>
    </row>
    <row r="35" spans="1:6" ht="13.5" thickBot="1">
      <c r="A35" s="91"/>
      <c r="B35" s="92"/>
      <c r="C35" s="93"/>
      <c r="D35" s="92"/>
      <c r="E35" s="92"/>
      <c r="F35" s="94"/>
    </row>
    <row r="36" spans="1:6" ht="12.75">
      <c r="A36" s="9"/>
      <c r="B36" s="9"/>
      <c r="C36" s="18"/>
      <c r="D36" s="9"/>
      <c r="E36" s="9"/>
      <c r="F36" s="10"/>
    </row>
  </sheetData>
  <sheetProtection/>
  <mergeCells count="6">
    <mergeCell ref="A1:F1"/>
    <mergeCell ref="A27:F27"/>
    <mergeCell ref="A23:F23"/>
    <mergeCell ref="A19:F19"/>
    <mergeCell ref="A11:F11"/>
    <mergeCell ref="A4:F4"/>
  </mergeCells>
  <printOptions horizontalCentered="1"/>
  <pageMargins left="0.17" right="0.17" top="0.72" bottom="0.51" header="0.25" footer="0.17"/>
  <pageSetup horizontalDpi="300" verticalDpi="300" orientation="portrait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dmr5</dc:creator>
  <cp:keywords/>
  <dc:description/>
  <cp:lastModifiedBy>O'Brien, Timothy J</cp:lastModifiedBy>
  <cp:lastPrinted>2022-03-01T17:38:35Z</cp:lastPrinted>
  <dcterms:created xsi:type="dcterms:W3CDTF">2001-04-04T12:16:42Z</dcterms:created>
  <dcterms:modified xsi:type="dcterms:W3CDTF">2022-03-01T22:07:01Z</dcterms:modified>
  <cp:category/>
  <cp:version/>
  <cp:contentType/>
  <cp:contentStatus/>
</cp:coreProperties>
</file>