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GRANTS\7_Magnet School-17057\Operating Magnet Grant-ED_614\Interdistrict Magnet Grant-ED614_Application\2026-27\"/>
    </mc:Choice>
  </mc:AlternateContent>
  <xr:revisionPtr revIDLastSave="0" documentId="13_ncr:1_{ECD723BC-AAE7-4E28-B44F-C1B26BAD4FD6}" xr6:coauthVersionLast="47" xr6:coauthVersionMax="47" xr10:uidLastSave="{00000000-0000-0000-0000-000000000000}"/>
  <bookViews>
    <workbookView xWindow="38280" yWindow="-120" windowWidth="29040" windowHeight="17520" xr2:uid="{F7A037E0-9983-4389-9AD9-E0F88677539C}"/>
  </bookViews>
  <sheets>
    <sheet name="RESC Grant Calc" sheetId="4" r:id="rId1"/>
    <sheet name="Enroll Projections" sheetId="3" r:id="rId2"/>
    <sheet name="2025-26 Grant Calc" sheetId="2" r:id="rId3"/>
    <sheet name="FT Pivot RESC" sheetId="1" r:id="rId4"/>
    <sheet name="FT F1 ELL-FRPL-SpED Pivot" sheetId="10" r:id="rId5"/>
  </sheets>
  <externalReferences>
    <externalReference r:id="rId6"/>
    <externalReference r:id="rId7"/>
  </externalReferences>
  <definedNames>
    <definedName name="ECAMP_Mag_Oct_2024_Freeze_0">#REF!</definedName>
    <definedName name="ECAMP_Oct_2023_Freeze_0">#REF!</definedName>
    <definedName name="Freeze_1_for_PYA_in_FY20" localSheetId="0">'[1]PYA Data for FY20'!#REF!</definedName>
    <definedName name="Freeze_1_for_PYA_in_FY20">'[1]PYA Data for FY20'!#REF!</definedName>
    <definedName name="HB5212_ECAMP_10_1_23_Freeze_1">#REF!</definedName>
    <definedName name="HB5212_Mag_FT_10_1_23_Freeze_1">#REF!</definedName>
    <definedName name="HB5212_Mag_PT_10_1_23_Freeze_1">#REF!</definedName>
    <definedName name="Mag_FT_Oct_2023_Freeze_0">#REF!</definedName>
    <definedName name="Mag_PT_Oct_2023_Freeze_0">#REF!</definedName>
    <definedName name="Magnet_Freeze_0" localSheetId="0">#REF!</definedName>
    <definedName name="Magnet_Freeze_0">#REF!</definedName>
    <definedName name="Magnet_Freeze_0_PT" localSheetId="0">#REF!</definedName>
    <definedName name="Magnet_Freeze_0_PT">#REF!</definedName>
    <definedName name="Magnet_Oct_2022_Freeze_0" localSheetId="0">#REF!</definedName>
    <definedName name="Magnet_Oct_2022_Freeze_0">#REF!</definedName>
    <definedName name="PSIS_Oct_2021_Freeze_1_for_PYAs">#REF!</definedName>
    <definedName name="PSIS_Oct_2021_Freeze_2_for_PYAs" localSheetId="0">#REF!</definedName>
    <definedName name="PSIS_Oct_2021_Freeze_2_for_PYAs">#REF!</definedName>
    <definedName name="PT_Mag_Oct_2024_Freeze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3" l="1"/>
  <c r="F4" i="3"/>
  <c r="AC17" i="2" l="1"/>
  <c r="AB17" i="2"/>
  <c r="Y17" i="2"/>
  <c r="X17" i="2"/>
  <c r="K17" i="2"/>
  <c r="J17" i="2"/>
  <c r="F17" i="2"/>
  <c r="S17" i="2" s="1"/>
  <c r="AG17" i="2" s="1"/>
  <c r="EH4" i="1"/>
  <c r="D4" i="3" l="1"/>
  <c r="C12" i="4" s="1"/>
  <c r="AH17" i="2"/>
  <c r="L17" i="2"/>
  <c r="M17" i="2" s="1"/>
  <c r="Q17" i="2" s="1"/>
  <c r="U17" i="2" s="1"/>
  <c r="V17" i="2" s="1"/>
  <c r="T12" i="4" s="1"/>
  <c r="X18" i="2"/>
  <c r="Y18" i="2"/>
  <c r="Z17" i="2"/>
  <c r="AD17" i="2" s="1"/>
  <c r="D12" i="4"/>
  <c r="I12" i="4"/>
  <c r="J12" i="4" s="1"/>
  <c r="I17" i="2"/>
  <c r="AA17" i="2"/>
  <c r="E12" i="4" l="1"/>
  <c r="Z18" i="2"/>
  <c r="K12" i="4"/>
  <c r="F12" i="4"/>
  <c r="AI17" i="2"/>
  <c r="Q12" i="4" s="1"/>
  <c r="AE17" i="2"/>
  <c r="G12" i="4" l="1"/>
  <c r="H12" i="4" s="1"/>
  <c r="L12" i="4" s="1"/>
  <c r="M12" i="4" s="1"/>
  <c r="N12" i="4"/>
  <c r="O12" i="4" l="1"/>
  <c r="P12" i="4" s="1"/>
  <c r="R12" i="4" l="1"/>
  <c r="S12" i="4" l="1"/>
  <c r="U12" i="4" s="1"/>
  <c r="V12" i="4" s="1"/>
  <c r="W12" i="4" l="1"/>
  <c r="Z12" i="4" l="1"/>
</calcChain>
</file>

<file path=xl/sharedStrings.xml><?xml version="1.0" encoding="utf-8"?>
<sst xmlns="http://schemas.openxmlformats.org/spreadsheetml/2006/main" count="171" uniqueCount="137">
  <si>
    <t>Sum of CountOfSASID</t>
  </si>
  <si>
    <t>Grand Total</t>
  </si>
  <si>
    <t>Total</t>
  </si>
  <si>
    <t>Max</t>
  </si>
  <si>
    <t>Connecticut State Department of Education</t>
  </si>
  <si>
    <t>Host</t>
  </si>
  <si>
    <t>H</t>
  </si>
  <si>
    <t>FY 24</t>
  </si>
  <si>
    <t>NonSheff RESC &lt;55%</t>
  </si>
  <si>
    <t>R1</t>
  </si>
  <si>
    <t>PSIS - October 1, 2025 - Freeze 1</t>
  </si>
  <si>
    <t>NonSheff RESC &gt;=55%</t>
  </si>
  <si>
    <t>R2</t>
  </si>
  <si>
    <t>Freeze1- PSIS File</t>
  </si>
  <si>
    <t>Edison GE55 &amp; LE80</t>
  </si>
  <si>
    <t>E</t>
  </si>
  <si>
    <t>558res_max else $3060; 153nonR_max else $7227</t>
  </si>
  <si>
    <t>Sheff RESC&lt;60</t>
  </si>
  <si>
    <t>SR</t>
  </si>
  <si>
    <t>Sheff Hartford</t>
  </si>
  <si>
    <t>SH</t>
  </si>
  <si>
    <t>SHEFF PT</t>
  </si>
  <si>
    <t>GH</t>
  </si>
  <si>
    <t>RESC PT</t>
  </si>
  <si>
    <t>PT</t>
  </si>
  <si>
    <t>For RESC Holdharmless</t>
  </si>
  <si>
    <t>Grants Based on PSIS October 1, 2023 Freeze 1 Enrollment</t>
  </si>
  <si>
    <t>Adjustments/Penalties</t>
  </si>
  <si>
    <t>Final Grant</t>
  </si>
  <si>
    <t>Tuition Rec'd</t>
  </si>
  <si>
    <t>CL Ttl Rev</t>
  </si>
  <si>
    <t>Ttl Rev PP</t>
  </si>
  <si>
    <t>FY2026 Actual</t>
  </si>
  <si>
    <t>FY24 Tuition PP</t>
  </si>
  <si>
    <t>58% of Col AH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</si>
  <si>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</si>
  <si>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</si>
  <si>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</si>
  <si>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</si>
  <si>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</si>
  <si>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</si>
  <si>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</si>
  <si>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</si>
  <si>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</si>
  <si>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</si>
  <si>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</si>
  <si>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(b*e)+(c*f)</t>
  </si>
  <si>
    <t>2023-24</t>
  </si>
  <si>
    <t>Prelim Grant</t>
  </si>
  <si>
    <t>2025-26</t>
  </si>
  <si>
    <t>In Dist</t>
  </si>
  <si>
    <t>Out Dist</t>
  </si>
  <si>
    <t xml:space="preserve">Percent </t>
  </si>
  <si>
    <t>Other</t>
  </si>
  <si>
    <t>Est</t>
  </si>
  <si>
    <t>Grant based</t>
  </si>
  <si>
    <t>Adjustment/</t>
  </si>
  <si>
    <t>+ Adj/Penalty</t>
  </si>
  <si>
    <t>Type</t>
  </si>
  <si>
    <t>dist</t>
  </si>
  <si>
    <t>schl</t>
  </si>
  <si>
    <t>Combo</t>
  </si>
  <si>
    <t>School Name</t>
  </si>
  <si>
    <t>Tot_Kids</t>
  </si>
  <si>
    <t>Kids</t>
  </si>
  <si>
    <t>In District</t>
  </si>
  <si>
    <t>Rate</t>
  </si>
  <si>
    <t>Grant</t>
  </si>
  <si>
    <t>on 10/1 Enr.</t>
  </si>
  <si>
    <t>Penalty</t>
  </si>
  <si>
    <t>Adj/Penalty Notes</t>
  </si>
  <si>
    <t>(h) + (i)</t>
  </si>
  <si>
    <t>Actual</t>
  </si>
  <si>
    <t>Dist Code</t>
  </si>
  <si>
    <t>District</t>
  </si>
  <si>
    <t>FY25 Act Enroll</t>
  </si>
  <si>
    <t>FY26 Act Enroll</t>
  </si>
  <si>
    <t>FY26 Act FRPL</t>
  </si>
  <si>
    <t>FY26 Act ELL</t>
  </si>
  <si>
    <t>FY26</t>
  </si>
  <si>
    <t>A</t>
  </si>
  <si>
    <t>Foundation:</t>
  </si>
  <si>
    <t>B</t>
  </si>
  <si>
    <t>FRPL Weighting Factor:</t>
  </si>
  <si>
    <t>C</t>
  </si>
  <si>
    <t>Excess 60% FRPL Weight:</t>
  </si>
  <si>
    <t>D</t>
  </si>
  <si>
    <t>ELL Weighting Factor:</t>
  </si>
  <si>
    <t>Sheff Weighting Factor:</t>
  </si>
  <si>
    <t>Dist</t>
  </si>
  <si>
    <t>Dist Name</t>
  </si>
  <si>
    <t>Student Count</t>
  </si>
  <si>
    <t>FRPL Count</t>
  </si>
  <si>
    <t>FRPL Weighted Students</t>
  </si>
  <si>
    <t>60% of Student Enrollment</t>
  </si>
  <si>
    <t># FRPL Students Above 60% Student Count</t>
  </si>
  <si>
    <t>Concentrated Poverty Weighted Students</t>
  </si>
  <si>
    <t>ELL Count</t>
  </si>
  <si>
    <t>ELL Weighted Students</t>
  </si>
  <si>
    <t>Sheff Weighted Students</t>
  </si>
  <si>
    <t>Total Mag Sch Prog Need Students</t>
  </si>
  <si>
    <t>(A) Grant Entitlement Under New Formula</t>
  </si>
  <si>
    <t>(B) Grant Entitlement with CL PP Grants Mult By FY25 Count</t>
  </si>
  <si>
    <t>(C) 42% of Difference of A &amp; B</t>
  </si>
  <si>
    <t>(D) Grant Entitlement (B+C)</t>
  </si>
  <si>
    <t>(E) 58% Tuition Cap Amt</t>
  </si>
  <si>
    <t>FY26 Grant Plus 58% Tuition (D+E)</t>
  </si>
  <si>
    <t>FY26 Revenue PP</t>
  </si>
  <si>
    <t>FY25 Total Revenue PP</t>
  </si>
  <si>
    <t>Hold Harmless</t>
  </si>
  <si>
    <t>Hold Harmless Amount</t>
  </si>
  <si>
    <t>Total FY26 Grant Ent Plus HH</t>
  </si>
  <si>
    <t>Direct Enrollment Penalty</t>
  </si>
  <si>
    <t>PYA</t>
  </si>
  <si>
    <t>Total FY26 Grant</t>
  </si>
  <si>
    <t>Sum of Count if SpEd</t>
  </si>
  <si>
    <t>School A</t>
  </si>
  <si>
    <t>xxx</t>
  </si>
  <si>
    <t>*Data from PSIS Freeze 1 Enrollment Data Pivot Table</t>
  </si>
  <si>
    <t>FY 2026</t>
  </si>
  <si>
    <t>HOLD HARMLESS</t>
  </si>
  <si>
    <t>FY24 Tuition PP x FY26 Proj Enrollment</t>
  </si>
  <si>
    <t>School xxx</t>
  </si>
  <si>
    <r>
      <rPr>
        <b/>
        <sz val="12"/>
        <color theme="1"/>
        <rFont val="Aptos Narrow"/>
        <family val="2"/>
        <scheme val="minor"/>
      </rPr>
      <t>* Row Label</t>
    </r>
    <r>
      <rPr>
        <sz val="12"/>
        <color theme="1"/>
        <rFont val="Aptos Narrow"/>
        <family val="2"/>
        <scheme val="minor"/>
      </rPr>
      <t xml:space="preserve"> = Resident Town Code based on PSIS Freeze 1 Enrollment </t>
    </r>
  </si>
  <si>
    <t>Resident Town Code</t>
  </si>
  <si>
    <t>RESC Enrollment</t>
  </si>
  <si>
    <t>RESC</t>
  </si>
  <si>
    <t>Free and Reduced Priced Lunch (FRPL) and English Language Learner (ELL)</t>
  </si>
  <si>
    <t>Sum of Count if FRPL</t>
  </si>
  <si>
    <t>Sum of Count if ELL</t>
  </si>
  <si>
    <t>Row Labels*</t>
  </si>
  <si>
    <t xml:space="preserve">Free and Reduced Priced Lunch (FRPL) , English Language Learner (ELL) and Special Education(SpEd) Count </t>
  </si>
  <si>
    <t>RESC and College-Affiliated- Magnet Grant Formula</t>
  </si>
  <si>
    <t>In-District</t>
  </si>
  <si>
    <t>Out-of District</t>
  </si>
  <si>
    <t>Per Pupil Rates Used Prior to FY24</t>
  </si>
  <si>
    <t>RESC Enrollment by Resident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</si>
</sst>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8" tint="-0.249977111117893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i/>
      <u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8"/>
      <name val="Aptos Narrow"/>
      <family val="2"/>
      <scheme val="minor"/>
    </font>
    <font>
      <sz val="14"/>
      <name val="Aptos Narrow"/>
      <family val="2"/>
      <scheme val="minor"/>
    </font>
    <font>
      <b/>
      <i/>
      <u/>
      <sz val="14"/>
      <color rgb="FFFF0000"/>
      <name val="Aptos Narrow"/>
      <family val="2"/>
      <scheme val="minor"/>
    </font>
    <font>
      <b/>
      <i/>
      <u/>
      <sz val="14"/>
      <name val="Aptos Narrow"/>
      <family val="2"/>
      <scheme val="minor"/>
    </font>
    <font>
      <i/>
      <u/>
      <sz val="14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rgb="FFA20000"/>
      <name val="Aptos Narrow"/>
      <family val="2"/>
      <scheme val="minor"/>
    </font>
    <font>
      <b/>
      <u/>
      <sz val="12"/>
      <color rgb="FFA2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4"/>
    <xf numFmtId="0" fontId="2" fillId="0" borderId="0" xfId="4" applyFont="1"/>
    <xf numFmtId="166" fontId="1" fillId="0" borderId="0" xfId="4" applyNumberFormat="1"/>
    <xf numFmtId="3" fontId="1" fillId="0" borderId="0" xfId="4" applyNumberFormat="1"/>
    <xf numFmtId="6" fontId="1" fillId="0" borderId="0" xfId="4" applyNumberForma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4" applyFont="1"/>
    <xf numFmtId="166" fontId="13" fillId="0" borderId="0" xfId="4" applyNumberFormat="1" applyFont="1"/>
    <xf numFmtId="0" fontId="12" fillId="0" borderId="0" xfId="4" applyFont="1" applyAlignment="1">
      <alignment horizontal="right"/>
    </xf>
    <xf numFmtId="0" fontId="12" fillId="0" borderId="0" xfId="4" applyFont="1"/>
    <xf numFmtId="0" fontId="14" fillId="0" borderId="0" xfId="4" applyFont="1"/>
    <xf numFmtId="0" fontId="12" fillId="0" borderId="4" xfId="4" applyFont="1" applyBorder="1"/>
    <xf numFmtId="166" fontId="12" fillId="0" borderId="0" xfId="5" applyNumberFormat="1" applyFont="1"/>
    <xf numFmtId="9" fontId="12" fillId="0" borderId="0" xfId="4" applyNumberFormat="1" applyFont="1"/>
    <xf numFmtId="0" fontId="16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164" fontId="16" fillId="0" borderId="0" xfId="2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13" fillId="0" borderId="0" xfId="0" applyFont="1"/>
    <xf numFmtId="165" fontId="13" fillId="0" borderId="0" xfId="0" applyNumberFormat="1" applyFont="1"/>
    <xf numFmtId="0" fontId="17" fillId="0" borderId="0" xfId="0" applyFont="1"/>
    <xf numFmtId="3" fontId="13" fillId="0" borderId="0" xfId="0" applyNumberFormat="1" applyFont="1"/>
    <xf numFmtId="9" fontId="13" fillId="0" borderId="0" xfId="0" applyNumberFormat="1" applyFont="1"/>
    <xf numFmtId="9" fontId="13" fillId="0" borderId="0" xfId="0" applyNumberFormat="1" applyFont="1" applyAlignment="1">
      <alignment horizontal="left"/>
    </xf>
    <xf numFmtId="0" fontId="18" fillId="0" borderId="0" xfId="0" applyFont="1"/>
    <xf numFmtId="0" fontId="12" fillId="0" borderId="0" xfId="0" applyFont="1"/>
    <xf numFmtId="165" fontId="19" fillId="0" borderId="0" xfId="1" applyNumberFormat="1" applyFont="1" applyFill="1" applyBorder="1" applyAlignment="1">
      <alignment horizontal="right"/>
    </xf>
    <xf numFmtId="165" fontId="19" fillId="0" borderId="0" xfId="1" applyNumberFormat="1" applyFont="1" applyFill="1" applyBorder="1" applyAlignment="1"/>
    <xf numFmtId="0" fontId="15" fillId="0" borderId="0" xfId="0" applyFont="1"/>
    <xf numFmtId="165" fontId="20" fillId="0" borderId="0" xfId="1" applyNumberFormat="1" applyFont="1" applyFill="1" applyBorder="1" applyAlignment="1"/>
    <xf numFmtId="3" fontId="8" fillId="0" borderId="0" xfId="0" applyNumberFormat="1" applyFont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3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164" fontId="8" fillId="0" borderId="0" xfId="2" applyNumberFormat="1" applyFont="1" applyFill="1" applyAlignment="1">
      <alignment horizontal="right"/>
    </xf>
    <xf numFmtId="164" fontId="8" fillId="0" borderId="0" xfId="2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center"/>
    </xf>
    <xf numFmtId="0" fontId="16" fillId="0" borderId="4" xfId="0" quotePrefix="1" applyFont="1" applyBorder="1" applyAlignment="1">
      <alignment horizontal="center"/>
    </xf>
    <xf numFmtId="0" fontId="19" fillId="0" borderId="4" xfId="0" applyFont="1" applyBorder="1"/>
    <xf numFmtId="165" fontId="19" fillId="0" borderId="4" xfId="1" applyNumberFormat="1" applyFont="1" applyFill="1" applyBorder="1" applyAlignment="1"/>
    <xf numFmtId="165" fontId="19" fillId="0" borderId="4" xfId="1" applyNumberFormat="1" applyFont="1" applyFill="1" applyBorder="1" applyAlignment="1">
      <alignment horizontal="right"/>
    </xf>
    <xf numFmtId="10" fontId="16" fillId="0" borderId="4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13" fillId="0" borderId="4" xfId="0" applyFont="1" applyBorder="1"/>
    <xf numFmtId="38" fontId="13" fillId="0" borderId="4" xfId="0" applyNumberFormat="1" applyFont="1" applyBorder="1"/>
    <xf numFmtId="165" fontId="16" fillId="0" borderId="4" xfId="1" applyNumberFormat="1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quotePrefix="1" applyFont="1" applyAlignment="1">
      <alignment horizontal="center"/>
    </xf>
    <xf numFmtId="10" fontId="16" fillId="0" borderId="0" xfId="0" applyNumberFormat="1" applyFont="1" applyAlignment="1">
      <alignment horizontal="right"/>
    </xf>
    <xf numFmtId="38" fontId="15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10" fontId="8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16" fillId="0" borderId="0" xfId="0" applyNumberFormat="1" applyFont="1"/>
    <xf numFmtId="0" fontId="12" fillId="0" borderId="4" xfId="0" applyFont="1" applyBorder="1"/>
    <xf numFmtId="165" fontId="20" fillId="0" borderId="4" xfId="1" applyNumberFormat="1" applyFont="1" applyFill="1" applyBorder="1" applyAlignment="1"/>
    <xf numFmtId="0" fontId="13" fillId="0" borderId="6" xfId="0" applyFont="1" applyBorder="1"/>
    <xf numFmtId="38" fontId="13" fillId="0" borderId="0" xfId="0" applyNumberFormat="1" applyFont="1"/>
    <xf numFmtId="165" fontId="12" fillId="0" borderId="4" xfId="1" applyNumberFormat="1" applyFont="1" applyFill="1" applyBorder="1"/>
    <xf numFmtId="0" fontId="13" fillId="0" borderId="0" xfId="0" applyFont="1" applyAlignment="1">
      <alignment wrapText="1"/>
    </xf>
    <xf numFmtId="0" fontId="13" fillId="0" borderId="4" xfId="0" applyFont="1" applyBorder="1" applyAlignment="1">
      <alignment horizontal="left"/>
    </xf>
    <xf numFmtId="0" fontId="12" fillId="0" borderId="4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4" xfId="0" pivotButton="1" applyFont="1" applyBorder="1" applyAlignment="1">
      <alignment wrapText="1"/>
    </xf>
    <xf numFmtId="0" fontId="13" fillId="0" borderId="0" xfId="0" applyFont="1" applyAlignment="1">
      <alignment horizontal="left"/>
    </xf>
    <xf numFmtId="0" fontId="12" fillId="0" borderId="4" xfId="0" applyFont="1" applyBorder="1" applyAlignment="1">
      <alignment horizontal="center" wrapText="1"/>
    </xf>
    <xf numFmtId="0" fontId="13" fillId="0" borderId="5" xfId="4" applyFont="1" applyBorder="1"/>
    <xf numFmtId="0" fontId="13" fillId="0" borderId="3" xfId="4" applyFont="1" applyBorder="1"/>
    <xf numFmtId="165" fontId="13" fillId="0" borderId="5" xfId="3" applyNumberFormat="1" applyFont="1" applyBorder="1"/>
    <xf numFmtId="165" fontId="12" fillId="0" borderId="4" xfId="3" applyNumberFormat="1" applyFont="1" applyBorder="1"/>
    <xf numFmtId="0" fontId="27" fillId="0" borderId="0" xfId="4" applyFont="1"/>
    <xf numFmtId="0" fontId="12" fillId="0" borderId="4" xfId="4" applyFont="1" applyBorder="1" applyAlignment="1">
      <alignment horizontal="center" wrapText="1"/>
    </xf>
    <xf numFmtId="0" fontId="12" fillId="0" borderId="4" xfId="4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3" fontId="8" fillId="3" borderId="9" xfId="0" applyNumberFormat="1" applyFont="1" applyFill="1" applyBorder="1" applyAlignment="1">
      <alignment horizontal="center"/>
    </xf>
    <xf numFmtId="49" fontId="8" fillId="3" borderId="9" xfId="0" applyNumberFormat="1" applyFont="1" applyFill="1" applyBorder="1" applyAlignment="1">
      <alignment horizontal="center"/>
    </xf>
    <xf numFmtId="0" fontId="8" fillId="3" borderId="5" xfId="0" applyFont="1" applyFill="1" applyBorder="1"/>
    <xf numFmtId="0" fontId="8" fillId="3" borderId="5" xfId="0" applyFont="1" applyFill="1" applyBorder="1" applyAlignment="1">
      <alignment horizontal="center"/>
    </xf>
    <xf numFmtId="49" fontId="16" fillId="3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3" fontId="8" fillId="3" borderId="10" xfId="0" applyNumberFormat="1" applyFont="1" applyFill="1" applyBorder="1" applyAlignment="1">
      <alignment horizontal="center"/>
    </xf>
    <xf numFmtId="0" fontId="5" fillId="3" borderId="16" xfId="0" applyFont="1" applyFill="1" applyBorder="1"/>
    <xf numFmtId="38" fontId="12" fillId="3" borderId="9" xfId="0" applyNumberFormat="1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38" fontId="13" fillId="3" borderId="5" xfId="0" applyNumberFormat="1" applyFont="1" applyFill="1" applyBorder="1"/>
    <xf numFmtId="0" fontId="16" fillId="3" borderId="5" xfId="0" applyFont="1" applyFill="1" applyBorder="1"/>
    <xf numFmtId="38" fontId="12" fillId="3" borderId="9" xfId="2" applyNumberFormat="1" applyFont="1" applyFill="1" applyBorder="1" applyAlignment="1">
      <alignment horizontal="center"/>
    </xf>
    <xf numFmtId="38" fontId="12" fillId="3" borderId="5" xfId="0" applyNumberFormat="1" applyFont="1" applyFill="1" applyBorder="1"/>
    <xf numFmtId="0" fontId="8" fillId="3" borderId="5" xfId="0" quotePrefix="1" applyFont="1" applyFill="1" applyBorder="1" applyAlignment="1">
      <alignment horizontal="center"/>
    </xf>
    <xf numFmtId="0" fontId="12" fillId="3" borderId="10" xfId="0" applyFont="1" applyFill="1" applyBorder="1"/>
    <xf numFmtId="0" fontId="8" fillId="3" borderId="10" xfId="0" applyFont="1" applyFill="1" applyBorder="1"/>
    <xf numFmtId="38" fontId="12" fillId="3" borderId="10" xfId="2" applyNumberFormat="1" applyFont="1" applyFill="1" applyBorder="1" applyAlignment="1">
      <alignment horizontal="center"/>
    </xf>
    <xf numFmtId="3" fontId="8" fillId="3" borderId="4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49" fontId="16" fillId="3" borderId="4" xfId="0" applyNumberFormat="1" applyFont="1" applyFill="1" applyBorder="1" applyAlignment="1">
      <alignment horizontal="right"/>
    </xf>
    <xf numFmtId="0" fontId="12" fillId="3" borderId="4" xfId="0" applyFont="1" applyFill="1" applyBorder="1"/>
    <xf numFmtId="0" fontId="2" fillId="3" borderId="4" xfId="4" applyFont="1" applyFill="1" applyBorder="1" applyAlignment="1">
      <alignment horizontal="center"/>
    </xf>
    <xf numFmtId="0" fontId="12" fillId="3" borderId="4" xfId="4" applyFont="1" applyFill="1" applyBorder="1" applyAlignment="1">
      <alignment horizontal="center" wrapText="1"/>
    </xf>
    <xf numFmtId="166" fontId="12" fillId="3" borderId="4" xfId="4" applyNumberFormat="1" applyFont="1" applyFill="1" applyBorder="1" applyAlignment="1">
      <alignment horizontal="center" wrapText="1"/>
    </xf>
    <xf numFmtId="0" fontId="12" fillId="3" borderId="4" xfId="4" applyFont="1" applyFill="1" applyBorder="1" applyAlignment="1">
      <alignment horizontal="left"/>
    </xf>
    <xf numFmtId="0" fontId="2" fillId="0" borderId="4" xfId="4" applyFont="1" applyBorder="1"/>
    <xf numFmtId="165" fontId="12" fillId="0" borderId="4" xfId="3" applyNumberFormat="1" applyFont="1" applyFill="1" applyBorder="1"/>
    <xf numFmtId="43" fontId="12" fillId="0" borderId="4" xfId="4" applyNumberFormat="1" applyFont="1" applyBorder="1"/>
    <xf numFmtId="165" fontId="12" fillId="0" borderId="4" xfId="6" applyNumberFormat="1" applyFont="1" applyFill="1" applyBorder="1"/>
    <xf numFmtId="6" fontId="12" fillId="0" borderId="4" xfId="4" applyNumberFormat="1" applyFont="1" applyBorder="1"/>
    <xf numFmtId="3" fontId="12" fillId="0" borderId="4" xfId="4" applyNumberFormat="1" applyFont="1" applyBorder="1"/>
    <xf numFmtId="0" fontId="13" fillId="0" borderId="4" xfId="4" applyFont="1" applyBorder="1"/>
    <xf numFmtId="165" fontId="13" fillId="0" borderId="4" xfId="3" applyNumberFormat="1" applyFont="1" applyFill="1" applyBorder="1"/>
    <xf numFmtId="165" fontId="13" fillId="0" borderId="4" xfId="4" applyNumberFormat="1" applyFont="1" applyBorder="1"/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5" fontId="13" fillId="0" borderId="4" xfId="0" applyNumberFormat="1" applyFont="1" applyBorder="1"/>
    <xf numFmtId="0" fontId="13" fillId="0" borderId="8" xfId="0" applyFont="1" applyBorder="1"/>
    <xf numFmtId="165" fontId="13" fillId="0" borderId="4" xfId="1" applyNumberFormat="1" applyFont="1" applyFill="1" applyBorder="1"/>
    <xf numFmtId="0" fontId="13" fillId="0" borderId="7" xfId="0" applyFont="1" applyBorder="1"/>
    <xf numFmtId="43" fontId="12" fillId="0" borderId="4" xfId="0" applyNumberFormat="1" applyFont="1" applyBorder="1"/>
    <xf numFmtId="3" fontId="12" fillId="0" borderId="0" xfId="0" applyNumberFormat="1" applyFont="1"/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28" fillId="5" borderId="6" xfId="4" applyFont="1" applyFill="1" applyBorder="1" applyAlignment="1">
      <alignment horizontal="center"/>
    </xf>
    <xf numFmtId="0" fontId="28" fillId="5" borderId="7" xfId="4" applyFont="1" applyFill="1" applyBorder="1" applyAlignment="1">
      <alignment horizontal="center"/>
    </xf>
    <xf numFmtId="0" fontId="28" fillId="5" borderId="8" xfId="4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38" fontId="5" fillId="3" borderId="11" xfId="2" applyNumberFormat="1" applyFont="1" applyFill="1" applyBorder="1" applyAlignment="1">
      <alignment horizontal="center"/>
    </xf>
    <xf numFmtId="38" fontId="5" fillId="3" borderId="15" xfId="2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/>
    </xf>
    <xf numFmtId="0" fontId="26" fillId="5" borderId="7" xfId="0" applyFont="1" applyFill="1" applyBorder="1" applyAlignment="1">
      <alignment horizontal="center"/>
    </xf>
    <xf numFmtId="0" fontId="26" fillId="5" borderId="8" xfId="0" applyFont="1" applyFill="1" applyBorder="1" applyAlignment="1">
      <alignment horizontal="center"/>
    </xf>
    <xf numFmtId="0" fontId="29" fillId="0" borderId="0" xfId="4" applyFont="1"/>
    <xf numFmtId="0" fontId="30" fillId="0" borderId="0" xfId="0" applyFont="1"/>
  </cellXfs>
  <cellStyles count="7">
    <cellStyle name="Comma" xfId="1" builtinId="3"/>
    <cellStyle name="Comma 2" xfId="3" xr:uid="{A312EA36-2690-4351-BBBE-B05836FD36EF}"/>
    <cellStyle name="Currency" xfId="2" builtinId="4"/>
    <cellStyle name="Currency 2" xfId="5" xr:uid="{5A857893-4E6E-4ECC-8BEA-EB66BA731197}"/>
    <cellStyle name="Normal" xfId="0" builtinId="0"/>
    <cellStyle name="Normal 2" xfId="4" xr:uid="{A3E63E39-A3FC-4E2E-BDB8-A0F8B7F15905}"/>
    <cellStyle name="Percent 2" xfId="6" xr:uid="{83DB8D74-BE05-4A00-BBE0-567B57C9E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48986</xdr:colOff>
      <xdr:row>15</xdr:row>
      <xdr:rowOff>74386</xdr:rowOff>
    </xdr:from>
    <xdr:to>
      <xdr:col>16</xdr:col>
      <xdr:colOff>228600</xdr:colOff>
      <xdr:row>45</xdr:row>
      <xdr:rowOff>170009</xdr:rowOff>
    </xdr:to>
    <xdr:pic>
      <xdr:nvPicPr>
        <xdr:cNvPr id="2" name="Picture 1" descr="This is an image to show the magnet grant formula for RESC and college-affiliated magnet school operators.&#10;">
          <a:extLst>
            <a:ext uri="{FF2B5EF4-FFF2-40B4-BE49-F238E27FC236}">
              <a16:creationId xmlns:a16="http://schemas.microsoft.com/office/drawing/2014/main" id="{5FFB6EAE-A411-8646-B89A-016AF93E4B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350"/>
        <a:stretch>
          <a:fillRect/>
        </a:stretch>
      </xdr:blipFill>
      <xdr:spPr>
        <a:xfrm>
          <a:off x="6649811" y="4027261"/>
          <a:ext cx="7561489" cy="5524873"/>
        </a:xfrm>
        <a:prstGeom prst="rect">
          <a:avLst/>
        </a:prstGeom>
        <a:noFill/>
        <a:ln w="19050">
          <a:solidFill>
            <a:srgbClr val="FF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tgovexec-my.sharepoint.com/Magnet%202017/Magnet%20GRANTS/Operating%20Magnet%20Grant-ED114/2019-20-FY20/May%20Payment/FINAL%20Magnet%20Final%20Calc%202020_Revis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tgovexec-my.sharepoint.com/personal/tom_markoski_ct_gov/Documents/Desktop/May%201%20Magnet%20Calc%20FY26%20TCM%20TEST.xlsx" TargetMode="External"/><Relationship Id="rId1" Type="http://schemas.openxmlformats.org/officeDocument/2006/relationships/externalLinkPath" Target="https://ctgovexec-my.sharepoint.com/personal/tom_markoski_ct_gov/Documents/Desktop/May%201%20Magnet%20Calc%20FY26%20TCM%20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ount_Summary"/>
      <sheetName val="May 2020 Pmt"/>
      <sheetName val="2019-20 Calc"/>
      <sheetName val="Residency Penalty"/>
      <sheetName val="Direct Enrollment (Rev)"/>
      <sheetName val="DE_SASIDBank"/>
      <sheetName val="Dual Enrollment-OpenChoice_ "/>
      <sheetName val="50-50"/>
      <sheetName val="PYA Calc for FY20"/>
      <sheetName val="PYA Data for FY20"/>
      <sheetName val="PYA Data with Fa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 Whole grant"/>
      <sheetName val="Notes"/>
      <sheetName val="Comparison FY25 &amp; FY26"/>
      <sheetName val="Spring Payment List"/>
      <sheetName val="RESC Grant Calc"/>
      <sheetName val="BOE Grant Calc"/>
      <sheetName val="Enroll Projections"/>
      <sheetName val="Sending Dist Weighted Fund PP"/>
      <sheetName val="dbo_PSISOct2025_Freeze1 FT (2)"/>
      <sheetName val="ignore"/>
      <sheetName val="2025-26 Grant Calc"/>
      <sheetName val="FT Pivot BOE"/>
      <sheetName val="FT Pivot RESC"/>
      <sheetName val="FT F1 ELL-FRPL-SpEd Pivot"/>
      <sheetName val="dbo_PSISOct2025_Freeze1 FT Use"/>
      <sheetName val="PT Pivot Freeze 1"/>
      <sheetName val="PT F1 FRPL-ELL-SpEd Pivot"/>
      <sheetName val="dbo_PSISOct2025_Freeze1 PT"/>
      <sheetName val="ECAMP EL FRPL Sped"/>
      <sheetName val="ECAMP Pivot2"/>
      <sheetName val="dbo_PSISOct2025_Freeze1 ECAMP"/>
      <sheetName val="Codes Rates Tuition"/>
      <sheetName val="Fall Payment List"/>
      <sheetName val="BOE and New OOD Calc"/>
    </sheetNames>
    <sheetDataSet>
      <sheetData sheetId="0"/>
      <sheetData sheetId="1"/>
      <sheetData sheetId="2"/>
      <sheetData sheetId="3"/>
      <sheetData sheetId="4"/>
      <sheetData sheetId="5" refreshError="1"/>
      <sheetData sheetId="6">
        <row r="17">
          <cell r="D17">
            <v>9079</v>
          </cell>
        </row>
      </sheetData>
      <sheetData sheetId="7">
        <row r="2">
          <cell r="A2">
            <v>1</v>
          </cell>
        </row>
      </sheetData>
      <sheetData sheetId="8"/>
      <sheetData sheetId="9"/>
      <sheetData sheetId="10">
        <row r="17">
          <cell r="X17">
            <v>371</v>
          </cell>
        </row>
      </sheetData>
      <sheetData sheetId="11" refreshError="1"/>
      <sheetData sheetId="12">
        <row r="5">
          <cell r="EF5">
            <v>778</v>
          </cell>
          <cell r="EH5">
            <v>338</v>
          </cell>
        </row>
      </sheetData>
      <sheetData sheetId="13">
        <row r="3">
          <cell r="A3" t="str">
            <v>Row Labels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">
          <cell r="E2" t="str">
            <v>0110811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BB1E-7047-4454-94A9-23DDE250EB3C}">
  <sheetPr>
    <pageSetUpPr fitToPage="1"/>
  </sheetPr>
  <dimension ref="A1:Z14"/>
  <sheetViews>
    <sheetView tabSelected="1" workbookViewId="0">
      <pane xSplit="2" ySplit="11" topLeftCell="C12" activePane="bottomRight" state="frozen"/>
      <selection pane="topRight" activeCell="C1" sqref="C1"/>
      <selection pane="bottomLeft" activeCell="A11" sqref="A11"/>
      <selection pane="bottomRight" activeCell="K11" sqref="K11"/>
    </sheetView>
  </sheetViews>
  <sheetFormatPr defaultColWidth="9.1328125" defaultRowHeight="14.25" x14ac:dyDescent="0.45"/>
  <cols>
    <col min="1" max="1" width="5.53125" style="7" customWidth="1"/>
    <col min="2" max="2" width="22" style="7" bestFit="1" customWidth="1"/>
    <col min="3" max="3" width="12.3984375" style="7" customWidth="1"/>
    <col min="4" max="4" width="7.59765625" style="7" bestFit="1" customWidth="1"/>
    <col min="5" max="5" width="9.59765625" style="7" bestFit="1" customWidth="1"/>
    <col min="6" max="6" width="11.59765625" style="7" customWidth="1"/>
    <col min="7" max="7" width="10.3984375" style="7" customWidth="1"/>
    <col min="8" max="8" width="13.1328125" style="7" bestFit="1" customWidth="1"/>
    <col min="9" max="9" width="13.1328125" style="7" customWidth="1"/>
    <col min="10" max="10" width="9.3984375" style="7" customWidth="1"/>
    <col min="11" max="12" width="12.3984375" style="9" customWidth="1"/>
    <col min="13" max="13" width="13.19921875" style="7" bestFit="1" customWidth="1"/>
    <col min="14" max="14" width="13.3984375" style="7" customWidth="1"/>
    <col min="15" max="15" width="12.86328125" style="7" bestFit="1" customWidth="1"/>
    <col min="16" max="17" width="16.19921875" style="7" customWidth="1"/>
    <col min="18" max="18" width="14" style="7" customWidth="1"/>
    <col min="19" max="19" width="9" style="7" customWidth="1"/>
    <col min="20" max="21" width="9.1328125" style="7"/>
    <col min="22" max="22" width="10.1328125" style="7" bestFit="1" customWidth="1"/>
    <col min="23" max="23" width="12.59765625" style="7" bestFit="1" customWidth="1"/>
    <col min="24" max="25" width="11.1328125" style="7" customWidth="1"/>
    <col min="26" max="26" width="14.86328125" style="7" customWidth="1"/>
    <col min="27" max="16384" width="9.1328125" style="7"/>
  </cols>
  <sheetData>
    <row r="1" spans="1:26" ht="23.25" x14ac:dyDescent="0.7">
      <c r="A1" s="144" t="s">
        <v>132</v>
      </c>
      <c r="B1" s="145"/>
      <c r="C1" s="145"/>
      <c r="D1" s="145"/>
      <c r="E1" s="145"/>
      <c r="F1" s="145"/>
      <c r="G1" s="145"/>
      <c r="H1" s="145"/>
      <c r="I1" s="146"/>
    </row>
    <row r="2" spans="1:26" ht="23.25" x14ac:dyDescent="0.7">
      <c r="A2" s="12"/>
      <c r="B2" s="13"/>
      <c r="C2" s="13"/>
      <c r="D2" s="13"/>
      <c r="E2" s="13"/>
      <c r="F2" s="13"/>
      <c r="G2" s="13"/>
      <c r="H2" s="13"/>
      <c r="I2" s="13"/>
      <c r="J2" s="14"/>
      <c r="K2" s="15"/>
      <c r="L2" s="1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x14ac:dyDescent="0.5">
      <c r="B3" s="14"/>
      <c r="C3" s="16" t="s">
        <v>79</v>
      </c>
      <c r="D3" s="14"/>
      <c r="E3" s="15"/>
      <c r="F3" s="15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x14ac:dyDescent="0.5">
      <c r="A4" s="7" t="s">
        <v>80</v>
      </c>
      <c r="B4" s="17" t="s">
        <v>81</v>
      </c>
      <c r="C4" s="20">
        <v>11525</v>
      </c>
      <c r="D4" s="14"/>
      <c r="E4" s="14"/>
      <c r="F4" s="15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75" x14ac:dyDescent="0.5">
      <c r="A5" s="7" t="s">
        <v>82</v>
      </c>
      <c r="B5" s="17" t="s">
        <v>83</v>
      </c>
      <c r="C5" s="21">
        <v>0.3</v>
      </c>
      <c r="D5" s="14"/>
      <c r="E5" s="15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x14ac:dyDescent="0.5">
      <c r="A6" s="7" t="s">
        <v>84</v>
      </c>
      <c r="B6" s="17" t="s">
        <v>85</v>
      </c>
      <c r="C6" s="21">
        <v>0.15</v>
      </c>
      <c r="D6" s="14"/>
      <c r="E6" s="15"/>
      <c r="F6" s="15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x14ac:dyDescent="0.5">
      <c r="A7" s="7" t="s">
        <v>86</v>
      </c>
      <c r="B7" s="17" t="s">
        <v>87</v>
      </c>
      <c r="C7" s="21">
        <v>0.25</v>
      </c>
      <c r="D7" s="14"/>
      <c r="E7" s="15"/>
      <c r="F7" s="1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x14ac:dyDescent="0.5">
      <c r="A8" s="7" t="s">
        <v>15</v>
      </c>
      <c r="B8" s="17" t="s">
        <v>88</v>
      </c>
      <c r="C8" s="21">
        <v>0.3</v>
      </c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x14ac:dyDescent="0.5">
      <c r="B9" s="14"/>
      <c r="C9" s="14"/>
      <c r="D9" s="14"/>
      <c r="E9" s="14"/>
      <c r="F9" s="14"/>
      <c r="G9" s="14"/>
      <c r="H9" s="14"/>
      <c r="I9" s="14"/>
      <c r="J9" s="14"/>
      <c r="K9" s="15"/>
      <c r="L9" s="15"/>
      <c r="M9" s="14"/>
      <c r="N9" s="14"/>
      <c r="O9" s="14"/>
      <c r="P9" s="14"/>
      <c r="Q9" s="18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x14ac:dyDescent="0.5">
      <c r="A10" s="8" t="s">
        <v>119</v>
      </c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4"/>
      <c r="N10" s="14"/>
      <c r="O10" s="14"/>
      <c r="P10" s="14"/>
      <c r="Q10" s="164" t="s">
        <v>120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s="8" customFormat="1" ht="78.75" x14ac:dyDescent="0.5">
      <c r="A11" s="117" t="s">
        <v>89</v>
      </c>
      <c r="B11" s="120" t="s">
        <v>90</v>
      </c>
      <c r="C11" s="118" t="s">
        <v>91</v>
      </c>
      <c r="D11" s="118" t="s">
        <v>92</v>
      </c>
      <c r="E11" s="118" t="s">
        <v>93</v>
      </c>
      <c r="F11" s="118" t="s">
        <v>94</v>
      </c>
      <c r="G11" s="118" t="s">
        <v>95</v>
      </c>
      <c r="H11" s="118" t="s">
        <v>96</v>
      </c>
      <c r="I11" s="118" t="s">
        <v>97</v>
      </c>
      <c r="J11" s="119" t="s">
        <v>98</v>
      </c>
      <c r="K11" s="119" t="s">
        <v>99</v>
      </c>
      <c r="L11" s="118" t="s">
        <v>100</v>
      </c>
      <c r="M11" s="118" t="s">
        <v>101</v>
      </c>
      <c r="N11" s="118" t="s">
        <v>102</v>
      </c>
      <c r="O11" s="118" t="s">
        <v>103</v>
      </c>
      <c r="P11" s="118" t="s">
        <v>104</v>
      </c>
      <c r="Q11" s="118" t="s">
        <v>105</v>
      </c>
      <c r="R11" s="118" t="s">
        <v>106</v>
      </c>
      <c r="S11" s="118" t="s">
        <v>107</v>
      </c>
      <c r="T11" s="118" t="s">
        <v>108</v>
      </c>
      <c r="U11" s="118" t="s">
        <v>109</v>
      </c>
      <c r="V11" s="118" t="s">
        <v>110</v>
      </c>
      <c r="W11" s="118" t="s">
        <v>111</v>
      </c>
      <c r="X11" s="118" t="s">
        <v>112</v>
      </c>
      <c r="Y11" s="118" t="s">
        <v>113</v>
      </c>
      <c r="Z11" s="118" t="s">
        <v>114</v>
      </c>
    </row>
    <row r="12" spans="1:26" s="8" customFormat="1" ht="15.75" x14ac:dyDescent="0.5">
      <c r="A12" s="121" t="s">
        <v>117</v>
      </c>
      <c r="B12" s="19" t="s">
        <v>116</v>
      </c>
      <c r="C12" s="122">
        <f>'Enroll Projections'!D4</f>
        <v>778</v>
      </c>
      <c r="D12" s="122">
        <f>'Enroll Projections'!F4</f>
        <v>521</v>
      </c>
      <c r="E12" s="123">
        <f>D12*$C$5</f>
        <v>156.29999999999998</v>
      </c>
      <c r="F12" s="123">
        <f>ROUND(C12*0.6,2)</f>
        <v>466.8</v>
      </c>
      <c r="G12" s="124">
        <f>MAX(D12-F12,0)</f>
        <v>54.199999999999989</v>
      </c>
      <c r="H12" s="123">
        <f>ROUND(G12*0.15,2)</f>
        <v>8.1300000000000008</v>
      </c>
      <c r="I12" s="19">
        <f>'Enroll Projections'!H4</f>
        <v>119</v>
      </c>
      <c r="J12" s="123">
        <f>I12*$C$7</f>
        <v>29.75</v>
      </c>
      <c r="K12" s="123">
        <f>$C$8*C12</f>
        <v>233.39999999999998</v>
      </c>
      <c r="L12" s="123">
        <f t="shared" ref="L12" si="0">C12+E12+H12+J12+K12</f>
        <v>1205.58</v>
      </c>
      <c r="M12" s="125">
        <f>ROUND(L12*$C$4,0)</f>
        <v>13894310</v>
      </c>
      <c r="N12" s="125">
        <f>'2025-26 Grant Calc'!AE17</f>
        <v>8287256</v>
      </c>
      <c r="O12" s="125">
        <f>ROUND(0.42*(M12-N12),0)</f>
        <v>2354963</v>
      </c>
      <c r="P12" s="125">
        <f>N12+O12</f>
        <v>10642219</v>
      </c>
      <c r="Q12" s="125">
        <f>'2025-26 Grant Calc'!AI17</f>
        <v>2888838</v>
      </c>
      <c r="R12" s="125">
        <f>P12+Q12</f>
        <v>13531057</v>
      </c>
      <c r="S12" s="126">
        <f>ROUND(R12/C12,0)</f>
        <v>17392</v>
      </c>
      <c r="T12" s="126">
        <f>'2025-26 Grant Calc'!V17</f>
        <v>17054</v>
      </c>
      <c r="U12" s="126" t="str">
        <f>IF(T12&gt;S12,"YES"," ")</f>
        <v xml:space="preserve"> </v>
      </c>
      <c r="V12" s="126">
        <f>IF(U12="YES",(T12-S12)*C12,0)</f>
        <v>0</v>
      </c>
      <c r="W12" s="125">
        <f>P12+V12</f>
        <v>10642219</v>
      </c>
      <c r="X12" s="19"/>
      <c r="Y12" s="19"/>
      <c r="Z12" s="125">
        <f>W12+X12+Y12</f>
        <v>10642219</v>
      </c>
    </row>
    <row r="13" spans="1:26" ht="15.75" x14ac:dyDescent="0.5">
      <c r="B13" s="14"/>
      <c r="C13" s="14"/>
      <c r="D13" s="14"/>
      <c r="E13" s="14"/>
      <c r="F13" s="14"/>
      <c r="G13" s="14"/>
      <c r="H13" s="14"/>
      <c r="I13" s="14"/>
      <c r="J13" s="15"/>
      <c r="K13" s="1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x14ac:dyDescent="0.45">
      <c r="V14" s="10"/>
      <c r="W14" s="11"/>
    </row>
  </sheetData>
  <mergeCells count="1">
    <mergeCell ref="A1:I1"/>
  </mergeCells>
  <pageMargins left="0.7" right="0.7" top="0.75" bottom="0.75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01085-538F-4F3F-B959-69B1C255CD75}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3" sqref="F23"/>
    </sheetView>
  </sheetViews>
  <sheetFormatPr defaultColWidth="9.1328125" defaultRowHeight="15.75" x14ac:dyDescent="0.5"/>
  <cols>
    <col min="1" max="1" width="7.53125" style="14" customWidth="1"/>
    <col min="2" max="2" width="12.86328125" style="14" bestFit="1" customWidth="1"/>
    <col min="3" max="3" width="7.6640625" style="14" bestFit="1" customWidth="1"/>
    <col min="4" max="4" width="8.19921875" style="14" bestFit="1" customWidth="1"/>
    <col min="5" max="5" width="3.3984375" style="14" customWidth="1"/>
    <col min="6" max="6" width="23" style="14" customWidth="1"/>
    <col min="7" max="8" width="13.59765625" style="14" customWidth="1"/>
    <col min="9" max="9" width="1.6640625" style="14" customWidth="1"/>
    <col min="10" max="16384" width="9.1328125" style="14"/>
  </cols>
  <sheetData>
    <row r="1" spans="1:8" s="88" customFormat="1" ht="21" x14ac:dyDescent="0.65">
      <c r="A1" s="147" t="s">
        <v>127</v>
      </c>
      <c r="B1" s="148"/>
      <c r="C1" s="148"/>
      <c r="D1" s="148"/>
      <c r="E1" s="148"/>
      <c r="F1" s="148"/>
      <c r="G1" s="148"/>
      <c r="H1" s="149"/>
    </row>
    <row r="2" spans="1:8" ht="47.25" x14ac:dyDescent="0.5">
      <c r="A2" s="89" t="s">
        <v>73</v>
      </c>
      <c r="B2" s="90" t="s">
        <v>74</v>
      </c>
      <c r="C2" s="89" t="s">
        <v>75</v>
      </c>
      <c r="D2" s="89" t="s">
        <v>76</v>
      </c>
      <c r="E2" s="90"/>
      <c r="F2" s="89" t="s">
        <v>77</v>
      </c>
      <c r="G2" s="90"/>
      <c r="H2" s="89" t="s">
        <v>78</v>
      </c>
    </row>
    <row r="3" spans="1:8" x14ac:dyDescent="0.5">
      <c r="A3" s="84"/>
      <c r="B3" s="85"/>
      <c r="C3" s="86"/>
      <c r="D3" s="86"/>
    </row>
    <row r="4" spans="1:8" x14ac:dyDescent="0.5">
      <c r="A4" s="127" t="s">
        <v>117</v>
      </c>
      <c r="B4" s="127" t="s">
        <v>116</v>
      </c>
      <c r="C4" s="128">
        <v>742</v>
      </c>
      <c r="D4" s="128">
        <f>'2025-26 Grant Calc'!X17</f>
        <v>778</v>
      </c>
      <c r="E4" s="127"/>
      <c r="F4" s="129">
        <f>'FT F1 ELL-FRPL-SpED Pivot'!C5</f>
        <v>521</v>
      </c>
      <c r="G4" s="127"/>
      <c r="H4" s="127">
        <f>'FT F1 ELL-FRPL-SpED Pivot'!D5</f>
        <v>119</v>
      </c>
    </row>
    <row r="5" spans="1:8" s="17" customFormat="1" x14ac:dyDescent="0.5">
      <c r="A5" s="19"/>
      <c r="B5" s="19"/>
      <c r="C5" s="87"/>
      <c r="D5" s="87"/>
      <c r="E5" s="19"/>
      <c r="F5" s="19"/>
      <c r="G5" s="19"/>
      <c r="H5" s="19"/>
    </row>
    <row r="6" spans="1:8" s="17" customFormat="1" x14ac:dyDescent="0.5">
      <c r="A6" s="19"/>
      <c r="B6" s="19"/>
      <c r="C6" s="87"/>
      <c r="D6" s="87"/>
      <c r="E6" s="19"/>
      <c r="F6" s="87"/>
      <c r="G6" s="19"/>
      <c r="H6" s="87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9878-8218-46E3-A14C-591BA10C41E8}">
  <dimension ref="A1:BG129"/>
  <sheetViews>
    <sheetView topLeftCell="W1" zoomScale="102" zoomScaleNormal="102" workbookViewId="0">
      <selection activeCell="AG11" sqref="AG11"/>
    </sheetView>
  </sheetViews>
  <sheetFormatPr defaultRowHeight="14.25" x14ac:dyDescent="0.45"/>
  <cols>
    <col min="2" max="2" width="4.19921875" bestFit="1" customWidth="1"/>
    <col min="3" max="3" width="4.3984375" bestFit="1" customWidth="1"/>
    <col min="5" max="5" width="42.3984375" customWidth="1"/>
    <col min="6" max="6" width="11.6640625" bestFit="1" customWidth="1"/>
    <col min="7" max="8" width="10" bestFit="1" customWidth="1"/>
    <col min="9" max="10" width="9.59765625" customWidth="1"/>
    <col min="12" max="12" width="11" bestFit="1" customWidth="1"/>
    <col min="13" max="13" width="13.19921875" bestFit="1" customWidth="1"/>
    <col min="14" max="14" width="3.1328125" customWidth="1"/>
    <col min="15" max="15" width="11.59765625" customWidth="1"/>
    <col min="16" max="16" width="16.9296875" customWidth="1"/>
    <col min="17" max="17" width="17.1328125" bestFit="1" customWidth="1"/>
    <col min="18" max="18" width="3.19921875" customWidth="1"/>
    <col min="19" max="19" width="15.3984375" customWidth="1"/>
    <col min="20" max="20" width="2.3984375" customWidth="1"/>
    <col min="21" max="21" width="14.86328125" bestFit="1" customWidth="1"/>
    <col min="22" max="22" width="13.19921875" customWidth="1"/>
    <col min="23" max="23" width="2.86328125" customWidth="1"/>
    <col min="25" max="25" width="8.6640625" bestFit="1" customWidth="1"/>
    <col min="26" max="26" width="10.6640625" bestFit="1" customWidth="1"/>
    <col min="27" max="27" width="12.3984375" bestFit="1" customWidth="1"/>
    <col min="28" max="28" width="8.6640625" bestFit="1" customWidth="1"/>
    <col min="29" max="29" width="7.19921875" bestFit="1" customWidth="1"/>
    <col min="30" max="30" width="10.6640625" bestFit="1" customWidth="1"/>
    <col min="31" max="31" width="14.3984375" bestFit="1" customWidth="1"/>
    <col min="33" max="33" width="18.1328125" customWidth="1"/>
    <col min="34" max="34" width="18.59765625" bestFit="1" customWidth="1"/>
    <col min="35" max="35" width="16.1328125" bestFit="1" customWidth="1"/>
  </cols>
  <sheetData>
    <row r="1" spans="1:59" ht="23.25" x14ac:dyDescent="0.7">
      <c r="A1" s="42" t="s">
        <v>4</v>
      </c>
      <c r="I1" s="150" t="s">
        <v>135</v>
      </c>
      <c r="J1" s="150"/>
      <c r="K1" s="150"/>
      <c r="L1" s="150"/>
      <c r="M1" s="150"/>
    </row>
    <row r="2" spans="1:59" ht="18" x14ac:dyDescent="0.55000000000000004">
      <c r="A2" s="1" t="s">
        <v>7</v>
      </c>
      <c r="B2" s="22"/>
      <c r="C2" s="22"/>
      <c r="L2" s="8" t="s">
        <v>133</v>
      </c>
      <c r="M2" s="8" t="s">
        <v>134</v>
      </c>
    </row>
    <row r="3" spans="1:59" ht="18" x14ac:dyDescent="0.55000000000000004">
      <c r="A3" s="2" t="s">
        <v>10</v>
      </c>
      <c r="B3" s="43"/>
      <c r="C3" s="43"/>
      <c r="D3" s="22"/>
      <c r="E3" s="23"/>
      <c r="F3" s="23"/>
      <c r="G3" s="24"/>
      <c r="H3" s="24"/>
      <c r="I3" s="24"/>
      <c r="J3" s="130" t="s">
        <v>5</v>
      </c>
      <c r="K3" s="41" t="s">
        <v>6</v>
      </c>
      <c r="L3" s="50">
        <v>3060</v>
      </c>
      <c r="M3" s="50">
        <v>7227</v>
      </c>
      <c r="N3" s="28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</row>
    <row r="4" spans="1:59" ht="18" x14ac:dyDescent="0.55000000000000004">
      <c r="A4" s="45" t="s">
        <v>13</v>
      </c>
      <c r="B4" s="43"/>
      <c r="C4" s="43"/>
      <c r="D4" s="43"/>
      <c r="E4" s="44"/>
      <c r="F4" s="23"/>
      <c r="G4" s="24"/>
      <c r="H4" s="24"/>
      <c r="I4" s="24"/>
      <c r="J4" s="130" t="s">
        <v>8</v>
      </c>
      <c r="K4" s="41" t="s">
        <v>9</v>
      </c>
      <c r="L4" s="51">
        <v>8058</v>
      </c>
      <c r="M4" s="50">
        <v>8058</v>
      </c>
      <c r="N4" s="28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</row>
    <row r="5" spans="1:59" ht="18" x14ac:dyDescent="0.55000000000000004">
      <c r="B5" s="46"/>
      <c r="C5" s="43"/>
      <c r="D5" s="43"/>
      <c r="E5" s="44"/>
      <c r="F5" s="23"/>
      <c r="G5" s="24"/>
      <c r="H5" s="24"/>
      <c r="I5" s="24"/>
      <c r="J5" s="130" t="s">
        <v>11</v>
      </c>
      <c r="K5" s="41" t="s">
        <v>12</v>
      </c>
      <c r="L5" s="50">
        <v>3060</v>
      </c>
      <c r="M5" s="50">
        <v>7227</v>
      </c>
      <c r="N5" s="28"/>
      <c r="O5" s="29"/>
      <c r="P5" s="29"/>
      <c r="Q5" s="29"/>
      <c r="R5" s="29"/>
      <c r="S5" s="29"/>
      <c r="T5" s="29"/>
      <c r="U5" s="29"/>
      <c r="V5" s="29"/>
      <c r="W5" s="29"/>
      <c r="X5" s="29"/>
      <c r="Y5" s="30"/>
      <c r="Z5" s="30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ht="18" x14ac:dyDescent="0.55000000000000004">
      <c r="D6" s="43"/>
      <c r="E6" s="44"/>
      <c r="F6" s="23"/>
      <c r="G6" s="24"/>
      <c r="H6" s="24"/>
      <c r="I6" s="24"/>
      <c r="J6" s="130" t="s">
        <v>14</v>
      </c>
      <c r="K6" s="41" t="s">
        <v>15</v>
      </c>
      <c r="L6" s="50">
        <v>8344</v>
      </c>
      <c r="M6" s="50">
        <v>8344</v>
      </c>
      <c r="N6" s="131" t="s">
        <v>16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</row>
    <row r="7" spans="1:59" ht="18" x14ac:dyDescent="0.55000000000000004">
      <c r="A7" s="47"/>
      <c r="B7" s="48"/>
      <c r="C7" s="48"/>
      <c r="D7" s="48"/>
      <c r="E7" s="49"/>
      <c r="F7" s="31"/>
      <c r="G7" s="24"/>
      <c r="H7" s="24"/>
      <c r="I7" s="24"/>
      <c r="J7" s="130" t="s">
        <v>17</v>
      </c>
      <c r="K7" s="41" t="s">
        <v>18</v>
      </c>
      <c r="L7" s="51">
        <v>10652</v>
      </c>
      <c r="M7" s="50">
        <v>10652</v>
      </c>
      <c r="N7" s="28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59" ht="15.75" x14ac:dyDescent="0.5">
      <c r="A8" s="4"/>
      <c r="B8" s="22"/>
      <c r="C8" s="22"/>
      <c r="D8" s="22"/>
      <c r="E8" s="22"/>
      <c r="F8" s="23"/>
      <c r="G8" s="24"/>
      <c r="H8" s="24"/>
      <c r="I8" s="24"/>
      <c r="J8" s="130" t="s">
        <v>19</v>
      </c>
      <c r="K8" s="41" t="s">
        <v>20</v>
      </c>
      <c r="L8" s="50">
        <v>0</v>
      </c>
      <c r="M8" s="50">
        <v>13315</v>
      </c>
      <c r="N8" s="28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</row>
    <row r="9" spans="1:59" ht="15.75" x14ac:dyDescent="0.5">
      <c r="A9" s="4"/>
      <c r="B9" s="22"/>
      <c r="C9" s="22"/>
      <c r="D9" s="22"/>
      <c r="E9" s="4"/>
      <c r="F9" s="23"/>
      <c r="G9" s="24"/>
      <c r="H9" s="24"/>
      <c r="I9" s="29"/>
      <c r="J9" s="130" t="s">
        <v>21</v>
      </c>
      <c r="K9" s="41" t="s">
        <v>22</v>
      </c>
      <c r="L9" s="51">
        <v>6924</v>
      </c>
      <c r="M9" s="50">
        <v>6924</v>
      </c>
      <c r="N9" s="29"/>
      <c r="O9" s="29"/>
      <c r="P9" s="29"/>
      <c r="Q9" s="29"/>
      <c r="R9" s="29"/>
      <c r="S9" s="29"/>
      <c r="T9" s="29"/>
      <c r="U9" s="32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</row>
    <row r="10" spans="1:59" ht="15.75" x14ac:dyDescent="0.5">
      <c r="A10" s="23"/>
      <c r="B10" s="22"/>
      <c r="C10" s="22"/>
      <c r="D10" s="22"/>
      <c r="E10" s="4"/>
      <c r="F10" s="23"/>
      <c r="G10" s="24"/>
      <c r="H10" s="24"/>
      <c r="I10" s="24"/>
      <c r="J10" s="130" t="s">
        <v>23</v>
      </c>
      <c r="K10" s="41" t="s">
        <v>24</v>
      </c>
      <c r="L10" s="50">
        <v>5238</v>
      </c>
      <c r="M10" s="50">
        <v>5238</v>
      </c>
      <c r="N10" s="28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</row>
    <row r="11" spans="1:59" ht="15.75" customHeight="1" x14ac:dyDescent="0.5">
      <c r="A11" s="23"/>
      <c r="B11" s="22"/>
      <c r="C11" s="22"/>
      <c r="D11" s="22"/>
      <c r="E11" s="4"/>
      <c r="F11" s="23"/>
      <c r="G11" s="24"/>
      <c r="H11" s="24"/>
      <c r="I11" s="24"/>
      <c r="J11" s="25"/>
      <c r="K11" s="26"/>
      <c r="L11" s="27"/>
      <c r="M11" s="27"/>
      <c r="N11" s="28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33"/>
      <c r="AE11" s="34"/>
      <c r="AF11" s="29"/>
      <c r="AG11" s="165" t="s">
        <v>25</v>
      </c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</row>
    <row r="12" spans="1:59" s="3" customFormat="1" ht="18.75" customHeight="1" x14ac:dyDescent="0.55000000000000004">
      <c r="A12" s="158" t="s">
        <v>26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9"/>
      <c r="N12" s="35"/>
      <c r="O12" s="152" t="s">
        <v>27</v>
      </c>
      <c r="P12" s="153"/>
      <c r="Q12" s="101" t="s">
        <v>28</v>
      </c>
      <c r="R12" s="35"/>
      <c r="S12" s="155" t="s">
        <v>29</v>
      </c>
      <c r="T12" s="35"/>
      <c r="U12" s="156" t="s">
        <v>30</v>
      </c>
      <c r="V12" s="156" t="s">
        <v>31</v>
      </c>
      <c r="W12" s="35"/>
      <c r="X12" s="154" t="s">
        <v>32</v>
      </c>
      <c r="Y12" s="154"/>
      <c r="Z12" s="154"/>
      <c r="AA12" s="154"/>
      <c r="AB12" s="154"/>
      <c r="AC12" s="154"/>
      <c r="AD12" s="154"/>
      <c r="AE12" s="154"/>
      <c r="AF12" s="35"/>
      <c r="AG12" s="151" t="s">
        <v>33</v>
      </c>
      <c r="AH12" s="160" t="s">
        <v>121</v>
      </c>
      <c r="AI12" s="151" t="s">
        <v>34</v>
      </c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</row>
    <row r="13" spans="1:59" ht="15.75" x14ac:dyDescent="0.5">
      <c r="A13" s="157" t="s">
        <v>58</v>
      </c>
      <c r="B13" s="157" t="s">
        <v>59</v>
      </c>
      <c r="C13" s="157" t="s">
        <v>60</v>
      </c>
      <c r="D13" s="157" t="s">
        <v>61</v>
      </c>
      <c r="E13" s="157" t="s">
        <v>62</v>
      </c>
      <c r="F13" s="92" t="s">
        <v>35</v>
      </c>
      <c r="G13" s="92" t="s">
        <v>36</v>
      </c>
      <c r="H13" s="92" t="s">
        <v>37</v>
      </c>
      <c r="I13" s="92" t="s">
        <v>38</v>
      </c>
      <c r="J13" s="93" t="s">
        <v>39</v>
      </c>
      <c r="K13" s="93" t="s">
        <v>40</v>
      </c>
      <c r="L13" s="94" t="s">
        <v>41</v>
      </c>
      <c r="M13" s="92" t="s">
        <v>42</v>
      </c>
      <c r="N13" s="36"/>
      <c r="O13" s="102" t="s">
        <v>43</v>
      </c>
      <c r="P13" s="92" t="s">
        <v>44</v>
      </c>
      <c r="Q13" s="103" t="s">
        <v>45</v>
      </c>
      <c r="R13" s="29"/>
      <c r="S13" s="155"/>
      <c r="T13" s="29"/>
      <c r="U13" s="156"/>
      <c r="V13" s="156"/>
      <c r="W13" s="29"/>
      <c r="X13" s="91" t="s">
        <v>35</v>
      </c>
      <c r="Y13" s="91" t="s">
        <v>36</v>
      </c>
      <c r="Z13" s="91" t="s">
        <v>37</v>
      </c>
      <c r="AA13" s="91" t="s">
        <v>38</v>
      </c>
      <c r="AB13" s="112" t="s">
        <v>39</v>
      </c>
      <c r="AC13" s="112" t="s">
        <v>40</v>
      </c>
      <c r="AD13" s="113" t="s">
        <v>41</v>
      </c>
      <c r="AE13" s="91" t="s">
        <v>42</v>
      </c>
      <c r="AF13" s="29"/>
      <c r="AG13" s="151"/>
      <c r="AH13" s="160"/>
      <c r="AI13" s="151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</row>
    <row r="14" spans="1:59" ht="15.75" x14ac:dyDescent="0.5">
      <c r="A14" s="157"/>
      <c r="B14" s="157"/>
      <c r="C14" s="157"/>
      <c r="D14" s="157"/>
      <c r="E14" s="157"/>
      <c r="F14" s="95"/>
      <c r="G14" s="96"/>
      <c r="H14" s="96"/>
      <c r="I14" s="96"/>
      <c r="J14" s="95"/>
      <c r="K14" s="95"/>
      <c r="L14" s="97" t="s">
        <v>46</v>
      </c>
      <c r="M14" s="96" t="s">
        <v>47</v>
      </c>
      <c r="N14" s="29"/>
      <c r="O14" s="104"/>
      <c r="P14" s="105"/>
      <c r="Q14" s="106" t="s">
        <v>48</v>
      </c>
      <c r="R14" s="29"/>
      <c r="S14" s="155"/>
      <c r="T14" s="29"/>
      <c r="U14" s="156"/>
      <c r="V14" s="156"/>
      <c r="W14" s="29"/>
      <c r="X14" s="114"/>
      <c r="Y14" s="91"/>
      <c r="Z14" s="91"/>
      <c r="AA14" s="91"/>
      <c r="AB14" s="114"/>
      <c r="AC14" s="114"/>
      <c r="AD14" s="115" t="s">
        <v>46</v>
      </c>
      <c r="AE14" s="91" t="s">
        <v>49</v>
      </c>
      <c r="AF14" s="29"/>
      <c r="AG14" s="151"/>
      <c r="AH14" s="160"/>
      <c r="AI14" s="151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</row>
    <row r="15" spans="1:59" ht="15.75" x14ac:dyDescent="0.5">
      <c r="A15" s="157"/>
      <c r="B15" s="157"/>
      <c r="C15" s="157"/>
      <c r="D15" s="157"/>
      <c r="E15" s="157"/>
      <c r="F15" s="96"/>
      <c r="G15" s="96" t="s">
        <v>50</v>
      </c>
      <c r="H15" s="96" t="s">
        <v>51</v>
      </c>
      <c r="I15" s="96" t="s">
        <v>52</v>
      </c>
      <c r="J15" s="98" t="s">
        <v>50</v>
      </c>
      <c r="K15" s="98" t="s">
        <v>53</v>
      </c>
      <c r="L15" s="98" t="s">
        <v>54</v>
      </c>
      <c r="M15" s="96" t="s">
        <v>55</v>
      </c>
      <c r="N15" s="29"/>
      <c r="O15" s="107" t="s">
        <v>56</v>
      </c>
      <c r="P15" s="95"/>
      <c r="Q15" s="108" t="s">
        <v>57</v>
      </c>
      <c r="R15" s="29"/>
      <c r="S15" s="155"/>
      <c r="T15" s="29"/>
      <c r="U15" s="156"/>
      <c r="V15" s="156"/>
      <c r="W15" s="29"/>
      <c r="X15" s="91"/>
      <c r="Y15" s="91" t="s">
        <v>50</v>
      </c>
      <c r="Z15" s="91" t="s">
        <v>51</v>
      </c>
      <c r="AA15" s="91" t="s">
        <v>52</v>
      </c>
      <c r="AB15" s="112" t="s">
        <v>50</v>
      </c>
      <c r="AC15" s="112" t="s">
        <v>53</v>
      </c>
      <c r="AD15" s="112" t="s">
        <v>54</v>
      </c>
      <c r="AE15" s="91"/>
      <c r="AF15" s="29"/>
      <c r="AG15" s="151"/>
      <c r="AH15" s="160"/>
      <c r="AI15" s="151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</row>
    <row r="16" spans="1:59" ht="15.75" x14ac:dyDescent="0.5">
      <c r="A16" s="157"/>
      <c r="B16" s="157"/>
      <c r="C16" s="157"/>
      <c r="D16" s="157"/>
      <c r="E16" s="157"/>
      <c r="F16" s="99" t="s">
        <v>63</v>
      </c>
      <c r="G16" s="99" t="s">
        <v>64</v>
      </c>
      <c r="H16" s="99" t="s">
        <v>64</v>
      </c>
      <c r="I16" s="99" t="s">
        <v>65</v>
      </c>
      <c r="J16" s="100" t="s">
        <v>66</v>
      </c>
      <c r="K16" s="100" t="s">
        <v>66</v>
      </c>
      <c r="L16" s="100" t="s">
        <v>67</v>
      </c>
      <c r="M16" s="99" t="s">
        <v>68</v>
      </c>
      <c r="N16" s="29"/>
      <c r="O16" s="109" t="s">
        <v>69</v>
      </c>
      <c r="P16" s="110" t="s">
        <v>70</v>
      </c>
      <c r="Q16" s="111" t="s">
        <v>71</v>
      </c>
      <c r="R16" s="29"/>
      <c r="S16" s="155"/>
      <c r="T16" s="29"/>
      <c r="U16" s="156"/>
      <c r="V16" s="156"/>
      <c r="W16" s="29"/>
      <c r="X16" s="91" t="s">
        <v>63</v>
      </c>
      <c r="Y16" s="91" t="s">
        <v>64</v>
      </c>
      <c r="Z16" s="91" t="s">
        <v>64</v>
      </c>
      <c r="AA16" s="91" t="s">
        <v>65</v>
      </c>
      <c r="AB16" s="112" t="s">
        <v>66</v>
      </c>
      <c r="AC16" s="112" t="s">
        <v>66</v>
      </c>
      <c r="AD16" s="112" t="s">
        <v>67</v>
      </c>
      <c r="AE16" s="91" t="s">
        <v>72</v>
      </c>
      <c r="AF16" s="29"/>
      <c r="AG16" s="151"/>
      <c r="AH16" s="160"/>
      <c r="AI16" s="151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</row>
    <row r="17" spans="1:59" ht="15.75" x14ac:dyDescent="0.5">
      <c r="A17" s="52" t="s">
        <v>18</v>
      </c>
      <c r="B17" s="52" t="s">
        <v>117</v>
      </c>
      <c r="C17" s="52">
        <v>1</v>
      </c>
      <c r="D17" s="53" t="s">
        <v>117</v>
      </c>
      <c r="E17" s="54" t="s">
        <v>116</v>
      </c>
      <c r="F17" s="55">
        <f>SUM(G17:H17)</f>
        <v>731</v>
      </c>
      <c r="G17" s="56">
        <v>319</v>
      </c>
      <c r="H17" s="56">
        <v>412</v>
      </c>
      <c r="I17" s="57">
        <f>ROUND(+G17/F17,4)</f>
        <v>0.43640000000000001</v>
      </c>
      <c r="J17" s="58">
        <f>VLOOKUP($A17,$K$3:$M$10,2,FALSE)</f>
        <v>10652</v>
      </c>
      <c r="K17" s="58">
        <f>VLOOKUP($A17,$K$3:$M$10,3,FALSE)</f>
        <v>10652</v>
      </c>
      <c r="L17" s="58">
        <f>+J17*G17+K17*H17</f>
        <v>7786612</v>
      </c>
      <c r="M17" s="59">
        <f>L17</f>
        <v>7786612</v>
      </c>
      <c r="N17" s="74"/>
      <c r="O17" s="61"/>
      <c r="P17" s="60"/>
      <c r="Q17" s="132">
        <f>M17</f>
        <v>7786612</v>
      </c>
      <c r="R17" s="133"/>
      <c r="S17" s="132">
        <f>F17*6402</f>
        <v>4679862</v>
      </c>
      <c r="T17" s="60"/>
      <c r="U17" s="132">
        <f>Q17+S17</f>
        <v>12466474</v>
      </c>
      <c r="V17" s="134">
        <f>ROUND(U17/F17,0)</f>
        <v>17054</v>
      </c>
      <c r="W17" s="135"/>
      <c r="X17" s="55">
        <f>'[2]FT Pivot RESC'!EF5</f>
        <v>778</v>
      </c>
      <c r="Y17" s="55">
        <f>'[2]FT Pivot RESC'!EH5</f>
        <v>338</v>
      </c>
      <c r="Z17" s="62">
        <f t="shared" ref="Z17" si="0">X17-Y17</f>
        <v>440</v>
      </c>
      <c r="AA17" s="57">
        <f>ROUND(+Y17/X17,4)</f>
        <v>0.43440000000000001</v>
      </c>
      <c r="AB17" s="58">
        <f>VLOOKUP($A17,$K$3:$M$10,2,FALSE)</f>
        <v>10652</v>
      </c>
      <c r="AC17" s="58">
        <f>VLOOKUP($A17,$K$3:$M$10,3,FALSE)</f>
        <v>10652</v>
      </c>
      <c r="AD17" s="58">
        <f>+AB17*Y17+AC17*Z17</f>
        <v>8287256</v>
      </c>
      <c r="AE17" s="59">
        <f>SUM(AD17:AD19)</f>
        <v>8287256</v>
      </c>
      <c r="AF17" s="29"/>
      <c r="AG17" s="136">
        <f>S17/F17</f>
        <v>6402</v>
      </c>
      <c r="AH17" s="76">
        <f>ROUND(AG17*X17,0)</f>
        <v>4980756</v>
      </c>
      <c r="AI17" s="76">
        <f>ROUND(AH17*0.58,0)</f>
        <v>2888838</v>
      </c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</row>
    <row r="18" spans="1:59" ht="15.75" x14ac:dyDescent="0.5">
      <c r="A18" s="63"/>
      <c r="B18" s="63"/>
      <c r="C18" s="63"/>
      <c r="D18" s="64"/>
      <c r="E18" s="29"/>
      <c r="F18" s="38"/>
      <c r="G18" s="37"/>
      <c r="H18" s="37"/>
      <c r="I18" s="65"/>
      <c r="J18" s="26"/>
      <c r="K18" s="26"/>
      <c r="L18" s="26"/>
      <c r="M18" s="41"/>
      <c r="N18" s="39"/>
      <c r="O18" s="75"/>
      <c r="P18" s="29"/>
      <c r="Q18" s="29"/>
      <c r="R18" s="29"/>
      <c r="S18" s="29"/>
      <c r="T18" s="29"/>
      <c r="U18" s="29"/>
      <c r="V18" s="29"/>
      <c r="W18" s="29"/>
      <c r="X18" s="73">
        <f>SUM(X17:X17)</f>
        <v>778</v>
      </c>
      <c r="Y18" s="73">
        <f>SUM(Y17:Y17)</f>
        <v>338</v>
      </c>
      <c r="Z18" s="73">
        <f>SUM(Z17:Z17)</f>
        <v>440</v>
      </c>
      <c r="AA18" s="57"/>
      <c r="AB18" s="58"/>
      <c r="AC18" s="58"/>
      <c r="AD18" s="58"/>
      <c r="AE18" s="5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</row>
    <row r="19" spans="1:59" ht="15.75" x14ac:dyDescent="0.5">
      <c r="A19" s="63"/>
      <c r="B19" s="63"/>
      <c r="C19" s="63"/>
      <c r="D19" s="64"/>
      <c r="E19" s="29"/>
      <c r="F19" s="38"/>
      <c r="G19" s="37"/>
      <c r="H19" s="37"/>
      <c r="I19" s="65"/>
      <c r="J19" s="26"/>
      <c r="K19" s="26"/>
      <c r="L19" s="26"/>
      <c r="M19" s="29"/>
      <c r="N19" s="39"/>
      <c r="O19" s="66"/>
      <c r="P19" s="39"/>
      <c r="Q19" s="137"/>
      <c r="R19" s="29"/>
      <c r="S19" s="137"/>
      <c r="T19" s="29"/>
      <c r="U19" s="137"/>
      <c r="V19" s="137"/>
      <c r="W19" s="29"/>
      <c r="X19" s="39"/>
      <c r="Y19" s="39"/>
      <c r="Z19" s="39"/>
      <c r="AA19" s="65"/>
      <c r="AB19" s="26"/>
      <c r="AC19" s="26"/>
      <c r="AD19" s="26"/>
      <c r="AE19" s="3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</row>
    <row r="20" spans="1:59" ht="15.75" x14ac:dyDescent="0.5">
      <c r="A20" s="63"/>
      <c r="B20" s="63"/>
      <c r="C20" s="63"/>
      <c r="D20" s="64"/>
      <c r="E20" s="67"/>
      <c r="F20" s="38"/>
      <c r="G20" s="37"/>
      <c r="H20" s="37"/>
      <c r="I20" s="65"/>
      <c r="J20" s="26"/>
      <c r="K20" s="26"/>
      <c r="L20" s="26"/>
      <c r="M20" s="41"/>
      <c r="N20" s="39"/>
      <c r="O20" s="66"/>
      <c r="P20" s="39"/>
      <c r="Q20" s="137"/>
      <c r="R20" s="29"/>
      <c r="S20" s="137"/>
      <c r="T20" s="29"/>
      <c r="U20" s="137"/>
      <c r="V20" s="137"/>
      <c r="W20" s="29"/>
      <c r="X20" s="39"/>
      <c r="Y20" s="39"/>
      <c r="Z20" s="39"/>
      <c r="AA20" s="69"/>
      <c r="AB20" s="41"/>
      <c r="AC20" s="41"/>
      <c r="AD20" s="41"/>
      <c r="AE20" s="39"/>
      <c r="AF20" s="29"/>
      <c r="AG20" s="39"/>
      <c r="AH20" s="39"/>
      <c r="AI20" s="3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ht="15.75" x14ac:dyDescent="0.5">
      <c r="A21" s="68"/>
      <c r="B21" s="68"/>
      <c r="C21" s="68"/>
      <c r="D21" s="68"/>
      <c r="E21" s="70"/>
      <c r="F21" s="40"/>
      <c r="G21" s="40"/>
      <c r="H21" s="40"/>
      <c r="I21" s="69"/>
      <c r="J21" s="41"/>
      <c r="K21" s="41"/>
      <c r="L21" s="41"/>
      <c r="M21" s="41"/>
      <c r="N21" s="39"/>
      <c r="O21" s="66"/>
      <c r="P21" s="39"/>
      <c r="Q21" s="39"/>
      <c r="R21" s="29"/>
      <c r="S21" s="39"/>
      <c r="T21" s="29"/>
      <c r="U21" s="29"/>
      <c r="V21" s="29"/>
      <c r="W21" s="2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s="5" customFormat="1" ht="15.75" x14ac:dyDescent="0.5">
      <c r="A22" s="23"/>
      <c r="B22" s="23"/>
      <c r="C22" s="23"/>
      <c r="D22" s="23"/>
      <c r="E22" s="23"/>
      <c r="F22" s="71"/>
      <c r="G22" s="71"/>
      <c r="H22" s="71"/>
      <c r="I22" s="23"/>
      <c r="J22" s="23"/>
      <c r="K22" s="23"/>
      <c r="L22" s="23"/>
      <c r="M22" s="23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5" customFormat="1" ht="15.75" x14ac:dyDescent="0.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39"/>
      <c r="O23" s="66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5" customFormat="1" ht="15.75" x14ac:dyDescent="0.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" customFormat="1" ht="15.75" x14ac:dyDescent="0.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</row>
    <row r="26" spans="1:59" s="5" customFormat="1" ht="15.75" x14ac:dyDescent="0.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</row>
    <row r="27" spans="1:59" s="5" customFormat="1" ht="15.75" x14ac:dyDescent="0.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</row>
    <row r="28" spans="1:59" s="5" customFormat="1" ht="15.75" x14ac:dyDescent="0.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</row>
    <row r="29" spans="1:59" s="5" customFormat="1" ht="15.75" x14ac:dyDescent="0.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</row>
    <row r="30" spans="1:59" s="5" customFormat="1" ht="15.75" x14ac:dyDescent="0.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39"/>
      <c r="P30" s="39"/>
      <c r="Q30" s="39"/>
      <c r="R30" s="39"/>
      <c r="S30" s="39"/>
      <c r="T30" s="39"/>
      <c r="U30" s="39"/>
      <c r="V30" s="39"/>
      <c r="W30" s="39"/>
      <c r="AA30" s="39"/>
      <c r="AB30" s="39"/>
      <c r="AC30" s="39"/>
      <c r="AD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</row>
    <row r="31" spans="1:59" s="5" customFormat="1" ht="15.75" x14ac:dyDescent="0.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39"/>
      <c r="P31" s="39"/>
      <c r="Q31" s="39"/>
      <c r="R31" s="39"/>
      <c r="S31" s="39"/>
      <c r="T31" s="39"/>
      <c r="U31" s="39"/>
      <c r="V31" s="39"/>
      <c r="W31" s="39"/>
      <c r="AA31" s="39"/>
      <c r="AB31" s="39"/>
      <c r="AC31" s="39"/>
      <c r="AD31" s="39"/>
      <c r="AF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</row>
    <row r="32" spans="1:59" s="5" customFormat="1" ht="15.75" x14ac:dyDescent="0.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39"/>
      <c r="P32" s="39"/>
      <c r="Q32" s="39"/>
      <c r="R32" s="39"/>
      <c r="S32" s="39"/>
      <c r="T32" s="39"/>
      <c r="U32" s="39"/>
      <c r="V32" s="39"/>
      <c r="W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</row>
    <row r="33" spans="1:14" s="5" customFormat="1" x14ac:dyDescent="0.45">
      <c r="A33"/>
      <c r="B33"/>
      <c r="C33"/>
      <c r="D33"/>
      <c r="E33"/>
      <c r="F33"/>
      <c r="G33"/>
      <c r="H33"/>
      <c r="I33"/>
      <c r="J33"/>
      <c r="K33"/>
      <c r="L33"/>
      <c r="M33"/>
      <c r="N33"/>
    </row>
    <row r="34" spans="1:14" s="5" customFormat="1" x14ac:dyDescent="0.45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s="5" customFormat="1" x14ac:dyDescent="0.45">
      <c r="A35"/>
      <c r="B35"/>
      <c r="C35"/>
      <c r="D35"/>
      <c r="E35"/>
      <c r="F35"/>
      <c r="G35"/>
      <c r="H35"/>
      <c r="I35"/>
      <c r="J35"/>
      <c r="K35"/>
      <c r="L35"/>
      <c r="M35"/>
      <c r="N35"/>
    </row>
    <row r="36" spans="1:14" s="5" customFormat="1" x14ac:dyDescent="0.45">
      <c r="A36"/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s="5" customFormat="1" x14ac:dyDescent="0.45">
      <c r="A37"/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 s="5" customFormat="1" x14ac:dyDescent="0.45">
      <c r="A38"/>
      <c r="B38"/>
      <c r="C38"/>
      <c r="D38"/>
      <c r="E38"/>
      <c r="F38"/>
      <c r="G38"/>
      <c r="H38"/>
      <c r="I38"/>
      <c r="J38"/>
      <c r="K38"/>
      <c r="L38"/>
      <c r="M38"/>
      <c r="N38"/>
    </row>
    <row r="39" spans="1:14" s="5" customFormat="1" x14ac:dyDescent="0.45">
      <c r="A39"/>
      <c r="B39"/>
      <c r="C39"/>
      <c r="D39"/>
      <c r="E39"/>
      <c r="F39"/>
      <c r="G39"/>
      <c r="H39"/>
      <c r="I39"/>
      <c r="J39"/>
      <c r="K39"/>
      <c r="L39"/>
      <c r="M39"/>
      <c r="N39"/>
    </row>
    <row r="40" spans="1:14" s="5" customFormat="1" x14ac:dyDescent="0.45">
      <c r="A40"/>
      <c r="B40"/>
      <c r="C40"/>
      <c r="D40"/>
      <c r="E40"/>
      <c r="F40"/>
      <c r="G40"/>
      <c r="H40"/>
      <c r="I40"/>
      <c r="J40"/>
      <c r="K40"/>
      <c r="L40"/>
      <c r="M40"/>
      <c r="N40"/>
    </row>
    <row r="41" spans="1:14" s="5" customFormat="1" x14ac:dyDescent="0.45">
      <c r="A41"/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 s="5" customFormat="1" x14ac:dyDescent="0.45">
      <c r="A42"/>
      <c r="B42"/>
      <c r="C42"/>
      <c r="D42"/>
      <c r="E42"/>
      <c r="F42"/>
      <c r="G42"/>
      <c r="H42"/>
      <c r="I42"/>
      <c r="J42"/>
      <c r="K42"/>
      <c r="L42"/>
      <c r="M42"/>
      <c r="N42"/>
    </row>
    <row r="43" spans="1:14" s="5" customFormat="1" x14ac:dyDescent="0.45">
      <c r="A43"/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 s="5" customFormat="1" x14ac:dyDescent="0.45">
      <c r="A44"/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 s="5" customFormat="1" x14ac:dyDescent="0.45">
      <c r="A45"/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 s="5" customFormat="1" x14ac:dyDescent="0.45">
      <c r="A46"/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1:14" s="5" customFormat="1" x14ac:dyDescent="0.45">
      <c r="A47"/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 s="5" customFormat="1" x14ac:dyDescent="0.45">
      <c r="A48"/>
      <c r="B48"/>
      <c r="C48"/>
      <c r="D48"/>
      <c r="E48"/>
      <c r="F48"/>
      <c r="G48"/>
      <c r="H48"/>
      <c r="I48"/>
      <c r="J48"/>
      <c r="K48"/>
      <c r="L48"/>
      <c r="M48"/>
      <c r="N48"/>
    </row>
    <row r="49" spans="1:14" s="5" customFormat="1" x14ac:dyDescent="0.45">
      <c r="A49"/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 s="5" customFormat="1" x14ac:dyDescent="0.45">
      <c r="A50"/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 s="5" customFormat="1" x14ac:dyDescent="0.45">
      <c r="A51"/>
      <c r="B51"/>
      <c r="C51"/>
      <c r="D51"/>
      <c r="E51"/>
      <c r="F51"/>
      <c r="G51"/>
      <c r="H51"/>
      <c r="I51"/>
      <c r="J51"/>
      <c r="K51"/>
      <c r="L51"/>
      <c r="M51"/>
      <c r="N51"/>
    </row>
    <row r="52" spans="1:14" s="5" customFormat="1" x14ac:dyDescent="0.45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s="5" customFormat="1" x14ac:dyDescent="0.45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s="5" customFormat="1" x14ac:dyDescent="0.45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s="5" customFormat="1" x14ac:dyDescent="0.45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s="5" customFormat="1" x14ac:dyDescent="0.45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s="5" customFormat="1" x14ac:dyDescent="0.45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s="5" customFormat="1" x14ac:dyDescent="0.45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s="5" customFormat="1" x14ac:dyDescent="0.45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s="5" customFormat="1" x14ac:dyDescent="0.45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s="5" customFormat="1" x14ac:dyDescent="0.45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s="5" customFormat="1" x14ac:dyDescent="0.45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s="5" customFormat="1" x14ac:dyDescent="0.45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s="5" customFormat="1" x14ac:dyDescent="0.45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s="5" customFormat="1" x14ac:dyDescent="0.45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s="5" customFormat="1" x14ac:dyDescent="0.45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s="5" customFormat="1" x14ac:dyDescent="0.45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s="5" customFormat="1" x14ac:dyDescent="0.45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s="5" customFormat="1" x14ac:dyDescent="0.45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s="5" customFormat="1" x14ac:dyDescent="0.45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s="5" customFormat="1" x14ac:dyDescent="0.45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s="5" customFormat="1" x14ac:dyDescent="0.45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s="5" customFormat="1" x14ac:dyDescent="0.45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s="5" customFormat="1" x14ac:dyDescent="0.45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s="5" customFormat="1" x14ac:dyDescent="0.45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s="5" customFormat="1" x14ac:dyDescent="0.45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s="5" customFormat="1" x14ac:dyDescent="0.45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s="5" customFormat="1" x14ac:dyDescent="0.45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s="5" customFormat="1" x14ac:dyDescent="0.45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s="5" customFormat="1" x14ac:dyDescent="0.45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s="5" customFormat="1" x14ac:dyDescent="0.45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s="5" customFormat="1" x14ac:dyDescent="0.45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s="5" customFormat="1" x14ac:dyDescent="0.45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s="5" customFormat="1" x14ac:dyDescent="0.45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s="5" customFormat="1" x14ac:dyDescent="0.45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s="5" customFormat="1" x14ac:dyDescent="0.45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s="5" customFormat="1" x14ac:dyDescent="0.45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s="5" customFormat="1" x14ac:dyDescent="0.45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s="5" customFormat="1" x14ac:dyDescent="0.45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s="5" customFormat="1" x14ac:dyDescent="0.45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s="5" customFormat="1" x14ac:dyDescent="0.45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s="5" customFormat="1" x14ac:dyDescent="0.45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s="5" customFormat="1" x14ac:dyDescent="0.45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s="5" customFormat="1" x14ac:dyDescent="0.45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s="5" customFormat="1" x14ac:dyDescent="0.45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s="5" customFormat="1" x14ac:dyDescent="0.45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s="5" customFormat="1" x14ac:dyDescent="0.45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s="5" customFormat="1" x14ac:dyDescent="0.45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s="5" customFormat="1" x14ac:dyDescent="0.45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s="5" customFormat="1" x14ac:dyDescent="0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s="5" customFormat="1" x14ac:dyDescent="0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s="5" customFormat="1" x14ac:dyDescent="0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s="5" customFormat="1" x14ac:dyDescent="0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s="5" customFormat="1" x14ac:dyDescent="0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s="5" customFormat="1" x14ac:dyDescent="0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s="5" customFormat="1" x14ac:dyDescent="0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s="5" customFormat="1" x14ac:dyDescent="0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s="5" customFormat="1" x14ac:dyDescent="0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  <row r="109" spans="1:14" s="5" customFormat="1" x14ac:dyDescent="0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</row>
    <row r="110" spans="1:14" s="5" customFormat="1" x14ac:dyDescent="0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</row>
    <row r="111" spans="1:14" s="5" customFormat="1" x14ac:dyDescent="0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</row>
    <row r="112" spans="1:14" s="5" customFormat="1" x14ac:dyDescent="0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</row>
    <row r="113" spans="1:35" s="5" customFormat="1" x14ac:dyDescent="0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</row>
    <row r="114" spans="1:35" s="5" customFormat="1" x14ac:dyDescent="0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</row>
    <row r="115" spans="1:35" s="5" customFormat="1" x14ac:dyDescent="0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</row>
    <row r="116" spans="1:35" s="5" customFormat="1" x14ac:dyDescent="0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7" spans="1:35" s="5" customFormat="1" x14ac:dyDescent="0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</row>
    <row r="118" spans="1:35" s="5" customFormat="1" x14ac:dyDescent="0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35" s="5" customFormat="1" x14ac:dyDescent="0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35" s="5" customFormat="1" x14ac:dyDescent="0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35" s="5" customFormat="1" x14ac:dyDescent="0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35" s="5" customFormat="1" x14ac:dyDescent="0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35" s="5" customFormat="1" x14ac:dyDescent="0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35" s="5" customFormat="1" x14ac:dyDescent="0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35" s="5" customFormat="1" x14ac:dyDescent="0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X125"/>
      <c r="Y125"/>
      <c r="Z125"/>
      <c r="AE125"/>
    </row>
    <row r="126" spans="1:35" s="5" customFormat="1" x14ac:dyDescent="0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X126"/>
      <c r="Y126"/>
      <c r="Z126"/>
      <c r="AE126"/>
      <c r="AG126"/>
      <c r="AH126"/>
      <c r="AI126"/>
    </row>
    <row r="127" spans="1:35" s="5" customFormat="1" x14ac:dyDescent="0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spans="1:35" x14ac:dyDescent="0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5"/>
      <c r="P128" s="5"/>
      <c r="Q128" s="5"/>
    </row>
    <row r="129" spans="1:17" x14ac:dyDescent="0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5"/>
      <c r="P129" s="5"/>
      <c r="Q129" s="5"/>
    </row>
  </sheetData>
  <mergeCells count="15">
    <mergeCell ref="B13:B16"/>
    <mergeCell ref="A13:A16"/>
    <mergeCell ref="A12:M12"/>
    <mergeCell ref="AG12:AG16"/>
    <mergeCell ref="AH12:AH16"/>
    <mergeCell ref="E13:E16"/>
    <mergeCell ref="D13:D16"/>
    <mergeCell ref="C13:C16"/>
    <mergeCell ref="I1:M1"/>
    <mergeCell ref="AI12:AI16"/>
    <mergeCell ref="O12:P12"/>
    <mergeCell ref="X12:AE12"/>
    <mergeCell ref="S12:S16"/>
    <mergeCell ref="U12:U16"/>
    <mergeCell ref="V12:V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730F0-1D33-4D60-9F28-5AD9DD533A92}">
  <dimension ref="A1:EH7"/>
  <sheetViews>
    <sheetView topLeftCell="DH1" workbookViewId="0">
      <selection activeCell="R15" sqref="R15"/>
    </sheetView>
  </sheetViews>
  <sheetFormatPr defaultColWidth="9.19921875" defaultRowHeight="15.75" x14ac:dyDescent="0.5"/>
  <cols>
    <col min="1" max="1" width="17.33203125" style="29" customWidth="1"/>
    <col min="2" max="16384" width="9.19921875" style="29"/>
  </cols>
  <sheetData>
    <row r="1" spans="1:138" ht="23.25" x14ac:dyDescent="0.7">
      <c r="A1" s="161" t="s">
        <v>136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3"/>
    </row>
    <row r="2" spans="1:138" ht="47.25" x14ac:dyDescent="0.5">
      <c r="A2" s="80" t="s">
        <v>0</v>
      </c>
      <c r="B2" s="80" t="s">
        <v>124</v>
      </c>
      <c r="C2" s="77"/>
    </row>
    <row r="3" spans="1:138" s="36" customFormat="1" x14ac:dyDescent="0.5">
      <c r="A3" s="116" t="s">
        <v>130</v>
      </c>
      <c r="B3" s="116">
        <v>1</v>
      </c>
      <c r="C3" s="116">
        <v>2</v>
      </c>
      <c r="D3" s="116">
        <v>3</v>
      </c>
      <c r="E3" s="116">
        <v>4</v>
      </c>
      <c r="F3" s="116">
        <v>5</v>
      </c>
      <c r="G3" s="116">
        <v>6</v>
      </c>
      <c r="H3" s="116">
        <v>7</v>
      </c>
      <c r="I3" s="116">
        <v>10</v>
      </c>
      <c r="J3" s="116">
        <v>11</v>
      </c>
      <c r="K3" s="116">
        <v>12</v>
      </c>
      <c r="L3" s="116">
        <v>13</v>
      </c>
      <c r="M3" s="116">
        <v>14</v>
      </c>
      <c r="N3" s="116">
        <v>15</v>
      </c>
      <c r="O3" s="116">
        <v>17</v>
      </c>
      <c r="P3" s="116">
        <v>19</v>
      </c>
      <c r="Q3" s="116">
        <v>20</v>
      </c>
      <c r="R3" s="116">
        <v>22</v>
      </c>
      <c r="S3" s="116">
        <v>23</v>
      </c>
      <c r="T3" s="116">
        <v>24</v>
      </c>
      <c r="U3" s="116">
        <v>25</v>
      </c>
      <c r="V3" s="116">
        <v>27</v>
      </c>
      <c r="W3" s="116">
        <v>28</v>
      </c>
      <c r="X3" s="116">
        <v>30</v>
      </c>
      <c r="Y3" s="116">
        <v>32</v>
      </c>
      <c r="Z3" s="116">
        <v>33</v>
      </c>
      <c r="AA3" s="116">
        <v>34</v>
      </c>
      <c r="AB3" s="116">
        <v>36</v>
      </c>
      <c r="AC3" s="116">
        <v>37</v>
      </c>
      <c r="AD3" s="116">
        <v>38</v>
      </c>
      <c r="AE3" s="116">
        <v>39</v>
      </c>
      <c r="AF3" s="116">
        <v>40</v>
      </c>
      <c r="AG3" s="116">
        <v>41</v>
      </c>
      <c r="AH3" s="116">
        <v>42</v>
      </c>
      <c r="AI3" s="116">
        <v>43</v>
      </c>
      <c r="AJ3" s="116">
        <v>44</v>
      </c>
      <c r="AK3" s="116">
        <v>45</v>
      </c>
      <c r="AL3" s="116">
        <v>47</v>
      </c>
      <c r="AM3" s="116">
        <v>48</v>
      </c>
      <c r="AN3" s="116">
        <v>49</v>
      </c>
      <c r="AO3" s="116">
        <v>50</v>
      </c>
      <c r="AP3" s="116">
        <v>51</v>
      </c>
      <c r="AQ3" s="116">
        <v>52</v>
      </c>
      <c r="AR3" s="116">
        <v>53</v>
      </c>
      <c r="AS3" s="116">
        <v>54</v>
      </c>
      <c r="AT3" s="116">
        <v>56</v>
      </c>
      <c r="AU3" s="116">
        <v>58</v>
      </c>
      <c r="AV3" s="116">
        <v>59</v>
      </c>
      <c r="AW3" s="116">
        <v>61</v>
      </c>
      <c r="AX3" s="116">
        <v>62</v>
      </c>
      <c r="AY3" s="116">
        <v>63</v>
      </c>
      <c r="AZ3" s="116">
        <v>64</v>
      </c>
      <c r="BA3" s="116">
        <v>65</v>
      </c>
      <c r="BB3" s="116">
        <v>66</v>
      </c>
      <c r="BC3" s="116">
        <v>67</v>
      </c>
      <c r="BD3" s="116">
        <v>69</v>
      </c>
      <c r="BE3" s="116">
        <v>70</v>
      </c>
      <c r="BF3" s="116">
        <v>71</v>
      </c>
      <c r="BG3" s="116">
        <v>72</v>
      </c>
      <c r="BH3" s="116">
        <v>73</v>
      </c>
      <c r="BI3" s="116">
        <v>74</v>
      </c>
      <c r="BJ3" s="116">
        <v>77</v>
      </c>
      <c r="BK3" s="116">
        <v>78</v>
      </c>
      <c r="BL3" s="116">
        <v>79</v>
      </c>
      <c r="BM3" s="116">
        <v>80</v>
      </c>
      <c r="BN3" s="116">
        <v>81</v>
      </c>
      <c r="BO3" s="116">
        <v>82</v>
      </c>
      <c r="BP3" s="116">
        <v>83</v>
      </c>
      <c r="BQ3" s="116">
        <v>84</v>
      </c>
      <c r="BR3" s="116">
        <v>85</v>
      </c>
      <c r="BS3" s="116">
        <v>86</v>
      </c>
      <c r="BT3" s="116">
        <v>88</v>
      </c>
      <c r="BU3" s="116">
        <v>89</v>
      </c>
      <c r="BV3" s="116">
        <v>92</v>
      </c>
      <c r="BW3" s="116">
        <v>93</v>
      </c>
      <c r="BX3" s="116">
        <v>94</v>
      </c>
      <c r="BY3" s="116">
        <v>95</v>
      </c>
      <c r="BZ3" s="116">
        <v>98</v>
      </c>
      <c r="CA3" s="116">
        <v>99</v>
      </c>
      <c r="CB3" s="116">
        <v>101</v>
      </c>
      <c r="CC3" s="116">
        <v>102</v>
      </c>
      <c r="CD3" s="116">
        <v>103</v>
      </c>
      <c r="CE3" s="116">
        <v>104</v>
      </c>
      <c r="CF3" s="116">
        <v>105</v>
      </c>
      <c r="CG3" s="116">
        <v>106</v>
      </c>
      <c r="CH3" s="116">
        <v>109</v>
      </c>
      <c r="CI3" s="116">
        <v>110</v>
      </c>
      <c r="CJ3" s="116">
        <v>111</v>
      </c>
      <c r="CK3" s="116">
        <v>112</v>
      </c>
      <c r="CL3" s="116">
        <v>113</v>
      </c>
      <c r="CM3" s="116">
        <v>114</v>
      </c>
      <c r="CN3" s="116">
        <v>115</v>
      </c>
      <c r="CO3" s="116">
        <v>116</v>
      </c>
      <c r="CP3" s="116">
        <v>118</v>
      </c>
      <c r="CQ3" s="116">
        <v>119</v>
      </c>
      <c r="CR3" s="116">
        <v>121</v>
      </c>
      <c r="CS3" s="116">
        <v>124</v>
      </c>
      <c r="CT3" s="116">
        <v>126</v>
      </c>
      <c r="CU3" s="116">
        <v>128</v>
      </c>
      <c r="CV3" s="116">
        <v>129</v>
      </c>
      <c r="CW3" s="116">
        <v>130</v>
      </c>
      <c r="CX3" s="116">
        <v>131</v>
      </c>
      <c r="CY3" s="116">
        <v>132</v>
      </c>
      <c r="CZ3" s="116">
        <v>133</v>
      </c>
      <c r="DA3" s="116">
        <v>134</v>
      </c>
      <c r="DB3" s="116">
        <v>136</v>
      </c>
      <c r="DC3" s="116">
        <v>137</v>
      </c>
      <c r="DD3" s="116">
        <v>138</v>
      </c>
      <c r="DE3" s="116">
        <v>139</v>
      </c>
      <c r="DF3" s="116">
        <v>140</v>
      </c>
      <c r="DG3" s="116">
        <v>141</v>
      </c>
      <c r="DH3" s="116">
        <v>142</v>
      </c>
      <c r="DI3" s="116">
        <v>143</v>
      </c>
      <c r="DJ3" s="116">
        <v>144</v>
      </c>
      <c r="DK3" s="116">
        <v>146</v>
      </c>
      <c r="DL3" s="116">
        <v>147</v>
      </c>
      <c r="DM3" s="116">
        <v>148</v>
      </c>
      <c r="DN3" s="116">
        <v>149</v>
      </c>
      <c r="DO3" s="116">
        <v>151</v>
      </c>
      <c r="DP3" s="116">
        <v>152</v>
      </c>
      <c r="DQ3" s="116">
        <v>153</v>
      </c>
      <c r="DR3" s="116">
        <v>154</v>
      </c>
      <c r="DS3" s="116">
        <v>155</v>
      </c>
      <c r="DT3" s="116">
        <v>156</v>
      </c>
      <c r="DU3" s="116">
        <v>159</v>
      </c>
      <c r="DV3" s="116">
        <v>160</v>
      </c>
      <c r="DW3" s="116">
        <v>162</v>
      </c>
      <c r="DX3" s="116">
        <v>163</v>
      </c>
      <c r="DY3" s="116">
        <v>164</v>
      </c>
      <c r="DZ3" s="116">
        <v>165</v>
      </c>
      <c r="EA3" s="116">
        <v>166</v>
      </c>
      <c r="EB3" s="116">
        <v>168</v>
      </c>
      <c r="EC3" s="116">
        <v>169</v>
      </c>
      <c r="ED3" s="72" t="s">
        <v>1</v>
      </c>
      <c r="EE3" s="72"/>
      <c r="EF3" s="72" t="s">
        <v>2</v>
      </c>
      <c r="EG3" s="72"/>
      <c r="EH3" s="72" t="s">
        <v>3</v>
      </c>
    </row>
    <row r="4" spans="1:138" x14ac:dyDescent="0.5">
      <c r="A4" s="78" t="s">
        <v>122</v>
      </c>
      <c r="B4" s="60"/>
      <c r="C4" s="60"/>
      <c r="D4" s="60"/>
      <c r="E4" s="60"/>
      <c r="F4" s="60"/>
      <c r="G4" s="60"/>
      <c r="H4" s="60"/>
      <c r="I4" s="60"/>
      <c r="J4" s="60">
        <v>20</v>
      </c>
      <c r="K4" s="60">
        <v>4</v>
      </c>
      <c r="L4" s="60"/>
      <c r="M4" s="60"/>
      <c r="N4" s="60"/>
      <c r="O4" s="60">
        <v>8</v>
      </c>
      <c r="P4" s="60"/>
      <c r="Q4" s="60">
        <v>2</v>
      </c>
      <c r="R4" s="60"/>
      <c r="S4" s="60"/>
      <c r="T4" s="60">
        <v>1</v>
      </c>
      <c r="U4" s="60"/>
      <c r="V4" s="60"/>
      <c r="W4" s="60">
        <v>2</v>
      </c>
      <c r="X4" s="60">
        <v>1</v>
      </c>
      <c r="Y4" s="60">
        <v>2</v>
      </c>
      <c r="Z4" s="60">
        <v>1</v>
      </c>
      <c r="AA4" s="60"/>
      <c r="AB4" s="60"/>
      <c r="AC4" s="60"/>
      <c r="AD4" s="60"/>
      <c r="AE4" s="60"/>
      <c r="AF4" s="60">
        <v>1</v>
      </c>
      <c r="AG4" s="60"/>
      <c r="AH4" s="60"/>
      <c r="AI4" s="60">
        <v>160</v>
      </c>
      <c r="AJ4" s="60"/>
      <c r="AK4" s="60"/>
      <c r="AL4" s="60">
        <v>6</v>
      </c>
      <c r="AM4" s="60">
        <v>1</v>
      </c>
      <c r="AN4" s="60">
        <v>11</v>
      </c>
      <c r="AO4" s="60"/>
      <c r="AP4" s="60"/>
      <c r="AQ4" s="60"/>
      <c r="AR4" s="60"/>
      <c r="AS4" s="60">
        <v>11</v>
      </c>
      <c r="AT4" s="60"/>
      <c r="AU4" s="60"/>
      <c r="AV4" s="60"/>
      <c r="AW4" s="60"/>
      <c r="AX4" s="60"/>
      <c r="AY4" s="60"/>
      <c r="AZ4" s="72">
        <v>338</v>
      </c>
      <c r="BA4" s="60"/>
      <c r="BB4" s="60"/>
      <c r="BC4" s="60"/>
      <c r="BD4" s="60"/>
      <c r="BE4" s="60"/>
      <c r="BF4" s="60"/>
      <c r="BG4" s="60"/>
      <c r="BH4" s="60"/>
      <c r="BI4" s="60"/>
      <c r="BJ4" s="60">
        <v>85</v>
      </c>
      <c r="BK4" s="60"/>
      <c r="BL4" s="60">
        <v>1</v>
      </c>
      <c r="BM4" s="60">
        <v>6</v>
      </c>
      <c r="BN4" s="60"/>
      <c r="BO4" s="60">
        <v>1</v>
      </c>
      <c r="BP4" s="60">
        <v>6</v>
      </c>
      <c r="BQ4" s="60"/>
      <c r="BR4" s="60"/>
      <c r="BS4" s="60"/>
      <c r="BT4" s="60"/>
      <c r="BU4" s="60">
        <v>38</v>
      </c>
      <c r="BV4" s="60"/>
      <c r="BW4" s="60"/>
      <c r="BX4" s="60">
        <v>8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>
        <v>2</v>
      </c>
      <c r="CJ4" s="60"/>
      <c r="CK4" s="60"/>
      <c r="CL4" s="60">
        <v>3</v>
      </c>
      <c r="CM4" s="60"/>
      <c r="CN4" s="60"/>
      <c r="CO4" s="60"/>
      <c r="CP4" s="60"/>
      <c r="CQ4" s="60"/>
      <c r="CR4" s="60"/>
      <c r="CS4" s="60"/>
      <c r="CT4" s="60"/>
      <c r="CU4" s="60">
        <v>1</v>
      </c>
      <c r="CV4" s="60"/>
      <c r="CW4" s="60"/>
      <c r="CX4" s="60"/>
      <c r="CY4" s="60">
        <v>6</v>
      </c>
      <c r="CZ4" s="60">
        <v>1</v>
      </c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>
        <v>24</v>
      </c>
      <c r="DL4" s="60"/>
      <c r="DM4" s="60"/>
      <c r="DN4" s="60"/>
      <c r="DO4" s="60"/>
      <c r="DP4" s="60"/>
      <c r="DQ4" s="60"/>
      <c r="DR4" s="60"/>
      <c r="DS4" s="60">
        <v>2</v>
      </c>
      <c r="DT4" s="60"/>
      <c r="DU4" s="60">
        <v>9</v>
      </c>
      <c r="DV4" s="60">
        <v>2</v>
      </c>
      <c r="DW4" s="60"/>
      <c r="DX4" s="60">
        <v>1</v>
      </c>
      <c r="DY4" s="60">
        <v>11</v>
      </c>
      <c r="DZ4" s="60">
        <v>2</v>
      </c>
      <c r="EA4" s="60"/>
      <c r="EB4" s="60"/>
      <c r="EC4" s="60"/>
      <c r="ED4" s="60">
        <v>778</v>
      </c>
      <c r="EE4" s="60"/>
      <c r="EF4" s="60">
        <v>778</v>
      </c>
      <c r="EG4" s="60"/>
      <c r="EH4" s="60">
        <f t="shared" ref="EH4" si="0">MAX(B4:EC4)</f>
        <v>338</v>
      </c>
    </row>
    <row r="7" spans="1:138" x14ac:dyDescent="0.5">
      <c r="A7" s="29" t="s">
        <v>123</v>
      </c>
    </row>
  </sheetData>
  <mergeCells count="1">
    <mergeCell ref="A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E9B2-E181-4581-8770-2AFD97AC323B}">
  <dimension ref="A1:E7"/>
  <sheetViews>
    <sheetView workbookViewId="0">
      <selection activeCell="E21" sqref="E21"/>
    </sheetView>
  </sheetViews>
  <sheetFormatPr defaultColWidth="9.19921875" defaultRowHeight="15.75" x14ac:dyDescent="0.5"/>
  <cols>
    <col min="1" max="1" width="21.6640625" style="29" customWidth="1"/>
    <col min="2" max="2" width="21" style="29" customWidth="1"/>
    <col min="3" max="3" width="18.86328125" style="29" customWidth="1"/>
    <col min="4" max="4" width="19.6640625" style="29" customWidth="1"/>
    <col min="5" max="5" width="30.33203125" style="29" customWidth="1"/>
    <col min="6" max="16384" width="9.19921875" style="29"/>
  </cols>
  <sheetData>
    <row r="1" spans="1:5" ht="18" x14ac:dyDescent="0.55000000000000004">
      <c r="A1" s="138" t="s">
        <v>125</v>
      </c>
      <c r="B1" s="139"/>
      <c r="C1" s="139"/>
      <c r="D1" s="139"/>
      <c r="E1" s="140"/>
    </row>
    <row r="2" spans="1:5" ht="18" x14ac:dyDescent="0.55000000000000004">
      <c r="A2" s="141" t="s">
        <v>131</v>
      </c>
      <c r="B2" s="142"/>
      <c r="C2" s="142"/>
      <c r="D2" s="142"/>
      <c r="E2" s="143"/>
    </row>
    <row r="4" spans="1:5" ht="31.5" x14ac:dyDescent="0.5">
      <c r="A4" s="81" t="s">
        <v>126</v>
      </c>
      <c r="B4" s="79" t="s">
        <v>0</v>
      </c>
      <c r="C4" s="83" t="s">
        <v>128</v>
      </c>
      <c r="D4" s="83" t="s">
        <v>129</v>
      </c>
      <c r="E4" s="79" t="s">
        <v>115</v>
      </c>
    </row>
    <row r="5" spans="1:5" x14ac:dyDescent="0.5">
      <c r="A5" s="78" t="s">
        <v>117</v>
      </c>
      <c r="B5" s="60">
        <v>778</v>
      </c>
      <c r="C5" s="60">
        <v>521</v>
      </c>
      <c r="D5" s="60">
        <v>119</v>
      </c>
      <c r="E5" s="60">
        <v>143</v>
      </c>
    </row>
    <row r="6" spans="1:5" x14ac:dyDescent="0.5">
      <c r="A6" s="82"/>
    </row>
    <row r="7" spans="1:5" x14ac:dyDescent="0.5">
      <c r="A7" s="29" t="s">
        <v>118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RESC Grant Calc</vt:lpstr>
      <vt:lpstr>Enroll Projections</vt:lpstr>
      <vt:lpstr>2025-26 Grant Calc</vt:lpstr>
      <vt:lpstr>FT Pivot RESC</vt:lpstr>
      <vt:lpstr>FT F1 ELL-FRPL-SpED 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RESC Magnet Calculation Sample </dc:title>
  <dc:subject>RESC Magnet Calculation Sample </dc:subject>
  <dc:creator>Markoski, Tom</dc:creator>
  <cp:lastModifiedBy>Korkutovic, Meliha</cp:lastModifiedBy>
  <dcterms:created xsi:type="dcterms:W3CDTF">2026-07-13T13:42:22Z</dcterms:created>
  <dcterms:modified xsi:type="dcterms:W3CDTF">2026-07-24T15:13:17Z</dcterms:modified>
</cp:coreProperties>
</file>