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RANTS\7_Magnet School-17057\Operating Magnet Grant-ED_614\Interdistrict Magnet Grant-ED614_Application\2026-27\"/>
    </mc:Choice>
  </mc:AlternateContent>
  <xr:revisionPtr revIDLastSave="0" documentId="13_ncr:1_{FBA157EB-10C8-4492-AE26-1FBD05E7F8D8}" xr6:coauthVersionLast="47" xr6:coauthVersionMax="47" xr10:uidLastSave="{00000000-0000-0000-0000-000000000000}"/>
  <bookViews>
    <workbookView xWindow="38280" yWindow="-120" windowWidth="29040" windowHeight="17520" xr2:uid="{4E652206-E73D-40A2-828C-AB15EA07747F}"/>
  </bookViews>
  <sheets>
    <sheet name="Local and Regional BOEGrant Cal" sheetId="4" r:id="rId1"/>
    <sheet name="PSIS Reporting used for BOE Cal" sheetId="1" r:id="rId2"/>
    <sheet name="Sending Dist Weighted Fund PP" sheetId="2" r:id="rId3"/>
    <sheet name="Codes Rates Tuition " sheetId="5" r:id="rId4"/>
  </sheets>
  <externalReferences>
    <externalReference r:id="rId5"/>
    <externalReference r:id="rId6"/>
    <externalReference r:id="rId7"/>
  </externalReferences>
  <definedNames>
    <definedName name="ECAMP_Mag_Oct_2024_Freeze_0">#REF!</definedName>
    <definedName name="ECAMP_Oct_2023_Freeze_0">#REF!</definedName>
    <definedName name="Freeze_1_for_PYA_in_FY20" localSheetId="3">'[1]PYA Data for FY20'!#REF!</definedName>
    <definedName name="Freeze_1_for_PYA_in_FY20" localSheetId="2">'[1]PYA Data for FY20'!#REF!</definedName>
    <definedName name="Freeze_1_for_PYA_in_FY20">'[1]PYA Data for FY20'!#REF!</definedName>
    <definedName name="HB5212_ECAMP_10_1_23_Freeze_1">#REF!</definedName>
    <definedName name="HB5212_Mag_FT_10_1_23_Freeze_1">#REF!</definedName>
    <definedName name="HB5212_Mag_PT_10_1_23_Freeze_1">#REF!</definedName>
    <definedName name="Mag_FT_Oct_2023_Freeze_0">#REF!</definedName>
    <definedName name="Mag_PT_Oct_2023_Freeze_0">#REF!</definedName>
    <definedName name="Magnet_Freeze_0" localSheetId="3">#REF!</definedName>
    <definedName name="Magnet_Freeze_0" localSheetId="2">#REF!</definedName>
    <definedName name="Magnet_Freeze_0">#REF!</definedName>
    <definedName name="Magnet_Freeze_0_PT" localSheetId="3">#REF!</definedName>
    <definedName name="Magnet_Freeze_0_PT" localSheetId="2">#REF!</definedName>
    <definedName name="Magnet_Freeze_0_PT">#REF!</definedName>
    <definedName name="Magnet_Oct_2022_Freeze_0" localSheetId="3">#REF!</definedName>
    <definedName name="Magnet_Oct_2022_Freeze_0" localSheetId="2">#REF!</definedName>
    <definedName name="Magnet_Oct_2022_Freeze_0">#REF!</definedName>
    <definedName name="PSIS_Oct_2021_Freeze_1_for_PYAs" localSheetId="3">#REF!</definedName>
    <definedName name="PSIS_Oct_2021_Freeze_1_for_PYAs" localSheetId="2">#REF!</definedName>
    <definedName name="PSIS_Oct_2021_Freeze_1_for_PYAs">#REF!</definedName>
    <definedName name="PSIS_Oct_2021_Freeze_2_for_PYAs" localSheetId="3">#REF!</definedName>
    <definedName name="PSIS_Oct_2021_Freeze_2_for_PYAs" localSheetId="2">#REF!</definedName>
    <definedName name="PSIS_Oct_2021_Freeze_2_for_PYAs">#REF!</definedName>
    <definedName name="PT_Mag_Oct_2024_Freeze_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4" l="1"/>
  <c r="D9" i="4"/>
  <c r="C8" i="4"/>
  <c r="D8" i="4"/>
  <c r="T70" i="1" l="1"/>
  <c r="T77" i="1"/>
  <c r="T78" i="1"/>
  <c r="T81" i="1"/>
  <c r="T82" i="1"/>
  <c r="T83" i="1"/>
  <c r="T84" i="1"/>
  <c r="T85" i="1"/>
  <c r="T86" i="1"/>
  <c r="T87" i="1"/>
  <c r="T91" i="1"/>
  <c r="T99" i="1"/>
  <c r="T102" i="1"/>
  <c r="T103" i="1"/>
  <c r="T106" i="1"/>
  <c r="T107" i="1"/>
  <c r="T108" i="1"/>
  <c r="T109" i="1"/>
  <c r="T110" i="1"/>
  <c r="T119" i="1"/>
  <c r="T120" i="1"/>
  <c r="T123" i="1"/>
  <c r="T47" i="1"/>
  <c r="W53" i="1"/>
  <c r="W56" i="1"/>
  <c r="W57" i="1"/>
  <c r="W58" i="1"/>
  <c r="W59" i="1"/>
  <c r="W60" i="1"/>
  <c r="W61" i="1"/>
  <c r="W64" i="1"/>
  <c r="W65" i="1"/>
  <c r="W107" i="1"/>
  <c r="W108" i="1"/>
  <c r="W120" i="1"/>
  <c r="W124" i="1"/>
  <c r="W127" i="1"/>
  <c r="W128" i="1"/>
  <c r="W129" i="1"/>
  <c r="W130" i="1"/>
  <c r="W131" i="1"/>
  <c r="W141" i="1"/>
  <c r="W142" i="1"/>
  <c r="W145" i="1"/>
  <c r="W146" i="1"/>
  <c r="W148" i="1"/>
  <c r="W149" i="1"/>
  <c r="W150" i="1"/>
  <c r="W151" i="1"/>
  <c r="W152" i="1"/>
  <c r="W153" i="1"/>
  <c r="W155" i="1"/>
  <c r="S70" i="1"/>
  <c r="S73" i="1"/>
  <c r="S74" i="1"/>
  <c r="S77" i="1"/>
  <c r="S78" i="1"/>
  <c r="S80" i="1"/>
  <c r="S81" i="1"/>
  <c r="S82" i="1"/>
  <c r="S83" i="1"/>
  <c r="S84" i="1"/>
  <c r="S85" i="1"/>
  <c r="S95" i="1"/>
  <c r="S98" i="1"/>
  <c r="S99" i="1"/>
  <c r="S100" i="1"/>
  <c r="S101" i="1"/>
  <c r="S102" i="1"/>
  <c r="S103" i="1"/>
  <c r="S106" i="1"/>
  <c r="S107" i="1"/>
  <c r="S111" i="1"/>
  <c r="S119" i="1"/>
  <c r="S120" i="1"/>
  <c r="S122" i="1"/>
  <c r="S123" i="1"/>
  <c r="S142" i="1"/>
  <c r="D172" i="2"/>
  <c r="C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J61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J53" i="5"/>
  <c r="I53" i="5"/>
  <c r="H53" i="5"/>
  <c r="J52" i="5"/>
  <c r="I52" i="5"/>
  <c r="H52" i="5"/>
  <c r="J51" i="5"/>
  <c r="I51" i="5"/>
  <c r="H51" i="5"/>
  <c r="I50" i="5"/>
  <c r="H50" i="5"/>
  <c r="J49" i="5"/>
  <c r="I49" i="5"/>
  <c r="H49" i="5"/>
  <c r="J48" i="5"/>
  <c r="I48" i="5"/>
  <c r="H48" i="5"/>
  <c r="J47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J31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G9" i="4" s="1"/>
  <c r="H9" i="5"/>
  <c r="F9" i="4" s="1"/>
  <c r="H9" i="4" s="1"/>
  <c r="I9" i="4" s="1"/>
  <c r="F17" i="4" s="1"/>
  <c r="J8" i="5"/>
  <c r="I8" i="5"/>
  <c r="H8" i="5"/>
  <c r="J7" i="5"/>
  <c r="I7" i="5"/>
  <c r="H7" i="5"/>
  <c r="J6" i="5"/>
  <c r="I6" i="5"/>
  <c r="H6" i="5"/>
  <c r="J5" i="5"/>
  <c r="I5" i="5"/>
  <c r="H5" i="5"/>
  <c r="I4" i="5"/>
  <c r="H4" i="5"/>
  <c r="I3" i="5"/>
  <c r="G8" i="4" s="1"/>
  <c r="H3" i="5"/>
  <c r="B9" i="4"/>
  <c r="E9" i="4" s="1"/>
  <c r="Q158" i="1"/>
  <c r="Z158" i="1" s="1"/>
  <c r="P158" i="1"/>
  <c r="O158" i="1"/>
  <c r="N158" i="1"/>
  <c r="M158" i="1"/>
  <c r="Q157" i="1"/>
  <c r="P157" i="1"/>
  <c r="O157" i="1"/>
  <c r="N157" i="1"/>
  <c r="M157" i="1"/>
  <c r="Q156" i="1"/>
  <c r="P156" i="1"/>
  <c r="O156" i="1"/>
  <c r="N156" i="1"/>
  <c r="M156" i="1"/>
  <c r="Q155" i="1"/>
  <c r="Z155" i="1" s="1"/>
  <c r="P155" i="1"/>
  <c r="O155" i="1"/>
  <c r="N155" i="1"/>
  <c r="M155" i="1"/>
  <c r="S155" i="1" s="1"/>
  <c r="Q154" i="1"/>
  <c r="W154" i="1" s="1"/>
  <c r="P154" i="1"/>
  <c r="O154" i="1"/>
  <c r="N154" i="1"/>
  <c r="M154" i="1"/>
  <c r="S154" i="1" s="1"/>
  <c r="Q153" i="1"/>
  <c r="P153" i="1"/>
  <c r="O153" i="1"/>
  <c r="N153" i="1"/>
  <c r="M153" i="1"/>
  <c r="Q152" i="1"/>
  <c r="P152" i="1"/>
  <c r="O152" i="1"/>
  <c r="N152" i="1"/>
  <c r="M152" i="1"/>
  <c r="T152" i="1" s="1"/>
  <c r="Q151" i="1"/>
  <c r="P151" i="1"/>
  <c r="O151" i="1"/>
  <c r="N151" i="1"/>
  <c r="M151" i="1"/>
  <c r="Q150" i="1"/>
  <c r="Y150" i="1" s="1"/>
  <c r="P150" i="1"/>
  <c r="O150" i="1"/>
  <c r="N150" i="1"/>
  <c r="M150" i="1"/>
  <c r="S150" i="1" s="1"/>
  <c r="Q149" i="1"/>
  <c r="Z149" i="1" s="1"/>
  <c r="P149" i="1"/>
  <c r="O149" i="1"/>
  <c r="N149" i="1"/>
  <c r="M149" i="1"/>
  <c r="S149" i="1" s="1"/>
  <c r="Q148" i="1"/>
  <c r="P148" i="1"/>
  <c r="O148" i="1"/>
  <c r="N148" i="1"/>
  <c r="M148" i="1"/>
  <c r="Q147" i="1"/>
  <c r="Z147" i="1" s="1"/>
  <c r="P147" i="1"/>
  <c r="O147" i="1"/>
  <c r="N147" i="1"/>
  <c r="M147" i="1"/>
  <c r="Q146" i="1"/>
  <c r="R146" i="1" s="1"/>
  <c r="P146" i="1"/>
  <c r="O146" i="1"/>
  <c r="N146" i="1"/>
  <c r="M146" i="1"/>
  <c r="S146" i="1" s="1"/>
  <c r="Q145" i="1"/>
  <c r="R145" i="1" s="1"/>
  <c r="P145" i="1"/>
  <c r="O145" i="1"/>
  <c r="N145" i="1"/>
  <c r="M145" i="1"/>
  <c r="S145" i="1" s="1"/>
  <c r="Q144" i="1"/>
  <c r="P144" i="1"/>
  <c r="O144" i="1"/>
  <c r="N144" i="1"/>
  <c r="M144" i="1"/>
  <c r="S144" i="1" s="1"/>
  <c r="Q143" i="1"/>
  <c r="P143" i="1"/>
  <c r="O143" i="1"/>
  <c r="N143" i="1"/>
  <c r="M143" i="1"/>
  <c r="Q142" i="1"/>
  <c r="Z142" i="1" s="1"/>
  <c r="P142" i="1"/>
  <c r="O142" i="1"/>
  <c r="N142" i="1"/>
  <c r="M142" i="1"/>
  <c r="Q141" i="1"/>
  <c r="P141" i="1"/>
  <c r="O141" i="1"/>
  <c r="N141" i="1"/>
  <c r="M141" i="1"/>
  <c r="Q140" i="1"/>
  <c r="P140" i="1"/>
  <c r="O140" i="1"/>
  <c r="N140" i="1"/>
  <c r="M140" i="1"/>
  <c r="Q139" i="1"/>
  <c r="P139" i="1"/>
  <c r="O139" i="1"/>
  <c r="N139" i="1"/>
  <c r="M139" i="1"/>
  <c r="Q138" i="1"/>
  <c r="P138" i="1"/>
  <c r="O138" i="1"/>
  <c r="N138" i="1"/>
  <c r="M138" i="1"/>
  <c r="Q137" i="1"/>
  <c r="R137" i="1" s="1"/>
  <c r="P137" i="1"/>
  <c r="O137" i="1"/>
  <c r="N137" i="1"/>
  <c r="M137" i="1"/>
  <c r="Q136" i="1"/>
  <c r="P136" i="1"/>
  <c r="O136" i="1"/>
  <c r="N136" i="1"/>
  <c r="M136" i="1"/>
  <c r="Q135" i="1"/>
  <c r="P135" i="1"/>
  <c r="O135" i="1"/>
  <c r="N135" i="1"/>
  <c r="M135" i="1"/>
  <c r="Q134" i="1"/>
  <c r="P134" i="1"/>
  <c r="O134" i="1"/>
  <c r="N134" i="1"/>
  <c r="M134" i="1"/>
  <c r="Q133" i="1"/>
  <c r="P133" i="1"/>
  <c r="O133" i="1"/>
  <c r="N133" i="1"/>
  <c r="M133" i="1"/>
  <c r="S133" i="1" s="1"/>
  <c r="Q132" i="1"/>
  <c r="Z132" i="1" s="1"/>
  <c r="P132" i="1"/>
  <c r="O132" i="1"/>
  <c r="N132" i="1"/>
  <c r="M132" i="1"/>
  <c r="S132" i="1" s="1"/>
  <c r="Q131" i="1"/>
  <c r="Z131" i="1" s="1"/>
  <c r="P131" i="1"/>
  <c r="O131" i="1"/>
  <c r="N131" i="1"/>
  <c r="M131" i="1"/>
  <c r="T131" i="1" s="1"/>
  <c r="Q130" i="1"/>
  <c r="P130" i="1"/>
  <c r="O130" i="1"/>
  <c r="N130" i="1"/>
  <c r="M130" i="1"/>
  <c r="Q129" i="1"/>
  <c r="P129" i="1"/>
  <c r="O129" i="1"/>
  <c r="N129" i="1"/>
  <c r="M129" i="1"/>
  <c r="S129" i="1" s="1"/>
  <c r="Q128" i="1"/>
  <c r="R128" i="1" s="1"/>
  <c r="P128" i="1"/>
  <c r="O128" i="1"/>
  <c r="N128" i="1"/>
  <c r="M128" i="1"/>
  <c r="Q127" i="1"/>
  <c r="Z127" i="1" s="1"/>
  <c r="P127" i="1"/>
  <c r="O127" i="1"/>
  <c r="N127" i="1"/>
  <c r="M127" i="1"/>
  <c r="Q126" i="1"/>
  <c r="W126" i="1" s="1"/>
  <c r="P126" i="1"/>
  <c r="O126" i="1"/>
  <c r="N126" i="1"/>
  <c r="M126" i="1"/>
  <c r="Q125" i="1"/>
  <c r="W125" i="1" s="1"/>
  <c r="P125" i="1"/>
  <c r="O125" i="1"/>
  <c r="N125" i="1"/>
  <c r="M125" i="1"/>
  <c r="T125" i="1" s="1"/>
  <c r="Q124" i="1"/>
  <c r="P124" i="1"/>
  <c r="O124" i="1"/>
  <c r="N124" i="1"/>
  <c r="M124" i="1"/>
  <c r="S124" i="1" s="1"/>
  <c r="Q123" i="1"/>
  <c r="R123" i="1" s="1"/>
  <c r="P123" i="1"/>
  <c r="O123" i="1"/>
  <c r="N123" i="1"/>
  <c r="M123" i="1"/>
  <c r="W123" i="1" s="1"/>
  <c r="Q122" i="1"/>
  <c r="P122" i="1"/>
  <c r="O122" i="1"/>
  <c r="N122" i="1"/>
  <c r="M122" i="1"/>
  <c r="Q121" i="1"/>
  <c r="P121" i="1"/>
  <c r="O121" i="1"/>
  <c r="N121" i="1"/>
  <c r="M121" i="1"/>
  <c r="Q120" i="1"/>
  <c r="Z120" i="1" s="1"/>
  <c r="P120" i="1"/>
  <c r="O120" i="1"/>
  <c r="N120" i="1"/>
  <c r="M120" i="1"/>
  <c r="Q119" i="1"/>
  <c r="P119" i="1"/>
  <c r="O119" i="1"/>
  <c r="N119" i="1"/>
  <c r="M119" i="1"/>
  <c r="W119" i="1" s="1"/>
  <c r="Q118" i="1"/>
  <c r="Y118" i="1" s="1"/>
  <c r="P118" i="1"/>
  <c r="O118" i="1"/>
  <c r="N118" i="1"/>
  <c r="M118" i="1"/>
  <c r="Q117" i="1"/>
  <c r="P117" i="1"/>
  <c r="O117" i="1"/>
  <c r="N117" i="1"/>
  <c r="M117" i="1"/>
  <c r="Z116" i="1"/>
  <c r="Y116" i="1"/>
  <c r="Q116" i="1"/>
  <c r="T116" i="1" s="1"/>
  <c r="P116" i="1"/>
  <c r="O116" i="1"/>
  <c r="N116" i="1"/>
  <c r="M116" i="1"/>
  <c r="Q115" i="1"/>
  <c r="Y115" i="1" s="1"/>
  <c r="P115" i="1"/>
  <c r="O115" i="1"/>
  <c r="N115" i="1"/>
  <c r="M115" i="1"/>
  <c r="Q114" i="1"/>
  <c r="P114" i="1"/>
  <c r="O114" i="1"/>
  <c r="N114" i="1"/>
  <c r="M114" i="1"/>
  <c r="Q113" i="1"/>
  <c r="P113" i="1"/>
  <c r="O113" i="1"/>
  <c r="N113" i="1"/>
  <c r="M113" i="1"/>
  <c r="Q112" i="1"/>
  <c r="Z112" i="1" s="1"/>
  <c r="P112" i="1"/>
  <c r="O112" i="1"/>
  <c r="N112" i="1"/>
  <c r="M112" i="1"/>
  <c r="Q111" i="1"/>
  <c r="T111" i="1" s="1"/>
  <c r="P111" i="1"/>
  <c r="O111" i="1"/>
  <c r="N111" i="1"/>
  <c r="M111" i="1"/>
  <c r="Q110" i="1"/>
  <c r="P110" i="1"/>
  <c r="O110" i="1"/>
  <c r="N110" i="1"/>
  <c r="M110" i="1"/>
  <c r="Q109" i="1"/>
  <c r="S109" i="1" s="1"/>
  <c r="P109" i="1"/>
  <c r="O109" i="1"/>
  <c r="N109" i="1"/>
  <c r="M109" i="1"/>
  <c r="W109" i="1" s="1"/>
  <c r="Q108" i="1"/>
  <c r="S108" i="1" s="1"/>
  <c r="P108" i="1"/>
  <c r="O108" i="1"/>
  <c r="N108" i="1"/>
  <c r="M108" i="1"/>
  <c r="Q107" i="1"/>
  <c r="P107" i="1"/>
  <c r="O107" i="1"/>
  <c r="N107" i="1"/>
  <c r="M107" i="1"/>
  <c r="Q106" i="1"/>
  <c r="R106" i="1" s="1"/>
  <c r="P106" i="1"/>
  <c r="O106" i="1"/>
  <c r="N106" i="1"/>
  <c r="M106" i="1"/>
  <c r="Q105" i="1"/>
  <c r="S105" i="1" s="1"/>
  <c r="P105" i="1"/>
  <c r="O105" i="1"/>
  <c r="N105" i="1"/>
  <c r="M105" i="1"/>
  <c r="W105" i="1" s="1"/>
  <c r="Q104" i="1"/>
  <c r="Y104" i="1" s="1"/>
  <c r="P104" i="1"/>
  <c r="O104" i="1"/>
  <c r="N104" i="1"/>
  <c r="M104" i="1"/>
  <c r="Q103" i="1"/>
  <c r="P103" i="1"/>
  <c r="O103" i="1"/>
  <c r="N103" i="1"/>
  <c r="M103" i="1"/>
  <c r="Q102" i="1"/>
  <c r="P102" i="1"/>
  <c r="O102" i="1"/>
  <c r="N102" i="1"/>
  <c r="M102" i="1"/>
  <c r="W102" i="1" s="1"/>
  <c r="Q101" i="1"/>
  <c r="P101" i="1"/>
  <c r="O101" i="1"/>
  <c r="N101" i="1"/>
  <c r="M101" i="1"/>
  <c r="Q100" i="1"/>
  <c r="P100" i="1"/>
  <c r="O100" i="1"/>
  <c r="N100" i="1"/>
  <c r="M100" i="1"/>
  <c r="Q99" i="1"/>
  <c r="P99" i="1"/>
  <c r="O99" i="1"/>
  <c r="N99" i="1"/>
  <c r="M99" i="1"/>
  <c r="W99" i="1" s="1"/>
  <c r="Q98" i="1"/>
  <c r="Z98" i="1" s="1"/>
  <c r="P98" i="1"/>
  <c r="O98" i="1"/>
  <c r="N98" i="1"/>
  <c r="M98" i="1"/>
  <c r="Q97" i="1"/>
  <c r="P97" i="1"/>
  <c r="O97" i="1"/>
  <c r="N97" i="1"/>
  <c r="M97" i="1"/>
  <c r="Q96" i="1"/>
  <c r="P96" i="1"/>
  <c r="O96" i="1"/>
  <c r="N96" i="1"/>
  <c r="M96" i="1"/>
  <c r="Q95" i="1"/>
  <c r="T95" i="1" s="1"/>
  <c r="P95" i="1"/>
  <c r="O95" i="1"/>
  <c r="N95" i="1"/>
  <c r="M95" i="1"/>
  <c r="Q94" i="1"/>
  <c r="T94" i="1" s="1"/>
  <c r="P94" i="1"/>
  <c r="O94" i="1"/>
  <c r="N94" i="1"/>
  <c r="M94" i="1"/>
  <c r="Q93" i="1"/>
  <c r="P93" i="1"/>
  <c r="O93" i="1"/>
  <c r="N93" i="1"/>
  <c r="M93" i="1"/>
  <c r="Q92" i="1"/>
  <c r="P92" i="1"/>
  <c r="O92" i="1"/>
  <c r="N92" i="1"/>
  <c r="M92" i="1"/>
  <c r="Q91" i="1"/>
  <c r="S91" i="1" s="1"/>
  <c r="P91" i="1"/>
  <c r="O91" i="1"/>
  <c r="N91" i="1"/>
  <c r="M91" i="1"/>
  <c r="Y90" i="1"/>
  <c r="Q90" i="1"/>
  <c r="Z90" i="1" s="1"/>
  <c r="P90" i="1"/>
  <c r="O90" i="1"/>
  <c r="N90" i="1"/>
  <c r="M90" i="1"/>
  <c r="W90" i="1" s="1"/>
  <c r="Q89" i="1"/>
  <c r="P89" i="1"/>
  <c r="O89" i="1"/>
  <c r="N89" i="1"/>
  <c r="M89" i="1"/>
  <c r="Q88" i="1"/>
  <c r="T88" i="1" s="1"/>
  <c r="P88" i="1"/>
  <c r="O88" i="1"/>
  <c r="N88" i="1"/>
  <c r="M88" i="1"/>
  <c r="Q87" i="1"/>
  <c r="S87" i="1" s="1"/>
  <c r="P87" i="1"/>
  <c r="O87" i="1"/>
  <c r="N87" i="1"/>
  <c r="M87" i="1"/>
  <c r="Q86" i="1"/>
  <c r="S86" i="1" s="1"/>
  <c r="P86" i="1"/>
  <c r="O86" i="1"/>
  <c r="N86" i="1"/>
  <c r="M86" i="1"/>
  <c r="W86" i="1" s="1"/>
  <c r="Q85" i="1"/>
  <c r="P85" i="1"/>
  <c r="O85" i="1"/>
  <c r="N85" i="1"/>
  <c r="M85" i="1"/>
  <c r="Q84" i="1"/>
  <c r="R84" i="1" s="1"/>
  <c r="P84" i="1"/>
  <c r="O84" i="1"/>
  <c r="N84" i="1"/>
  <c r="M84" i="1"/>
  <c r="Q83" i="1"/>
  <c r="P83" i="1"/>
  <c r="O83" i="1"/>
  <c r="N83" i="1"/>
  <c r="M83" i="1"/>
  <c r="W83" i="1" s="1"/>
  <c r="Q82" i="1"/>
  <c r="Y82" i="1" s="1"/>
  <c r="P82" i="1"/>
  <c r="O82" i="1"/>
  <c r="N82" i="1"/>
  <c r="M82" i="1"/>
  <c r="Q81" i="1"/>
  <c r="R81" i="1" s="1"/>
  <c r="P81" i="1"/>
  <c r="O81" i="1"/>
  <c r="N81" i="1"/>
  <c r="M81" i="1"/>
  <c r="Q80" i="1"/>
  <c r="T80" i="1" s="1"/>
  <c r="P80" i="1"/>
  <c r="O80" i="1"/>
  <c r="N80" i="1"/>
  <c r="M80" i="1"/>
  <c r="Q79" i="1"/>
  <c r="P79" i="1"/>
  <c r="O79" i="1"/>
  <c r="N79" i="1"/>
  <c r="M79" i="1"/>
  <c r="Q78" i="1"/>
  <c r="Y78" i="1" s="1"/>
  <c r="P78" i="1"/>
  <c r="O78" i="1"/>
  <c r="N78" i="1"/>
  <c r="M78" i="1"/>
  <c r="W78" i="1" s="1"/>
  <c r="Q77" i="1"/>
  <c r="P77" i="1"/>
  <c r="O77" i="1"/>
  <c r="N77" i="1"/>
  <c r="M77" i="1"/>
  <c r="Q76" i="1"/>
  <c r="P76" i="1"/>
  <c r="O76" i="1"/>
  <c r="N76" i="1"/>
  <c r="M76" i="1"/>
  <c r="Q75" i="1"/>
  <c r="P75" i="1"/>
  <c r="O75" i="1"/>
  <c r="N75" i="1"/>
  <c r="M75" i="1"/>
  <c r="Q74" i="1"/>
  <c r="Y74" i="1" s="1"/>
  <c r="P74" i="1"/>
  <c r="O74" i="1"/>
  <c r="N74" i="1"/>
  <c r="M74" i="1"/>
  <c r="Q73" i="1"/>
  <c r="T73" i="1" s="1"/>
  <c r="P73" i="1"/>
  <c r="O73" i="1"/>
  <c r="N73" i="1"/>
  <c r="M73" i="1"/>
  <c r="Q72" i="1"/>
  <c r="P72" i="1"/>
  <c r="O72" i="1"/>
  <c r="N72" i="1"/>
  <c r="M72" i="1"/>
  <c r="Q71" i="1"/>
  <c r="P71" i="1"/>
  <c r="O71" i="1"/>
  <c r="N71" i="1"/>
  <c r="M71" i="1"/>
  <c r="Q70" i="1"/>
  <c r="P70" i="1"/>
  <c r="O70" i="1"/>
  <c r="N70" i="1"/>
  <c r="M70" i="1"/>
  <c r="Q69" i="1"/>
  <c r="Z69" i="1" s="1"/>
  <c r="P69" i="1"/>
  <c r="O69" i="1"/>
  <c r="N69" i="1"/>
  <c r="M69" i="1"/>
  <c r="Q68" i="1"/>
  <c r="P68" i="1"/>
  <c r="O68" i="1"/>
  <c r="N68" i="1"/>
  <c r="M68" i="1"/>
  <c r="Q67" i="1"/>
  <c r="P67" i="1"/>
  <c r="O67" i="1"/>
  <c r="N67" i="1"/>
  <c r="M67" i="1"/>
  <c r="Q66" i="1"/>
  <c r="P66" i="1"/>
  <c r="O66" i="1"/>
  <c r="N66" i="1"/>
  <c r="M66" i="1"/>
  <c r="T66" i="1" s="1"/>
  <c r="Q65" i="1"/>
  <c r="Z65" i="1" s="1"/>
  <c r="P65" i="1"/>
  <c r="O65" i="1"/>
  <c r="N65" i="1"/>
  <c r="M65" i="1"/>
  <c r="Q64" i="1"/>
  <c r="S64" i="1" s="1"/>
  <c r="P64" i="1"/>
  <c r="O64" i="1"/>
  <c r="N64" i="1"/>
  <c r="M64" i="1"/>
  <c r="T64" i="1" s="1"/>
  <c r="Q63" i="1"/>
  <c r="Z63" i="1" s="1"/>
  <c r="P63" i="1"/>
  <c r="O63" i="1"/>
  <c r="N63" i="1"/>
  <c r="M63" i="1"/>
  <c r="S63" i="1" s="1"/>
  <c r="Z62" i="1"/>
  <c r="Y62" i="1"/>
  <c r="Q62" i="1"/>
  <c r="W62" i="1" s="1"/>
  <c r="P62" i="1"/>
  <c r="O62" i="1"/>
  <c r="N62" i="1"/>
  <c r="M62" i="1"/>
  <c r="Q61" i="1"/>
  <c r="Z61" i="1" s="1"/>
  <c r="P61" i="1"/>
  <c r="O61" i="1"/>
  <c r="N61" i="1"/>
  <c r="M61" i="1"/>
  <c r="S61" i="1" s="1"/>
  <c r="Q60" i="1"/>
  <c r="R60" i="1" s="1"/>
  <c r="P60" i="1"/>
  <c r="O60" i="1"/>
  <c r="N60" i="1"/>
  <c r="M60" i="1"/>
  <c r="S60" i="1" s="1"/>
  <c r="Q59" i="1"/>
  <c r="Z59" i="1" s="1"/>
  <c r="P59" i="1"/>
  <c r="O59" i="1"/>
  <c r="N59" i="1"/>
  <c r="M59" i="1"/>
  <c r="Q58" i="1"/>
  <c r="P58" i="1"/>
  <c r="O58" i="1"/>
  <c r="N58" i="1"/>
  <c r="M58" i="1"/>
  <c r="Q57" i="1"/>
  <c r="Z57" i="1" s="1"/>
  <c r="P57" i="1"/>
  <c r="O57" i="1"/>
  <c r="N57" i="1"/>
  <c r="M57" i="1"/>
  <c r="S57" i="1" s="1"/>
  <c r="Q56" i="1"/>
  <c r="Y56" i="1" s="1"/>
  <c r="P56" i="1"/>
  <c r="O56" i="1"/>
  <c r="N56" i="1"/>
  <c r="M56" i="1"/>
  <c r="Q55" i="1"/>
  <c r="Z55" i="1" s="1"/>
  <c r="P55" i="1"/>
  <c r="O55" i="1"/>
  <c r="N55" i="1"/>
  <c r="M55" i="1"/>
  <c r="S55" i="1" s="1"/>
  <c r="Q54" i="1"/>
  <c r="P54" i="1"/>
  <c r="O54" i="1"/>
  <c r="N54" i="1"/>
  <c r="M54" i="1"/>
  <c r="Q53" i="1"/>
  <c r="P53" i="1"/>
  <c r="O53" i="1"/>
  <c r="N53" i="1"/>
  <c r="M53" i="1"/>
  <c r="Z52" i="1"/>
  <c r="Q52" i="1"/>
  <c r="Y52" i="1" s="1"/>
  <c r="P52" i="1"/>
  <c r="O52" i="1"/>
  <c r="N52" i="1"/>
  <c r="M52" i="1"/>
  <c r="S52" i="1" s="1"/>
  <c r="Q51" i="1"/>
  <c r="P51" i="1"/>
  <c r="O51" i="1"/>
  <c r="N51" i="1"/>
  <c r="M51" i="1"/>
  <c r="Q50" i="1"/>
  <c r="P50" i="1"/>
  <c r="O50" i="1"/>
  <c r="N50" i="1"/>
  <c r="M50" i="1"/>
  <c r="W69" i="1" l="1"/>
  <c r="W81" i="1"/>
  <c r="T126" i="1"/>
  <c r="S141" i="1"/>
  <c r="W91" i="1"/>
  <c r="W103" i="1"/>
  <c r="T141" i="1"/>
  <c r="T153" i="1"/>
  <c r="S127" i="1"/>
  <c r="T53" i="1"/>
  <c r="W98" i="1"/>
  <c r="S128" i="1"/>
  <c r="U128" i="1" s="1"/>
  <c r="V128" i="1" s="1"/>
  <c r="W106" i="1"/>
  <c r="W104" i="1"/>
  <c r="T154" i="1"/>
  <c r="T65" i="1"/>
  <c r="W77" i="1"/>
  <c r="T158" i="1"/>
  <c r="S58" i="1"/>
  <c r="W84" i="1"/>
  <c r="T150" i="1"/>
  <c r="T56" i="1"/>
  <c r="W82" i="1"/>
  <c r="S56" i="1"/>
  <c r="T129" i="1"/>
  <c r="T63" i="1"/>
  <c r="W87" i="1"/>
  <c r="T128" i="1"/>
  <c r="T62" i="1"/>
  <c r="T59" i="1"/>
  <c r="W85" i="1"/>
  <c r="T142" i="1"/>
  <c r="T127" i="1"/>
  <c r="T61" i="1"/>
  <c r="T57" i="1"/>
  <c r="T133" i="1"/>
  <c r="T124" i="1"/>
  <c r="S151" i="1"/>
  <c r="S53" i="1"/>
  <c r="T60" i="1"/>
  <c r="U60" i="1" s="1"/>
  <c r="W70" i="1"/>
  <c r="T149" i="1"/>
  <c r="T146" i="1"/>
  <c r="U146" i="1" s="1"/>
  <c r="S148" i="1"/>
  <c r="T145" i="1"/>
  <c r="U145" i="1" s="1"/>
  <c r="V145" i="1" s="1"/>
  <c r="T58" i="1"/>
  <c r="T132" i="1"/>
  <c r="Z138" i="1"/>
  <c r="T138" i="1"/>
  <c r="W138" i="1"/>
  <c r="S138" i="1"/>
  <c r="Z100" i="1"/>
  <c r="T100" i="1"/>
  <c r="W100" i="1"/>
  <c r="S126" i="1"/>
  <c r="W147" i="1"/>
  <c r="T113" i="1"/>
  <c r="W113" i="1"/>
  <c r="S113" i="1"/>
  <c r="T117" i="1"/>
  <c r="S117" i="1"/>
  <c r="W117" i="1"/>
  <c r="T121" i="1"/>
  <c r="W121" i="1"/>
  <c r="S121" i="1"/>
  <c r="T134" i="1"/>
  <c r="W134" i="1"/>
  <c r="S134" i="1"/>
  <c r="T156" i="1"/>
  <c r="W156" i="1"/>
  <c r="S156" i="1"/>
  <c r="S125" i="1"/>
  <c r="Y96" i="1"/>
  <c r="T96" i="1"/>
  <c r="W96" i="1"/>
  <c r="S96" i="1"/>
  <c r="T143" i="1"/>
  <c r="W143" i="1"/>
  <c r="S143" i="1"/>
  <c r="R156" i="1"/>
  <c r="W66" i="1"/>
  <c r="S66" i="1"/>
  <c r="Z79" i="1"/>
  <c r="T79" i="1"/>
  <c r="W79" i="1"/>
  <c r="S130" i="1"/>
  <c r="R152" i="1"/>
  <c r="S152" i="1"/>
  <c r="Y156" i="1"/>
  <c r="S79" i="1"/>
  <c r="T151" i="1"/>
  <c r="T104" i="1"/>
  <c r="W75" i="1"/>
  <c r="S75" i="1"/>
  <c r="T75" i="1"/>
  <c r="T92" i="1"/>
  <c r="W92" i="1"/>
  <c r="S92" i="1"/>
  <c r="R101" i="1"/>
  <c r="T101" i="1"/>
  <c r="W101" i="1"/>
  <c r="Z126" i="1"/>
  <c r="Z54" i="1"/>
  <c r="T54" i="1"/>
  <c r="W54" i="1"/>
  <c r="S54" i="1"/>
  <c r="W97" i="1"/>
  <c r="T97" i="1"/>
  <c r="S97" i="1"/>
  <c r="T147" i="1"/>
  <c r="Y50" i="1"/>
  <c r="T50" i="1"/>
  <c r="W50" i="1"/>
  <c r="S50" i="1"/>
  <c r="T67" i="1"/>
  <c r="W67" i="1"/>
  <c r="S67" i="1"/>
  <c r="Z110" i="1"/>
  <c r="W110" i="1"/>
  <c r="S110" i="1"/>
  <c r="S153" i="1"/>
  <c r="S76" i="1"/>
  <c r="T76" i="1"/>
  <c r="W76" i="1"/>
  <c r="T93" i="1"/>
  <c r="W93" i="1"/>
  <c r="S93" i="1"/>
  <c r="T136" i="1"/>
  <c r="S104" i="1"/>
  <c r="S147" i="1"/>
  <c r="W63" i="1"/>
  <c r="W88" i="1"/>
  <c r="S88" i="1"/>
  <c r="T139" i="1"/>
  <c r="S139" i="1"/>
  <c r="W139" i="1"/>
  <c r="Y71" i="1"/>
  <c r="T71" i="1"/>
  <c r="W71" i="1"/>
  <c r="S71" i="1"/>
  <c r="Y101" i="1"/>
  <c r="T114" i="1"/>
  <c r="W114" i="1"/>
  <c r="S114" i="1"/>
  <c r="S118" i="1"/>
  <c r="Z118" i="1"/>
  <c r="T118" i="1"/>
  <c r="W118" i="1"/>
  <c r="Y122" i="1"/>
  <c r="T122" i="1"/>
  <c r="W122" i="1"/>
  <c r="T135" i="1"/>
  <c r="W135" i="1"/>
  <c r="S135" i="1"/>
  <c r="T148" i="1"/>
  <c r="T105" i="1"/>
  <c r="Z101" i="1"/>
  <c r="R118" i="1"/>
  <c r="T144" i="1"/>
  <c r="W144" i="1"/>
  <c r="T157" i="1"/>
  <c r="W80" i="1"/>
  <c r="T89" i="1"/>
  <c r="W89" i="1"/>
  <c r="S89" i="1"/>
  <c r="Z89" i="1"/>
  <c r="T140" i="1"/>
  <c r="Z76" i="1"/>
  <c r="Y89" i="1"/>
  <c r="S62" i="1"/>
  <c r="Z72" i="1"/>
  <c r="T72" i="1"/>
  <c r="W72" i="1"/>
  <c r="S72" i="1"/>
  <c r="T51" i="1"/>
  <c r="S51" i="1"/>
  <c r="W51" i="1"/>
  <c r="T68" i="1"/>
  <c r="S59" i="1"/>
  <c r="T130" i="1"/>
  <c r="S140" i="1"/>
  <c r="T55" i="1"/>
  <c r="Y149" i="1"/>
  <c r="T98" i="1"/>
  <c r="S116" i="1"/>
  <c r="S94" i="1"/>
  <c r="W140" i="1"/>
  <c r="W74" i="1"/>
  <c r="W52" i="1"/>
  <c r="R52" i="1"/>
  <c r="Z94" i="1"/>
  <c r="S137" i="1"/>
  <c r="S115" i="1"/>
  <c r="W95" i="1"/>
  <c r="W73" i="1"/>
  <c r="T74" i="1"/>
  <c r="T52" i="1"/>
  <c r="S158" i="1"/>
  <c r="S136" i="1"/>
  <c r="W116" i="1"/>
  <c r="W94" i="1"/>
  <c r="S157" i="1"/>
  <c r="S69" i="1"/>
  <c r="W137" i="1"/>
  <c r="W115" i="1"/>
  <c r="S112" i="1"/>
  <c r="S90" i="1"/>
  <c r="S68" i="1"/>
  <c r="W158" i="1"/>
  <c r="W136" i="1"/>
  <c r="T137" i="1"/>
  <c r="T115" i="1"/>
  <c r="W55" i="1"/>
  <c r="W157" i="1"/>
  <c r="W112" i="1"/>
  <c r="W68" i="1"/>
  <c r="T69" i="1"/>
  <c r="S131" i="1"/>
  <c r="S65" i="1"/>
  <c r="W133" i="1"/>
  <c r="W111" i="1"/>
  <c r="T112" i="1"/>
  <c r="T90" i="1"/>
  <c r="W132" i="1"/>
  <c r="T155" i="1"/>
  <c r="U123" i="1"/>
  <c r="U84" i="1"/>
  <c r="V84" i="1" s="1"/>
  <c r="U81" i="1"/>
  <c r="U106" i="1"/>
  <c r="V106" i="1" s="1"/>
  <c r="Z128" i="1"/>
  <c r="Y63" i="1"/>
  <c r="Z56" i="1"/>
  <c r="Z74" i="1"/>
  <c r="Z88" i="1"/>
  <c r="Z109" i="1"/>
  <c r="R140" i="1"/>
  <c r="Z150" i="1"/>
  <c r="R56" i="1"/>
  <c r="Z84" i="1"/>
  <c r="Y112" i="1"/>
  <c r="Y147" i="1"/>
  <c r="Y54" i="1"/>
  <c r="Y140" i="1"/>
  <c r="Y133" i="1"/>
  <c r="Z140" i="1"/>
  <c r="R96" i="1"/>
  <c r="Y106" i="1"/>
  <c r="Z133" i="1"/>
  <c r="R158" i="1"/>
  <c r="R57" i="1"/>
  <c r="Y72" i="1"/>
  <c r="R103" i="1"/>
  <c r="U103" i="1" s="1"/>
  <c r="V103" i="1" s="1"/>
  <c r="Z106" i="1"/>
  <c r="Y128" i="1"/>
  <c r="Y113" i="1"/>
  <c r="Y123" i="1"/>
  <c r="Y155" i="1"/>
  <c r="Y132" i="1"/>
  <c r="Z67" i="1"/>
  <c r="Y103" i="1"/>
  <c r="Z113" i="1"/>
  <c r="Y120" i="1"/>
  <c r="Z123" i="1"/>
  <c r="R127" i="1"/>
  <c r="R74" i="1"/>
  <c r="Y67" i="1"/>
  <c r="Z96" i="1"/>
  <c r="Z103" i="1"/>
  <c r="Y84" i="1"/>
  <c r="Z122" i="1"/>
  <c r="Y86" i="1"/>
  <c r="Y127" i="1"/>
  <c r="Y138" i="1"/>
  <c r="Y145" i="1"/>
  <c r="Y57" i="1"/>
  <c r="R112" i="1"/>
  <c r="R54" i="1"/>
  <c r="Y88" i="1"/>
  <c r="R79" i="1"/>
  <c r="Y55" i="1"/>
  <c r="Y79" i="1"/>
  <c r="Z86" i="1"/>
  <c r="Y111" i="1"/>
  <c r="Z145" i="1"/>
  <c r="Y76" i="1"/>
  <c r="Y94" i="1"/>
  <c r="Z111" i="1"/>
  <c r="R68" i="1"/>
  <c r="Z152" i="1"/>
  <c r="Y152" i="1"/>
  <c r="R143" i="1"/>
  <c r="R110" i="1"/>
  <c r="Y143" i="1"/>
  <c r="R121" i="1"/>
  <c r="Z121" i="1"/>
  <c r="Y121" i="1"/>
  <c r="Z143" i="1"/>
  <c r="R50" i="1"/>
  <c r="Z93" i="1"/>
  <c r="Y93" i="1"/>
  <c r="Y68" i="1"/>
  <c r="R93" i="1"/>
  <c r="Z108" i="1"/>
  <c r="Y108" i="1"/>
  <c r="R66" i="1"/>
  <c r="Z68" i="1"/>
  <c r="R108" i="1"/>
  <c r="U108" i="1" s="1"/>
  <c r="V108" i="1" s="1"/>
  <c r="Z60" i="1"/>
  <c r="Z81" i="1"/>
  <c r="Y81" i="1"/>
  <c r="Y110" i="1"/>
  <c r="Z50" i="1"/>
  <c r="Y66" i="1"/>
  <c r="R99" i="1"/>
  <c r="U99" i="1" s="1"/>
  <c r="Z99" i="1"/>
  <c r="Y125" i="1"/>
  <c r="R125" i="1"/>
  <c r="Z125" i="1"/>
  <c r="Z135" i="1"/>
  <c r="Y135" i="1"/>
  <c r="Y60" i="1"/>
  <c r="Z66" i="1"/>
  <c r="R135" i="1"/>
  <c r="Y99" i="1"/>
  <c r="Z119" i="1"/>
  <c r="Y119" i="1"/>
  <c r="Z141" i="1"/>
  <c r="Y141" i="1"/>
  <c r="R141" i="1"/>
  <c r="R154" i="1"/>
  <c r="Z73" i="1"/>
  <c r="Y73" i="1"/>
  <c r="R119" i="1"/>
  <c r="U119" i="1" s="1"/>
  <c r="Z58" i="1"/>
  <c r="Y58" i="1"/>
  <c r="R73" i="1"/>
  <c r="U73" i="1" s="1"/>
  <c r="R58" i="1"/>
  <c r="Y64" i="1"/>
  <c r="Z64" i="1"/>
  <c r="Z85" i="1"/>
  <c r="Y85" i="1"/>
  <c r="R85" i="1"/>
  <c r="U85" i="1" s="1"/>
  <c r="Z139" i="1"/>
  <c r="Y139" i="1"/>
  <c r="Y154" i="1"/>
  <c r="R64" i="1"/>
  <c r="U64" i="1" s="1"/>
  <c r="R117" i="1"/>
  <c r="Y117" i="1"/>
  <c r="Z117" i="1"/>
  <c r="R139" i="1"/>
  <c r="Z154" i="1"/>
  <c r="Z114" i="1"/>
  <c r="Y114" i="1"/>
  <c r="Y83" i="1"/>
  <c r="Z83" i="1"/>
  <c r="Z97" i="1"/>
  <c r="Y97" i="1"/>
  <c r="R114" i="1"/>
  <c r="R83" i="1"/>
  <c r="U83" i="1" s="1"/>
  <c r="Z95" i="1"/>
  <c r="Y95" i="1"/>
  <c r="R97" i="1"/>
  <c r="R95" i="1"/>
  <c r="U95" i="1" s="1"/>
  <c r="Z137" i="1"/>
  <c r="Y137" i="1"/>
  <c r="R77" i="1"/>
  <c r="U77" i="1" s="1"/>
  <c r="Z91" i="1"/>
  <c r="Y91" i="1"/>
  <c r="R131" i="1"/>
  <c r="R71" i="1"/>
  <c r="Y87" i="1"/>
  <c r="R91" i="1"/>
  <c r="U91" i="1" s="1"/>
  <c r="R104" i="1"/>
  <c r="Y77" i="1"/>
  <c r="R100" i="1"/>
  <c r="R69" i="1"/>
  <c r="Z77" i="1"/>
  <c r="R102" i="1"/>
  <c r="U102" i="1" s="1"/>
  <c r="R51" i="1"/>
  <c r="R59" i="1"/>
  <c r="Y157" i="1"/>
  <c r="R122" i="1"/>
  <c r="Y153" i="1"/>
  <c r="Z157" i="1"/>
  <c r="R63" i="1"/>
  <c r="U63" i="1" s="1"/>
  <c r="Z71" i="1"/>
  <c r="Y100" i="1"/>
  <c r="Y107" i="1"/>
  <c r="Z107" i="1"/>
  <c r="R107" i="1"/>
  <c r="U107" i="1" s="1"/>
  <c r="R142" i="1"/>
  <c r="R149" i="1"/>
  <c r="Y151" i="1"/>
  <c r="Z151" i="1"/>
  <c r="R153" i="1"/>
  <c r="Z136" i="1"/>
  <c r="Y136" i="1"/>
  <c r="R151" i="1"/>
  <c r="R80" i="1"/>
  <c r="U80" i="1" s="1"/>
  <c r="V80" i="1" s="1"/>
  <c r="Y98" i="1"/>
  <c r="R82" i="1"/>
  <c r="U82" i="1" s="1"/>
  <c r="R124" i="1"/>
  <c r="U124" i="1" s="1"/>
  <c r="R130" i="1"/>
  <c r="R147" i="1"/>
  <c r="Y59" i="1"/>
  <c r="Y61" i="1"/>
  <c r="Y105" i="1"/>
  <c r="R126" i="1"/>
  <c r="Z129" i="1"/>
  <c r="Y129" i="1"/>
  <c r="Y131" i="1"/>
  <c r="R115" i="1"/>
  <c r="R129" i="1"/>
  <c r="R157" i="1"/>
  <c r="Z148" i="1"/>
  <c r="Y148" i="1"/>
  <c r="Z75" i="1"/>
  <c r="Y75" i="1"/>
  <c r="R87" i="1"/>
  <c r="U87" i="1" s="1"/>
  <c r="Z102" i="1"/>
  <c r="Y102" i="1"/>
  <c r="R148" i="1"/>
  <c r="R75" i="1"/>
  <c r="Z104" i="1"/>
  <c r="Z144" i="1"/>
  <c r="Y144" i="1"/>
  <c r="Z146" i="1"/>
  <c r="Y146" i="1"/>
  <c r="Z87" i="1"/>
  <c r="R98" i="1"/>
  <c r="R144" i="1"/>
  <c r="Z115" i="1"/>
  <c r="R61" i="1"/>
  <c r="Y51" i="1"/>
  <c r="Y65" i="1"/>
  <c r="Z134" i="1"/>
  <c r="Y134" i="1"/>
  <c r="Y142" i="1"/>
  <c r="Z51" i="1"/>
  <c r="R65" i="1"/>
  <c r="R78" i="1"/>
  <c r="U78" i="1" s="1"/>
  <c r="R120" i="1"/>
  <c r="U120" i="1" s="1"/>
  <c r="V120" i="1" s="1"/>
  <c r="R132" i="1"/>
  <c r="U132" i="1" s="1"/>
  <c r="R134" i="1"/>
  <c r="Y69" i="1"/>
  <c r="Y80" i="1"/>
  <c r="Z80" i="1"/>
  <c r="R105" i="1"/>
  <c r="R88" i="1"/>
  <c r="Z92" i="1"/>
  <c r="Y92" i="1"/>
  <c r="Z124" i="1"/>
  <c r="Y124" i="1"/>
  <c r="Z130" i="1"/>
  <c r="Y130" i="1"/>
  <c r="R136" i="1"/>
  <c r="Z153" i="1"/>
  <c r="R86" i="1"/>
  <c r="U86" i="1" s="1"/>
  <c r="R90" i="1"/>
  <c r="R92" i="1"/>
  <c r="Z78" i="1"/>
  <c r="Z82" i="1"/>
  <c r="Z105" i="1"/>
  <c r="Y126" i="1"/>
  <c r="Z156" i="1"/>
  <c r="Z53" i="1"/>
  <c r="Y53" i="1"/>
  <c r="R53" i="1"/>
  <c r="Z70" i="1"/>
  <c r="Y70" i="1"/>
  <c r="R76" i="1"/>
  <c r="Y109" i="1"/>
  <c r="R113" i="1"/>
  <c r="R55" i="1"/>
  <c r="R70" i="1"/>
  <c r="U70" i="1" s="1"/>
  <c r="R109" i="1"/>
  <c r="U109" i="1" s="1"/>
  <c r="R67" i="1"/>
  <c r="R89" i="1"/>
  <c r="R111" i="1"/>
  <c r="U111" i="1" s="1"/>
  <c r="R133" i="1"/>
  <c r="R155" i="1"/>
  <c r="R72" i="1"/>
  <c r="R94" i="1"/>
  <c r="R116" i="1"/>
  <c r="R138" i="1"/>
  <c r="R62" i="1"/>
  <c r="R150" i="1"/>
  <c r="Y158" i="1"/>
  <c r="U57" i="1" l="1"/>
  <c r="V57" i="1" s="1"/>
  <c r="U142" i="1"/>
  <c r="V142" i="1" s="1"/>
  <c r="U56" i="1"/>
  <c r="V56" i="1" s="1"/>
  <c r="U154" i="1"/>
  <c r="V154" i="1" s="1"/>
  <c r="U141" i="1"/>
  <c r="U61" i="1"/>
  <c r="V61" i="1" s="1"/>
  <c r="U133" i="1"/>
  <c r="U150" i="1"/>
  <c r="V150" i="1" s="1"/>
  <c r="U129" i="1"/>
  <c r="V129" i="1" s="1"/>
  <c r="U127" i="1"/>
  <c r="V127" i="1" s="1"/>
  <c r="U152" i="1"/>
  <c r="V152" i="1" s="1"/>
  <c r="U116" i="1"/>
  <c r="V116" i="1" s="1"/>
  <c r="U65" i="1"/>
  <c r="V65" i="1" s="1"/>
  <c r="U67" i="1"/>
  <c r="V67" i="1" s="1"/>
  <c r="U149" i="1"/>
  <c r="V149" i="1" s="1"/>
  <c r="U136" i="1"/>
  <c r="V136" i="1" s="1"/>
  <c r="U148" i="1"/>
  <c r="V148" i="1" s="1"/>
  <c r="U125" i="1"/>
  <c r="V125" i="1" s="1"/>
  <c r="U144" i="1"/>
  <c r="V144" i="1" s="1"/>
  <c r="U58" i="1"/>
  <c r="V58" i="1" s="1"/>
  <c r="U53" i="1"/>
  <c r="V53" i="1" s="1"/>
  <c r="U100" i="1"/>
  <c r="V100" i="1" s="1"/>
  <c r="U72" i="1"/>
  <c r="V72" i="1" s="1"/>
  <c r="U52" i="1"/>
  <c r="V52" i="1" s="1"/>
  <c r="U62" i="1"/>
  <c r="V62" i="1" s="1"/>
  <c r="U94" i="1"/>
  <c r="V94" i="1" s="1"/>
  <c r="U98" i="1"/>
  <c r="V98" i="1" s="1"/>
  <c r="U55" i="1"/>
  <c r="V55" i="1" s="1"/>
  <c r="U126" i="1"/>
  <c r="V126" i="1" s="1"/>
  <c r="U151" i="1"/>
  <c r="V151" i="1" s="1"/>
  <c r="U140" i="1"/>
  <c r="V140" i="1" s="1"/>
  <c r="U138" i="1"/>
  <c r="V138" i="1" s="1"/>
  <c r="U92" i="1"/>
  <c r="V92" i="1" s="1"/>
  <c r="U139" i="1"/>
  <c r="V139" i="1" s="1"/>
  <c r="U115" i="1"/>
  <c r="V115" i="1" s="1"/>
  <c r="U137" i="1"/>
  <c r="V137" i="1" s="1"/>
  <c r="U147" i="1"/>
  <c r="V147" i="1" s="1"/>
  <c r="U71" i="1"/>
  <c r="U117" i="1"/>
  <c r="V117" i="1" s="1"/>
  <c r="U158" i="1"/>
  <c r="V158" i="1" s="1"/>
  <c r="U122" i="1"/>
  <c r="V122" i="1" s="1"/>
  <c r="U88" i="1"/>
  <c r="V88" i="1" s="1"/>
  <c r="U118" i="1"/>
  <c r="V118" i="1" s="1"/>
  <c r="U76" i="1"/>
  <c r="V76" i="1" s="1"/>
  <c r="U153" i="1"/>
  <c r="V153" i="1" s="1"/>
  <c r="U155" i="1"/>
  <c r="V155" i="1" s="1"/>
  <c r="U90" i="1"/>
  <c r="V90" i="1" s="1"/>
  <c r="U114" i="1"/>
  <c r="V114" i="1" s="1"/>
  <c r="U54" i="1"/>
  <c r="V54" i="1" s="1"/>
  <c r="U121" i="1"/>
  <c r="V121" i="1" s="1"/>
  <c r="U143" i="1"/>
  <c r="V143" i="1" s="1"/>
  <c r="U135" i="1"/>
  <c r="V135" i="1" s="1"/>
  <c r="U79" i="1"/>
  <c r="V79" i="1" s="1"/>
  <c r="U74" i="1"/>
  <c r="V74" i="1" s="1"/>
  <c r="U66" i="1"/>
  <c r="V66" i="1" s="1"/>
  <c r="U105" i="1"/>
  <c r="V105" i="1" s="1"/>
  <c r="U51" i="1"/>
  <c r="V51" i="1" s="1"/>
  <c r="U134" i="1"/>
  <c r="V134" i="1" s="1"/>
  <c r="U131" i="1"/>
  <c r="V131" i="1" s="1"/>
  <c r="U93" i="1"/>
  <c r="V93" i="1" s="1"/>
  <c r="U113" i="1"/>
  <c r="V113" i="1" s="1"/>
  <c r="W159" i="1"/>
  <c r="D17" i="4" s="1"/>
  <c r="U156" i="1"/>
  <c r="V156" i="1" s="1"/>
  <c r="U101" i="1"/>
  <c r="V101" i="1" s="1"/>
  <c r="U68" i="1"/>
  <c r="V68" i="1" s="1"/>
  <c r="U110" i="1"/>
  <c r="V110" i="1" s="1"/>
  <c r="U75" i="1"/>
  <c r="V75" i="1" s="1"/>
  <c r="U89" i="1"/>
  <c r="V89" i="1" s="1"/>
  <c r="U112" i="1"/>
  <c r="V112" i="1" s="1"/>
  <c r="U69" i="1"/>
  <c r="V69" i="1" s="1"/>
  <c r="U157" i="1"/>
  <c r="V157" i="1" s="1"/>
  <c r="U130" i="1"/>
  <c r="V130" i="1" s="1"/>
  <c r="U59" i="1"/>
  <c r="V59" i="1" s="1"/>
  <c r="U50" i="1"/>
  <c r="V50" i="1" s="1"/>
  <c r="U104" i="1"/>
  <c r="V104" i="1" s="1"/>
  <c r="V95" i="1"/>
  <c r="U96" i="1"/>
  <c r="V96" i="1" s="1"/>
  <c r="Y159" i="1"/>
  <c r="U97" i="1"/>
  <c r="V97" i="1" s="1"/>
  <c r="Z159" i="1"/>
  <c r="V86" i="1"/>
  <c r="V123" i="1"/>
  <c r="V73" i="1"/>
  <c r="V70" i="1"/>
  <c r="V83" i="1"/>
  <c r="V87" i="1"/>
  <c r="V124" i="1"/>
  <c r="V102" i="1"/>
  <c r="V109" i="1"/>
  <c r="V81" i="1"/>
  <c r="V60" i="1"/>
  <c r="V77" i="1"/>
  <c r="V132" i="1"/>
  <c r="V85" i="1"/>
  <c r="V133" i="1"/>
  <c r="V63" i="1"/>
  <c r="V146" i="1"/>
  <c r="V64" i="1"/>
  <c r="V111" i="1"/>
  <c r="V141" i="1"/>
  <c r="V91" i="1"/>
  <c r="V78" i="1"/>
  <c r="V119" i="1"/>
  <c r="V82" i="1"/>
  <c r="V99" i="1"/>
  <c r="V71" i="1"/>
  <c r="V107" i="1"/>
  <c r="V159" i="1" l="1"/>
  <c r="C17" i="4" s="1"/>
  <c r="E17" i="4" s="1"/>
  <c r="G17" i="4" s="1"/>
  <c r="H17" i="4" s="1"/>
  <c r="J17" i="4" s="1"/>
  <c r="H8" i="4" l="1"/>
  <c r="I8" i="4" s="1"/>
  <c r="F16" i="4" s="1"/>
  <c r="B8" i="4"/>
  <c r="E8" i="4" s="1"/>
  <c r="R14" i="1"/>
  <c r="R17" i="1"/>
  <c r="R34" i="1"/>
  <c r="R39" i="1"/>
  <c r="R3" i="1"/>
  <c r="M3" i="1"/>
  <c r="N3" i="1"/>
  <c r="O3" i="1"/>
  <c r="P3" i="1"/>
  <c r="Q3" i="1"/>
  <c r="T3" i="1"/>
  <c r="Z3" i="1"/>
  <c r="M4" i="1"/>
  <c r="N4" i="1"/>
  <c r="O4" i="1"/>
  <c r="P4" i="1"/>
  <c r="Q4" i="1"/>
  <c r="T4" i="1"/>
  <c r="M5" i="1"/>
  <c r="N5" i="1"/>
  <c r="O5" i="1"/>
  <c r="P5" i="1"/>
  <c r="Q5" i="1"/>
  <c r="T5" i="1"/>
  <c r="M6" i="1"/>
  <c r="N6" i="1"/>
  <c r="O6" i="1"/>
  <c r="P6" i="1"/>
  <c r="Q6" i="1"/>
  <c r="T6" i="1"/>
  <c r="Z6" i="1"/>
  <c r="M7" i="1"/>
  <c r="N7" i="1"/>
  <c r="O7" i="1"/>
  <c r="P7" i="1"/>
  <c r="Q7" i="1"/>
  <c r="T7" i="1"/>
  <c r="M8" i="1"/>
  <c r="N8" i="1"/>
  <c r="O8" i="1"/>
  <c r="P8" i="1"/>
  <c r="Q8" i="1"/>
  <c r="T8" i="1"/>
  <c r="Y8" i="1"/>
  <c r="Z8" i="1"/>
  <c r="M9" i="1"/>
  <c r="N9" i="1"/>
  <c r="O9" i="1"/>
  <c r="P9" i="1"/>
  <c r="Q9" i="1"/>
  <c r="R9" i="1" s="1"/>
  <c r="T9" i="1"/>
  <c r="M10" i="1"/>
  <c r="N10" i="1"/>
  <c r="O10" i="1"/>
  <c r="P10" i="1"/>
  <c r="Q10" i="1"/>
  <c r="R10" i="1" s="1"/>
  <c r="T10" i="1"/>
  <c r="M11" i="1"/>
  <c r="N11" i="1"/>
  <c r="O11" i="1"/>
  <c r="P11" i="1"/>
  <c r="Q11" i="1"/>
  <c r="R11" i="1" s="1"/>
  <c r="T11" i="1"/>
  <c r="M12" i="1"/>
  <c r="N12" i="1"/>
  <c r="O12" i="1"/>
  <c r="P12" i="1"/>
  <c r="Q12" i="1"/>
  <c r="T12" i="1"/>
  <c r="M13" i="1"/>
  <c r="N13" i="1"/>
  <c r="O13" i="1"/>
  <c r="P13" i="1"/>
  <c r="Q13" i="1"/>
  <c r="T13" i="1"/>
  <c r="M14" i="1"/>
  <c r="N14" i="1"/>
  <c r="O14" i="1"/>
  <c r="P14" i="1"/>
  <c r="Q14" i="1"/>
  <c r="T14" i="1"/>
  <c r="M15" i="1"/>
  <c r="N15" i="1"/>
  <c r="O15" i="1"/>
  <c r="P15" i="1"/>
  <c r="Q15" i="1"/>
  <c r="R15" i="1" s="1"/>
  <c r="T15" i="1"/>
  <c r="Y15" i="1"/>
  <c r="Z15" i="1"/>
  <c r="M16" i="1"/>
  <c r="N16" i="1"/>
  <c r="O16" i="1"/>
  <c r="P16" i="1"/>
  <c r="Q16" i="1"/>
  <c r="T16" i="1"/>
  <c r="M17" i="1"/>
  <c r="N17" i="1"/>
  <c r="O17" i="1"/>
  <c r="P17" i="1"/>
  <c r="Q17" i="1"/>
  <c r="T17" i="1"/>
  <c r="M18" i="1"/>
  <c r="N18" i="1"/>
  <c r="O18" i="1"/>
  <c r="P18" i="1"/>
  <c r="Q18" i="1"/>
  <c r="T18" i="1"/>
  <c r="Y18" i="1"/>
  <c r="Z18" i="1"/>
  <c r="M19" i="1"/>
  <c r="N19" i="1"/>
  <c r="O19" i="1"/>
  <c r="P19" i="1"/>
  <c r="Q19" i="1"/>
  <c r="T19" i="1"/>
  <c r="M20" i="1"/>
  <c r="N20" i="1"/>
  <c r="O20" i="1"/>
  <c r="P20" i="1"/>
  <c r="Q20" i="1"/>
  <c r="T20" i="1"/>
  <c r="M21" i="1"/>
  <c r="N21" i="1"/>
  <c r="O21" i="1"/>
  <c r="P21" i="1"/>
  <c r="Q21" i="1"/>
  <c r="T21" i="1"/>
  <c r="M22" i="1"/>
  <c r="N22" i="1"/>
  <c r="O22" i="1"/>
  <c r="P22" i="1"/>
  <c r="Q22" i="1"/>
  <c r="T22" i="1"/>
  <c r="M23" i="1"/>
  <c r="N23" i="1"/>
  <c r="O23" i="1"/>
  <c r="P23" i="1"/>
  <c r="Q23" i="1"/>
  <c r="T23" i="1"/>
  <c r="M24" i="1"/>
  <c r="N24" i="1"/>
  <c r="O24" i="1"/>
  <c r="P24" i="1"/>
  <c r="Q24" i="1"/>
  <c r="T24" i="1"/>
  <c r="M25" i="1"/>
  <c r="N25" i="1"/>
  <c r="O25" i="1"/>
  <c r="P25" i="1"/>
  <c r="Q25" i="1"/>
  <c r="T25" i="1"/>
  <c r="M26" i="1"/>
  <c r="N26" i="1"/>
  <c r="O26" i="1"/>
  <c r="P26" i="1"/>
  <c r="Q26" i="1"/>
  <c r="T26" i="1"/>
  <c r="M27" i="1"/>
  <c r="N27" i="1"/>
  <c r="O27" i="1"/>
  <c r="P27" i="1"/>
  <c r="Q27" i="1"/>
  <c r="T27" i="1"/>
  <c r="M28" i="1"/>
  <c r="N28" i="1"/>
  <c r="O28" i="1"/>
  <c r="P28" i="1"/>
  <c r="Q28" i="1"/>
  <c r="T28" i="1"/>
  <c r="Z28" i="1"/>
  <c r="M29" i="1"/>
  <c r="N29" i="1"/>
  <c r="O29" i="1"/>
  <c r="P29" i="1"/>
  <c r="Q29" i="1"/>
  <c r="T29" i="1"/>
  <c r="M30" i="1"/>
  <c r="N30" i="1"/>
  <c r="O30" i="1"/>
  <c r="P30" i="1"/>
  <c r="Q30" i="1"/>
  <c r="T30" i="1"/>
  <c r="M31" i="1"/>
  <c r="N31" i="1"/>
  <c r="O31" i="1"/>
  <c r="P31" i="1"/>
  <c r="Q31" i="1"/>
  <c r="T31" i="1"/>
  <c r="M32" i="1"/>
  <c r="N32" i="1"/>
  <c r="O32" i="1"/>
  <c r="P32" i="1"/>
  <c r="Q32" i="1"/>
  <c r="T32" i="1"/>
  <c r="Y32" i="1"/>
  <c r="M33" i="1"/>
  <c r="N33" i="1"/>
  <c r="O33" i="1"/>
  <c r="P33" i="1"/>
  <c r="Q33" i="1"/>
  <c r="R33" i="1" s="1"/>
  <c r="T33" i="1"/>
  <c r="M34" i="1"/>
  <c r="N34" i="1"/>
  <c r="O34" i="1"/>
  <c r="P34" i="1"/>
  <c r="Q34" i="1"/>
  <c r="T34" i="1"/>
  <c r="M35" i="1"/>
  <c r="N35" i="1"/>
  <c r="O35" i="1"/>
  <c r="P35" i="1"/>
  <c r="Q35" i="1"/>
  <c r="T35" i="1"/>
  <c r="M36" i="1"/>
  <c r="N36" i="1"/>
  <c r="O36" i="1"/>
  <c r="P36" i="1"/>
  <c r="Q36" i="1"/>
  <c r="T36" i="1"/>
  <c r="M37" i="1"/>
  <c r="N37" i="1"/>
  <c r="O37" i="1"/>
  <c r="P37" i="1"/>
  <c r="Q37" i="1"/>
  <c r="T37" i="1"/>
  <c r="M38" i="1"/>
  <c r="N38" i="1"/>
  <c r="O38" i="1"/>
  <c r="P38" i="1"/>
  <c r="Q38" i="1"/>
  <c r="T38" i="1"/>
  <c r="M39" i="1"/>
  <c r="N39" i="1"/>
  <c r="O39" i="1"/>
  <c r="P39" i="1"/>
  <c r="Q39" i="1"/>
  <c r="T39" i="1"/>
  <c r="M40" i="1"/>
  <c r="N40" i="1"/>
  <c r="O40" i="1"/>
  <c r="P40" i="1"/>
  <c r="Q40" i="1"/>
  <c r="T40" i="1"/>
  <c r="Y40" i="1"/>
  <c r="M41" i="1"/>
  <c r="N41" i="1"/>
  <c r="O41" i="1"/>
  <c r="P41" i="1"/>
  <c r="Q41" i="1"/>
  <c r="T41" i="1"/>
  <c r="M42" i="1"/>
  <c r="N42" i="1"/>
  <c r="O42" i="1"/>
  <c r="P42" i="1"/>
  <c r="Q42" i="1"/>
  <c r="T42" i="1"/>
  <c r="Y42" i="1"/>
  <c r="Z42" i="1"/>
  <c r="M43" i="1"/>
  <c r="N43" i="1"/>
  <c r="O43" i="1"/>
  <c r="P43" i="1"/>
  <c r="Q43" i="1"/>
  <c r="T43" i="1"/>
  <c r="M44" i="1"/>
  <c r="N44" i="1"/>
  <c r="O44" i="1"/>
  <c r="P44" i="1"/>
  <c r="Q44" i="1"/>
  <c r="T44" i="1"/>
  <c r="M45" i="1"/>
  <c r="N45" i="1"/>
  <c r="O45" i="1"/>
  <c r="P45" i="1"/>
  <c r="Q45" i="1"/>
  <c r="T45" i="1"/>
  <c r="Y45" i="1"/>
  <c r="Z45" i="1"/>
  <c r="M46" i="1"/>
  <c r="N46" i="1"/>
  <c r="O46" i="1"/>
  <c r="P46" i="1"/>
  <c r="Q46" i="1"/>
  <c r="T46" i="1"/>
  <c r="M47" i="1"/>
  <c r="N47" i="1"/>
  <c r="O47" i="1"/>
  <c r="P47" i="1"/>
  <c r="Q47" i="1"/>
  <c r="Y47" i="1" s="1"/>
  <c r="S37" i="1" l="1"/>
  <c r="W37" i="1"/>
  <c r="W13" i="1"/>
  <c r="S13" i="1"/>
  <c r="W6" i="1"/>
  <c r="S6" i="1"/>
  <c r="Z19" i="1"/>
  <c r="S19" i="1"/>
  <c r="W19" i="1"/>
  <c r="W46" i="1"/>
  <c r="S46" i="1"/>
  <c r="U46" i="1" s="1"/>
  <c r="V46" i="1" s="1"/>
  <c r="W4" i="1"/>
  <c r="S4" i="1"/>
  <c r="S30" i="1"/>
  <c r="W30" i="1"/>
  <c r="R12" i="1"/>
  <c r="W12" i="1"/>
  <c r="S12" i="1"/>
  <c r="S31" i="1"/>
  <c r="U31" i="1" s="1"/>
  <c r="V31" i="1" s="1"/>
  <c r="W31" i="1"/>
  <c r="Y14" i="1"/>
  <c r="W14" i="1"/>
  <c r="S14" i="1"/>
  <c r="U14" i="1" s="1"/>
  <c r="V14" i="1" s="1"/>
  <c r="R13" i="1"/>
  <c r="W16" i="1"/>
  <c r="S16" i="1"/>
  <c r="W26" i="1"/>
  <c r="S26" i="1"/>
  <c r="R18" i="1"/>
  <c r="W18" i="1"/>
  <c r="S18" i="1"/>
  <c r="U18" i="1" s="1"/>
  <c r="V18" i="1" s="1"/>
  <c r="Z35" i="1"/>
  <c r="W35" i="1"/>
  <c r="S35" i="1"/>
  <c r="R38" i="1"/>
  <c r="S38" i="1"/>
  <c r="W38" i="1"/>
  <c r="W28" i="1"/>
  <c r="S28" i="1"/>
  <c r="Z41" i="1"/>
  <c r="S41" i="1"/>
  <c r="W41" i="1"/>
  <c r="W17" i="1"/>
  <c r="S17" i="1"/>
  <c r="U17" i="1" s="1"/>
  <c r="V17" i="1" s="1"/>
  <c r="S7" i="1"/>
  <c r="W7" i="1"/>
  <c r="Y36" i="1"/>
  <c r="W36" i="1"/>
  <c r="S36" i="1"/>
  <c r="W29" i="1"/>
  <c r="S29" i="1"/>
  <c r="R36" i="1"/>
  <c r="W8" i="1"/>
  <c r="S8" i="1"/>
  <c r="R16" i="1"/>
  <c r="Y21" i="1"/>
  <c r="W21" i="1"/>
  <c r="S21" i="1"/>
  <c r="W44" i="1"/>
  <c r="S44" i="1"/>
  <c r="W34" i="1"/>
  <c r="S34" i="1"/>
  <c r="U34" i="1" s="1"/>
  <c r="V34" i="1" s="1"/>
  <c r="W23" i="1"/>
  <c r="S23" i="1"/>
  <c r="R40" i="1"/>
  <c r="S40" i="1"/>
  <c r="W40" i="1"/>
  <c r="R37" i="1"/>
  <c r="W22" i="1"/>
  <c r="S22" i="1"/>
  <c r="Y5" i="1"/>
  <c r="W5" i="1"/>
  <c r="S5" i="1"/>
  <c r="Z47" i="1"/>
  <c r="Z37" i="1"/>
  <c r="S20" i="1"/>
  <c r="W20" i="1"/>
  <c r="Z10" i="1"/>
  <c r="W10" i="1"/>
  <c r="S10" i="1"/>
  <c r="U10" i="1" s="1"/>
  <c r="V10" i="1" s="1"/>
  <c r="R6" i="1"/>
  <c r="U6" i="1" s="1"/>
  <c r="V6" i="1" s="1"/>
  <c r="W33" i="1"/>
  <c r="S33" i="1"/>
  <c r="U33" i="1" s="1"/>
  <c r="V33" i="1" s="1"/>
  <c r="Z32" i="1"/>
  <c r="W32" i="1"/>
  <c r="S32" i="1"/>
  <c r="Y25" i="1"/>
  <c r="W25" i="1"/>
  <c r="S25" i="1"/>
  <c r="R32" i="1"/>
  <c r="W24" i="1"/>
  <c r="S24" i="1"/>
  <c r="Y37" i="1"/>
  <c r="Z30" i="1"/>
  <c r="Y27" i="1"/>
  <c r="W27" i="1"/>
  <c r="S27" i="1"/>
  <c r="Z13" i="1"/>
  <c r="Y43" i="1"/>
  <c r="W43" i="1"/>
  <c r="S43" i="1"/>
  <c r="W9" i="1"/>
  <c r="S9" i="1"/>
  <c r="U9" i="1" s="1"/>
  <c r="V9" i="1" s="1"/>
  <c r="S39" i="1"/>
  <c r="U39" i="1" s="1"/>
  <c r="V39" i="1" s="1"/>
  <c r="W39" i="1"/>
  <c r="W15" i="1"/>
  <c r="S15" i="1"/>
  <c r="U15" i="1" s="1"/>
  <c r="V15" i="1" s="1"/>
  <c r="S42" i="1"/>
  <c r="W42" i="1"/>
  <c r="W45" i="1"/>
  <c r="S45" i="1"/>
  <c r="W11" i="1"/>
  <c r="S11" i="1"/>
  <c r="U11" i="1" s="1"/>
  <c r="V11" i="1" s="1"/>
  <c r="W47" i="1"/>
  <c r="S47" i="1"/>
  <c r="U47" i="1" s="1"/>
  <c r="V47" i="1" s="1"/>
  <c r="Z40" i="1"/>
  <c r="Y30" i="1"/>
  <c r="Y23" i="1"/>
  <c r="Y13" i="1"/>
  <c r="W3" i="1"/>
  <c r="S3" i="1"/>
  <c r="U3" i="1" s="1"/>
  <c r="V3" i="1" s="1"/>
  <c r="R31" i="1"/>
  <c r="R30" i="1"/>
  <c r="R8" i="1"/>
  <c r="U8" i="1" s="1"/>
  <c r="V8" i="1" s="1"/>
  <c r="Z20" i="1"/>
  <c r="R29" i="1"/>
  <c r="R7" i="1"/>
  <c r="Z33" i="1"/>
  <c r="Y20" i="1"/>
  <c r="R28" i="1"/>
  <c r="Z23" i="1"/>
  <c r="Y10" i="1"/>
  <c r="R4" i="1"/>
  <c r="R27" i="1"/>
  <c r="R5" i="1"/>
  <c r="R26" i="1"/>
  <c r="R47" i="1"/>
  <c r="R25" i="1"/>
  <c r="Y3" i="1"/>
  <c r="R46" i="1"/>
  <c r="R24" i="1"/>
  <c r="R45" i="1"/>
  <c r="R23" i="1"/>
  <c r="R44" i="1"/>
  <c r="R22" i="1"/>
  <c r="R43" i="1"/>
  <c r="R21" i="1"/>
  <c r="R42" i="1"/>
  <c r="R20" i="1"/>
  <c r="Y35" i="1"/>
  <c r="Z25" i="1"/>
  <c r="R41" i="1"/>
  <c r="R19" i="1"/>
  <c r="R35" i="1"/>
  <c r="U37" i="1"/>
  <c r="V37" i="1" s="1"/>
  <c r="Z46" i="1"/>
  <c r="Y41" i="1"/>
  <c r="Z24" i="1"/>
  <c r="Y19" i="1"/>
  <c r="Y46" i="1"/>
  <c r="Z29" i="1"/>
  <c r="Y24" i="1"/>
  <c r="Z7" i="1"/>
  <c r="Z34" i="1"/>
  <c r="Y29" i="1"/>
  <c r="Z12" i="1"/>
  <c r="Y7" i="1"/>
  <c r="Z39" i="1"/>
  <c r="Y34" i="1"/>
  <c r="Z17" i="1"/>
  <c r="Y12" i="1"/>
  <c r="Z44" i="1"/>
  <c r="Y39" i="1"/>
  <c r="Z22" i="1"/>
  <c r="Y17" i="1"/>
  <c r="Y44" i="1"/>
  <c r="Z27" i="1"/>
  <c r="Y22" i="1"/>
  <c r="Z5" i="1"/>
  <c r="Z16" i="1"/>
  <c r="Y11" i="1"/>
  <c r="Z43" i="1"/>
  <c r="Y38" i="1"/>
  <c r="Y16" i="1"/>
  <c r="Z11" i="1"/>
  <c r="Y6" i="1"/>
  <c r="Z38" i="1"/>
  <c r="Y33" i="1"/>
  <c r="Z21" i="1"/>
  <c r="Z26" i="1"/>
  <c r="Z4" i="1"/>
  <c r="Y28" i="1"/>
  <c r="Z31" i="1"/>
  <c r="Y26" i="1"/>
  <c r="Z9" i="1"/>
  <c r="Y4" i="1"/>
  <c r="Z36" i="1"/>
  <c r="Y31" i="1"/>
  <c r="Z14" i="1"/>
  <c r="Y9" i="1"/>
  <c r="U38" i="1" l="1"/>
  <c r="V38" i="1" s="1"/>
  <c r="U40" i="1"/>
  <c r="V40" i="1" s="1"/>
  <c r="U12" i="1"/>
  <c r="V12" i="1" s="1"/>
  <c r="U35" i="1"/>
  <c r="V35" i="1" s="1"/>
  <c r="U23" i="1"/>
  <c r="V23" i="1" s="1"/>
  <c r="U13" i="1"/>
  <c r="V13" i="1" s="1"/>
  <c r="U45" i="1"/>
  <c r="V45" i="1" s="1"/>
  <c r="U28" i="1"/>
  <c r="V28" i="1" s="1"/>
  <c r="U32" i="1"/>
  <c r="V32" i="1" s="1"/>
  <c r="U16" i="1"/>
  <c r="V16" i="1" s="1"/>
  <c r="U27" i="1"/>
  <c r="V27" i="1" s="1"/>
  <c r="U5" i="1"/>
  <c r="V5" i="1" s="1"/>
  <c r="U36" i="1"/>
  <c r="V36" i="1" s="1"/>
  <c r="U4" i="1"/>
  <c r="V4" i="1" s="1"/>
  <c r="U7" i="1"/>
  <c r="V7" i="1" s="1"/>
  <c r="U22" i="1"/>
  <c r="V22" i="1" s="1"/>
  <c r="U29" i="1"/>
  <c r="V29" i="1" s="1"/>
  <c r="U24" i="1"/>
  <c r="V24" i="1" s="1"/>
  <c r="U25" i="1"/>
  <c r="V25" i="1" s="1"/>
  <c r="D16" i="4"/>
  <c r="U30" i="1"/>
  <c r="V30" i="1" s="1"/>
  <c r="U20" i="1"/>
  <c r="V20" i="1" s="1"/>
  <c r="U42" i="1"/>
  <c r="V42" i="1" s="1"/>
  <c r="U21" i="1"/>
  <c r="V21" i="1" s="1"/>
  <c r="Z48" i="1"/>
  <c r="U43" i="1"/>
  <c r="V43" i="1" s="1"/>
  <c r="U44" i="1"/>
  <c r="V44" i="1" s="1"/>
  <c r="Y48" i="1"/>
  <c r="U26" i="1"/>
  <c r="V26" i="1" s="1"/>
  <c r="U19" i="1"/>
  <c r="V19" i="1" s="1"/>
  <c r="U41" i="1"/>
  <c r="V41" i="1" s="1"/>
  <c r="V48" i="1" l="1"/>
  <c r="C16" i="4"/>
  <c r="E16" i="4" s="1"/>
  <c r="G16" i="4" s="1"/>
  <c r="H16" i="4" s="1"/>
  <c r="J16" i="4" s="1"/>
</calcChain>
</file>

<file path=xl/sharedStrings.xml><?xml version="1.0" encoding="utf-8"?>
<sst xmlns="http://schemas.openxmlformats.org/spreadsheetml/2006/main" count="1697" uniqueCount="563">
  <si>
    <t>N</t>
  </si>
  <si>
    <t>03</t>
  </si>
  <si>
    <t>PK</t>
  </si>
  <si>
    <t>0000000</t>
  </si>
  <si>
    <t>F</t>
  </si>
  <si>
    <t>Y</t>
  </si>
  <si>
    <t>R</t>
  </si>
  <si>
    <t>P3</t>
  </si>
  <si>
    <t>OOD Count</t>
  </si>
  <si>
    <t>ID Count</t>
  </si>
  <si>
    <t>In Dist PA24-81 Grant</t>
  </si>
  <si>
    <t>OOD Grant (A X Count)</t>
  </si>
  <si>
    <t>Max Weighted or CL Grant+Tuit</t>
  </si>
  <si>
    <t>CL Tuition</t>
  </si>
  <si>
    <t>CL PP Grant OOD</t>
  </si>
  <si>
    <t>Weighted Funding Amt for Sending Dist</t>
  </si>
  <si>
    <t>OOD=1, In Dist=0</t>
  </si>
  <si>
    <t>Count if SpEd</t>
  </si>
  <si>
    <t>Count if FR</t>
  </si>
  <si>
    <t>Count if EL</t>
  </si>
  <si>
    <t>FAC</t>
  </si>
  <si>
    <t>Student_LEP_CH</t>
  </si>
  <si>
    <t>Student_Lunch_Eligible_CH</t>
  </si>
  <si>
    <t>Student_SpecED_CH</t>
  </si>
  <si>
    <t>Student_Special_Program_CH</t>
  </si>
  <si>
    <t>Facility2</t>
  </si>
  <si>
    <t>Facility1</t>
  </si>
  <si>
    <t>School_Code_1_INT</t>
  </si>
  <si>
    <t>District_Code_1_INT</t>
  </si>
  <si>
    <t>Resident Students*</t>
  </si>
  <si>
    <t>Total Need Students*</t>
  </si>
  <si>
    <t>Weighted Funding Amount Per Pupil HB 5212</t>
  </si>
  <si>
    <t>Foundation=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</si>
  <si>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</si>
  <si>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</si>
  <si>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</si>
  <si>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</si>
  <si>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</si>
  <si>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</si>
  <si>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</si>
  <si>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</si>
  <si>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</si>
  <si>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</si>
  <si>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</si>
  <si>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</si>
  <si>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</si>
  <si>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</si>
  <si>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</si>
  <si>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</si>
  <si>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</si>
  <si>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</si>
  <si>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</si>
  <si>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</si>
  <si>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</si>
  <si>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</si>
  <si>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</si>
  <si>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</si>
  <si>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</si>
  <si>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</si>
  <si>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</si>
  <si>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</si>
  <si>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</si>
  <si>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</si>
  <si>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</si>
  <si>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</si>
  <si>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</si>
  <si>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</si>
  <si>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</si>
  <si>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</si>
  <si>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</si>
  <si>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</si>
  <si>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</si>
  <si>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</si>
  <si>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</si>
  <si>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</si>
  <si>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</si>
  <si>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</si>
  <si>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</si>
  <si>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</si>
  <si>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</si>
  <si>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</si>
  <si>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</si>
  <si>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</si>
  <si>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</si>
  <si>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</si>
  <si>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</si>
  <si>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</si>
  <si>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</si>
  <si>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</si>
  <si>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</si>
  <si>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</si>
  <si>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</si>
  <si>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</si>
  <si>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</si>
  <si>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</si>
  <si>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</si>
  <si>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</si>
  <si>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</si>
  <si>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</si>
  <si>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</si>
  <si>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</si>
  <si>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</si>
  <si>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</si>
  <si>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</si>
  <si>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</si>
  <si>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</si>
  <si>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</si>
  <si>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</si>
  <si>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</si>
  <si>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</si>
  <si>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</si>
  <si>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</si>
  <si>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</si>
  <si>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</si>
  <si>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</si>
  <si>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</si>
  <si>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</si>
  <si>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</si>
  <si>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</si>
  <si>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</si>
  <si>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</si>
  <si>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</si>
  <si>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</si>
  <si>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</si>
  <si>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</si>
  <si>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</si>
  <si>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</si>
  <si>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</si>
  <si>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</si>
  <si>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</si>
  <si>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</si>
  <si>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</si>
  <si>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</si>
  <si>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</si>
  <si>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</si>
  <si>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</si>
  <si>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</si>
  <si>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</si>
  <si>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</si>
  <si>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</si>
  <si>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</si>
  <si>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</si>
  <si>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</si>
  <si>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</si>
  <si>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</si>
  <si>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</si>
  <si>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</si>
  <si>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</si>
  <si>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</si>
  <si>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</si>
  <si>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</si>
  <si>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</si>
  <si>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</si>
  <si>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</si>
  <si>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</si>
  <si>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</si>
  <si>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</si>
  <si>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</si>
  <si>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</si>
  <si>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</si>
  <si>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</si>
  <si>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</si>
  <si>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</si>
  <si>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</si>
  <si>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</si>
  <si>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</si>
  <si>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</si>
  <si>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</si>
  <si>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</si>
  <si>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</si>
  <si>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</si>
  <si>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</si>
  <si>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</si>
  <si>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</si>
  <si>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</si>
  <si>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</si>
  <si>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</si>
  <si>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</si>
  <si>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</si>
  <si>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</si>
  <si>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</si>
  <si>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</si>
  <si>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</si>
  <si>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</si>
  <si>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</si>
  <si>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</si>
  <si>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</si>
  <si>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</si>
  <si>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</si>
  <si>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</si>
  <si>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</si>
  <si>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</si>
  <si>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</si>
  <si>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</si>
  <si>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</si>
  <si>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</si>
  <si>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</si>
  <si>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</si>
  <si>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</si>
  <si>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</si>
  <si>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</si>
  <si>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</si>
  <si>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* From ECS Fixed CF2 for 2027 Grant Year</t>
  </si>
  <si>
    <t>School A</t>
  </si>
  <si>
    <t>Code</t>
  </si>
  <si>
    <t>Town</t>
  </si>
  <si>
    <t>School Code</t>
  </si>
  <si>
    <t>School Name</t>
  </si>
  <si>
    <t>In Dist</t>
  </si>
  <si>
    <t>OOD</t>
  </si>
  <si>
    <t>FY24 Tuition</t>
  </si>
  <si>
    <t>Host</t>
  </si>
  <si>
    <t>H</t>
  </si>
  <si>
    <t>Andover</t>
  </si>
  <si>
    <t>SH</t>
  </si>
  <si>
    <t>NonSheff RESC &lt;55%</t>
  </si>
  <si>
    <t>R1</t>
  </si>
  <si>
    <t>Ansonia</t>
  </si>
  <si>
    <t>0116311</t>
  </si>
  <si>
    <t>Global Experience Magnet School</t>
  </si>
  <si>
    <t>NonSheff RESC &gt;=55%</t>
  </si>
  <si>
    <t>R2</t>
  </si>
  <si>
    <t>Ashford</t>
  </si>
  <si>
    <t>0150611</t>
  </si>
  <si>
    <t>Biotechnology, Research &amp; Zoological Studies Magnet High School</t>
  </si>
  <si>
    <t>Edison GE55 &amp; LE80</t>
  </si>
  <si>
    <t>E</t>
  </si>
  <si>
    <t>Avon</t>
  </si>
  <si>
    <t>0150811</t>
  </si>
  <si>
    <t>Aerospace/Hydrospace, Engineering and Physical Sciences Magnet High School</t>
  </si>
  <si>
    <t>Sheff RESC&lt;60</t>
  </si>
  <si>
    <t>SR</t>
  </si>
  <si>
    <t>Barkhamsted</t>
  </si>
  <si>
    <t>0151511</t>
  </si>
  <si>
    <t>Information Technology &amp; Software Engineering Magnet High School</t>
  </si>
  <si>
    <t>Sheff Hartford</t>
  </si>
  <si>
    <t>Beacon Falls</t>
  </si>
  <si>
    <t>0153711</t>
  </si>
  <si>
    <t>Interdistrict Discovery Magnet School</t>
  </si>
  <si>
    <t>SHEFF PT</t>
  </si>
  <si>
    <t>GH</t>
  </si>
  <si>
    <t>Berlin</t>
  </si>
  <si>
    <t>RESC PT</t>
  </si>
  <si>
    <t>PT</t>
  </si>
  <si>
    <t>Bethany</t>
  </si>
  <si>
    <t>0436311</t>
  </si>
  <si>
    <t xml:space="preserve">Ct International Baccalaureate Acad                    </t>
  </si>
  <si>
    <t>Bethel</t>
  </si>
  <si>
    <t>0640511</t>
  </si>
  <si>
    <t>Montessori Magnet at Batchelder School</t>
  </si>
  <si>
    <t>Bethlehem</t>
  </si>
  <si>
    <t>0640711</t>
  </si>
  <si>
    <t>Dwight Bellizzi Dual Language Academy</t>
  </si>
  <si>
    <t>Bloomfield</t>
  </si>
  <si>
    <t>0640911</t>
  </si>
  <si>
    <t>Environmental Sciences Magnet at Hooker School</t>
  </si>
  <si>
    <t>Bolton</t>
  </si>
  <si>
    <t>0641111</t>
  </si>
  <si>
    <t>Kinsella Magnet School of Performing Arts: PK-8 Campus</t>
  </si>
  <si>
    <t>Bozrah</t>
  </si>
  <si>
    <t>0641311</t>
  </si>
  <si>
    <t>Hartford PreKindergarten Magnet School: North Campus</t>
  </si>
  <si>
    <t>Branford</t>
  </si>
  <si>
    <t>0641610</t>
  </si>
  <si>
    <t>Hartford PreKindergarten Magnet School: South Campus</t>
  </si>
  <si>
    <t>Bridgeport</t>
  </si>
  <si>
    <t>0641710</t>
  </si>
  <si>
    <t>Kinsella Magnet School of Performing Arts: High School Campus</t>
  </si>
  <si>
    <t>Bridgewater</t>
  </si>
  <si>
    <t>0642011</t>
  </si>
  <si>
    <t>Webster Micro Society Magnet School</t>
  </si>
  <si>
    <t>Bristol</t>
  </si>
  <si>
    <t>0642511</t>
  </si>
  <si>
    <t>STEM Magnet at Annie Fisher School</t>
  </si>
  <si>
    <t>Brookfield</t>
  </si>
  <si>
    <t>0642811</t>
  </si>
  <si>
    <t>Betances Learning Lab Magnet School</t>
  </si>
  <si>
    <t>Brooklyn</t>
  </si>
  <si>
    <t>0643311</t>
  </si>
  <si>
    <t>Breakthrough Magnet School, South</t>
  </si>
  <si>
    <t>Burlington</t>
  </si>
  <si>
    <t>0643511</t>
  </si>
  <si>
    <t>Breakthrough Magnet School, North</t>
  </si>
  <si>
    <t>Canaan</t>
  </si>
  <si>
    <t>0643711</t>
  </si>
  <si>
    <t>Montessori Magnet at Fisher School</t>
  </si>
  <si>
    <t>Canterbury</t>
  </si>
  <si>
    <t>0643811</t>
  </si>
  <si>
    <t>Betances STEM Magnet School</t>
  </si>
  <si>
    <t>Canton</t>
  </si>
  <si>
    <t>0645411</t>
  </si>
  <si>
    <t>Hartford Magnet Trinity College Academy</t>
  </si>
  <si>
    <t>Chaplin</t>
  </si>
  <si>
    <t>0646411</t>
  </si>
  <si>
    <t>Classical Magnet School</t>
  </si>
  <si>
    <t>Cheshire</t>
  </si>
  <si>
    <t>0646511</t>
  </si>
  <si>
    <t>Sport and Medical Sciences Academy</t>
  </si>
  <si>
    <t>Chester</t>
  </si>
  <si>
    <t>0646611</t>
  </si>
  <si>
    <t>Pathways Academy of Technology and Design</t>
  </si>
  <si>
    <t>Clinton</t>
  </si>
  <si>
    <t>0646711</t>
  </si>
  <si>
    <t>University High School of Science and Engineering</t>
  </si>
  <si>
    <t>Colchester</t>
  </si>
  <si>
    <t>0646911</t>
  </si>
  <si>
    <t>Capital Preparatory Magnet School</t>
  </si>
  <si>
    <t>Colebrook</t>
  </si>
  <si>
    <t>0647911</t>
  </si>
  <si>
    <t>Great Path Academy at MCC</t>
  </si>
  <si>
    <t>Columbia</t>
  </si>
  <si>
    <t>0930211</t>
  </si>
  <si>
    <t>Barnard Environmental Magnet School</t>
  </si>
  <si>
    <t>Cornwall</t>
  </si>
  <si>
    <t>0930311</t>
  </si>
  <si>
    <t>Beecher School</t>
  </si>
  <si>
    <t>Coventry</t>
  </si>
  <si>
    <t>0930911</t>
  </si>
  <si>
    <t>Davis Academy for Arts &amp; Design Innovation</t>
  </si>
  <si>
    <t>Cromwell</t>
  </si>
  <si>
    <t>0931011</t>
  </si>
  <si>
    <t>Ross/Woodward School</t>
  </si>
  <si>
    <t>Danbury</t>
  </si>
  <si>
    <t>0931311</t>
  </si>
  <si>
    <t>John C. Daniels</t>
  </si>
  <si>
    <t>Darien</t>
  </si>
  <si>
    <t>0931711</t>
  </si>
  <si>
    <t>Engineering - Science University Magnet School</t>
  </si>
  <si>
    <t>Deep River</t>
  </si>
  <si>
    <t>0931811</t>
  </si>
  <si>
    <t>Benjamin Jepson Magnet School</t>
  </si>
  <si>
    <t>Derby</t>
  </si>
  <si>
    <t>0931911</t>
  </si>
  <si>
    <t>Mauro-Sheridan Magnet School</t>
  </si>
  <si>
    <t>Durham</t>
  </si>
  <si>
    <t>0933011</t>
  </si>
  <si>
    <t>King/Robinson Magnet School</t>
  </si>
  <si>
    <t>Eastford</t>
  </si>
  <si>
    <t>0935511</t>
  </si>
  <si>
    <t>Betsy Ross Arts Magnet School</t>
  </si>
  <si>
    <t>East Granby</t>
  </si>
  <si>
    <t>0936011</t>
  </si>
  <si>
    <t>Metropolitan Business Academy</t>
  </si>
  <si>
    <t>East Haddam</t>
  </si>
  <si>
    <t>0936311</t>
  </si>
  <si>
    <t>Hill Regional Career High School</t>
  </si>
  <si>
    <t>East Hampton</t>
  </si>
  <si>
    <t>0936411</t>
  </si>
  <si>
    <t>Cooperative High School - Inter-District Magnet</t>
  </si>
  <si>
    <t>East Hartford</t>
  </si>
  <si>
    <t>0936611</t>
  </si>
  <si>
    <t>High School In The Community</t>
  </si>
  <si>
    <t>East Haven</t>
  </si>
  <si>
    <t>0937011</t>
  </si>
  <si>
    <t>New Haven Academy</t>
  </si>
  <si>
    <t>East Lyme</t>
  </si>
  <si>
    <t>0950311</t>
  </si>
  <si>
    <t>CB Jennings International Elementary School</t>
  </si>
  <si>
    <t>Easton</t>
  </si>
  <si>
    <t>0950811</t>
  </si>
  <si>
    <t>Winthrop STEM Elementary Magnet School</t>
  </si>
  <si>
    <t>East Windsor</t>
  </si>
  <si>
    <t>0950911</t>
  </si>
  <si>
    <t>Nathan Hale Arts Magnet School</t>
  </si>
  <si>
    <t>Ellington</t>
  </si>
  <si>
    <t>0951111</t>
  </si>
  <si>
    <t>BP Mission Exploration Academy</t>
  </si>
  <si>
    <t>Enfield</t>
  </si>
  <si>
    <t>0951211</t>
  </si>
  <si>
    <t>Science and Technology Magnet Pathway for Middle School Grades</t>
  </si>
  <si>
    <t>Essex</t>
  </si>
  <si>
    <t>0951311</t>
  </si>
  <si>
    <t>Science and Technology Magnet Pathway for High School Grades</t>
  </si>
  <si>
    <t>Fairfield</t>
  </si>
  <si>
    <t>0951411</t>
  </si>
  <si>
    <t>New London Visual and Performing Arts Magnet School</t>
  </si>
  <si>
    <t>Farmington</t>
  </si>
  <si>
    <t>1030511</t>
  </si>
  <si>
    <t>Center for Global Studies</t>
  </si>
  <si>
    <t>Franklin</t>
  </si>
  <si>
    <t>1350711</t>
  </si>
  <si>
    <t>Strawberry Hill an ext. of Rogers International</t>
  </si>
  <si>
    <t>Glastonbury</t>
  </si>
  <si>
    <t>1350811</t>
  </si>
  <si>
    <t>Rogers International School</t>
  </si>
  <si>
    <t>Goshen</t>
  </si>
  <si>
    <t>1356411</t>
  </si>
  <si>
    <t>The Academy of Information, Technology &amp; Engineering</t>
  </si>
  <si>
    <t>Granby</t>
  </si>
  <si>
    <t>1513111</t>
  </si>
  <si>
    <t>Maloney Interdistrict Magnet School</t>
  </si>
  <si>
    <t>Greenwich</t>
  </si>
  <si>
    <t>1513311</t>
  </si>
  <si>
    <t>Rotella Interdistrict Magnet School</t>
  </si>
  <si>
    <t>Griswold</t>
  </si>
  <si>
    <t>1516011</t>
  </si>
  <si>
    <t>Waterbury Arts Magnet School</t>
  </si>
  <si>
    <t>Groton</t>
  </si>
  <si>
    <t>1630411</t>
  </si>
  <si>
    <t>Charles H. Barrows STEM Academy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</si>
  <si>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</si>
  <si>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</si>
  <si>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</si>
  <si>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</si>
  <si>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</si>
  <si>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</si>
  <si>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</si>
  <si>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</si>
  <si>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</si>
  <si>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</si>
  <si>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</si>
  <si>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</si>
  <si>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</si>
  <si>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</si>
  <si>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</si>
  <si>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</si>
  <si>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</si>
  <si>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</si>
  <si>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</si>
  <si>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</si>
  <si>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</si>
  <si>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</si>
  <si>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</si>
  <si>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</si>
  <si>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</si>
  <si>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</si>
  <si>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</si>
  <si>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</si>
  <si>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</si>
  <si>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</si>
  <si>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</si>
  <si>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</si>
  <si>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</si>
  <si>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</si>
  <si>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</si>
  <si>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</si>
  <si>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</si>
  <si>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</si>
  <si>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</si>
  <si>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</si>
  <si>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</si>
  <si>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</si>
  <si>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</si>
  <si>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</si>
  <si>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</si>
  <si>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</si>
  <si>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</si>
  <si>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</si>
  <si>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</si>
  <si>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</si>
  <si>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</si>
  <si>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</si>
  <si>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</si>
  <si>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</si>
  <si>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</si>
  <si>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</si>
  <si>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</si>
  <si>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</si>
  <si>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</si>
  <si>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</si>
  <si>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</si>
  <si>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</si>
  <si>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</si>
  <si>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</si>
  <si>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</si>
  <si>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</si>
  <si>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</si>
  <si>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</si>
  <si>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</si>
  <si>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</si>
  <si>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</si>
  <si>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</si>
  <si>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</si>
  <si>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</si>
  <si>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</si>
  <si>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</si>
  <si>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</si>
  <si>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</si>
  <si>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</si>
  <si>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</si>
  <si>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</si>
  <si>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</si>
  <si>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</si>
  <si>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</si>
  <si>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</si>
  <si>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</si>
  <si>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</si>
  <si>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</si>
  <si>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</si>
  <si>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</si>
  <si>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</si>
  <si>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</si>
  <si>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</si>
  <si>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</si>
  <si>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</si>
  <si>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</si>
  <si>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</si>
  <si>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</si>
  <si>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</si>
  <si>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</si>
  <si>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</si>
  <si>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</si>
  <si>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</si>
  <si>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</si>
  <si>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</si>
  <si>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</si>
  <si>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</si>
  <si>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</si>
  <si>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</si>
  <si>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</si>
  <si>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FY2026 Actual</t>
  </si>
  <si>
    <t>(a)</t>
  </si>
  <si>
    <t>(b)</t>
  </si>
  <si>
    <t>(c)</t>
  </si>
  <si>
    <t>(d)</t>
  </si>
  <si>
    <t>(e)</t>
  </si>
  <si>
    <t>(f)</t>
  </si>
  <si>
    <t>(g)</t>
  </si>
  <si>
    <t>(h)</t>
  </si>
  <si>
    <t>(b*e)+(c*f)</t>
  </si>
  <si>
    <t>2025-26</t>
  </si>
  <si>
    <t>Out Dist</t>
  </si>
  <si>
    <t xml:space="preserve">Percent </t>
  </si>
  <si>
    <t>Other</t>
  </si>
  <si>
    <t>Est</t>
  </si>
  <si>
    <t>Tot_Kids</t>
  </si>
  <si>
    <t>Kids</t>
  </si>
  <si>
    <t>In District</t>
  </si>
  <si>
    <t>Rate</t>
  </si>
  <si>
    <t>Grant</t>
  </si>
  <si>
    <t>Actual</t>
  </si>
  <si>
    <t>BOE/Host Operated Magnet School Calculation with 10/1/25 Freeze 0 Estimate in FY26</t>
  </si>
  <si>
    <t>FY26</t>
  </si>
  <si>
    <t>Dist Code</t>
  </si>
  <si>
    <t>District</t>
  </si>
  <si>
    <t>OOD PA24-81 Grant w/ FY26 enroll</t>
  </si>
  <si>
    <t>In Dist PA24-81 Grant w/ FY26 enroll</t>
  </si>
  <si>
    <t>Tot PA24-81 Grant</t>
  </si>
  <si>
    <t>42% of PA24-81 Grant minus FY24 Grant</t>
  </si>
  <si>
    <t>PYA</t>
  </si>
  <si>
    <t>Total FY26 Grant</t>
  </si>
  <si>
    <t>01</t>
  </si>
  <si>
    <t>02</t>
  </si>
  <si>
    <t>04</t>
  </si>
  <si>
    <t>05</t>
  </si>
  <si>
    <t>KF</t>
  </si>
  <si>
    <t>School B</t>
  </si>
  <si>
    <t>FY24 Per Pupil Grants X FY26 Enroll</t>
  </si>
  <si>
    <t>FY26 PA24-81 Calc Grant (Col 2 + Col 3)</t>
  </si>
  <si>
    <t>0110811</t>
  </si>
  <si>
    <t>0341911</t>
  </si>
  <si>
    <t>Local and Regional BOE- Magnet Grant Formula</t>
  </si>
  <si>
    <t>Towns</t>
  </si>
  <si>
    <t>Out-of District</t>
  </si>
  <si>
    <t>In-District</t>
  </si>
  <si>
    <t>Per Pupil Rates Used Prior to FY24</t>
  </si>
  <si>
    <t>Resident_Town_</t>
  </si>
  <si>
    <t>Count Of SASID</t>
  </si>
  <si>
    <t xml:space="preserve">Reporting_District </t>
  </si>
  <si>
    <t>Student_Grade</t>
  </si>
  <si>
    <t>Sending District Weighted Funding</t>
  </si>
  <si>
    <t>Town Specific Data from PSIS</t>
  </si>
  <si>
    <t>Town Specific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</si>
</sst>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0D7E5"/>
      </right>
      <top style="medium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medium">
        <color indexed="64"/>
      </top>
      <bottom style="thin">
        <color rgb="FFD0D7E5"/>
      </bottom>
      <diagonal/>
    </border>
    <border>
      <left style="medium">
        <color indexed="64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thin">
        <color rgb="FFD0D7E5"/>
      </right>
      <top style="thin">
        <color rgb="FFD0D7E5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/>
      <top style="medium">
        <color indexed="64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2"/>
    <xf numFmtId="0" fontId="3" fillId="0" borderId="0" xfId="2" applyFont="1"/>
    <xf numFmtId="0" fontId="5" fillId="0" borderId="0" xfId="2" applyFont="1"/>
    <xf numFmtId="49" fontId="5" fillId="0" borderId="0" xfId="2" applyNumberFormat="1" applyFont="1"/>
    <xf numFmtId="0" fontId="0" fillId="0" borderId="0" xfId="0" applyAlignment="1">
      <alignment horizontal="left"/>
    </xf>
    <xf numFmtId="0" fontId="9" fillId="0" borderId="0" xfId="0" applyFont="1"/>
    <xf numFmtId="0" fontId="9" fillId="0" borderId="0" xfId="2" applyFont="1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9" fillId="0" borderId="3" xfId="2" applyFont="1" applyBorder="1"/>
    <xf numFmtId="164" fontId="9" fillId="0" borderId="3" xfId="3" applyNumberFormat="1" applyFont="1" applyBorder="1"/>
    <xf numFmtId="164" fontId="9" fillId="0" borderId="3" xfId="2" applyNumberFormat="1" applyFont="1" applyBorder="1"/>
    <xf numFmtId="0" fontId="9" fillId="0" borderId="3" xfId="0" applyFont="1" applyBorder="1" applyAlignment="1">
      <alignment horizontal="left"/>
    </xf>
    <xf numFmtId="0" fontId="9" fillId="0" borderId="3" xfId="0" applyFont="1" applyBorder="1"/>
    <xf numFmtId="164" fontId="10" fillId="0" borderId="3" xfId="1" applyNumberFormat="1" applyFont="1" applyFill="1" applyBorder="1" applyAlignment="1"/>
    <xf numFmtId="164" fontId="10" fillId="0" borderId="3" xfId="1" applyNumberFormat="1" applyFont="1" applyFill="1" applyBorder="1" applyAlignment="1">
      <alignment horizontal="right"/>
    </xf>
    <xf numFmtId="0" fontId="13" fillId="0" borderId="0" xfId="2" applyFont="1"/>
    <xf numFmtId="0" fontId="2" fillId="0" borderId="18" xfId="2" applyFont="1" applyBorder="1"/>
    <xf numFmtId="0" fontId="2" fillId="0" borderId="0" xfId="2" applyFont="1"/>
    <xf numFmtId="0" fontId="16" fillId="4" borderId="3" xfId="2" applyFont="1" applyFill="1" applyBorder="1" applyAlignment="1">
      <alignment horizontal="center" vertical="center"/>
    </xf>
    <xf numFmtId="0" fontId="9" fillId="2" borderId="0" xfId="2" applyFont="1" applyFill="1"/>
    <xf numFmtId="0" fontId="17" fillId="0" borderId="1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7" fillId="0" borderId="9" xfId="2" applyFont="1" applyBorder="1" applyAlignment="1">
      <alignment horizontal="right" vertical="center" wrapText="1"/>
    </xf>
    <xf numFmtId="0" fontId="17" fillId="0" borderId="10" xfId="2" applyFont="1" applyBorder="1" applyAlignment="1">
      <alignment horizontal="right" vertical="center" wrapText="1"/>
    </xf>
    <xf numFmtId="0" fontId="17" fillId="0" borderId="11" xfId="2" applyFont="1" applyBorder="1" applyAlignment="1">
      <alignment horizontal="right" vertical="center" wrapText="1"/>
    </xf>
    <xf numFmtId="0" fontId="17" fillId="0" borderId="12" xfId="2" applyFont="1" applyBorder="1" applyAlignment="1">
      <alignment horizontal="right" vertical="center" wrapText="1"/>
    </xf>
    <xf numFmtId="49" fontId="4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/>
    </xf>
    <xf numFmtId="165" fontId="4" fillId="0" borderId="0" xfId="4" applyNumberFormat="1" applyFont="1" applyFill="1" applyAlignment="1">
      <alignment horizontal="right"/>
    </xf>
    <xf numFmtId="165" fontId="4" fillId="0" borderId="0" xfId="4" applyNumberFormat="1" applyFont="1" applyFill="1" applyBorder="1" applyAlignment="1">
      <alignment horizontal="right"/>
    </xf>
    <xf numFmtId="0" fontId="2" fillId="0" borderId="17" xfId="2" applyFont="1" applyBorder="1"/>
    <xf numFmtId="0" fontId="4" fillId="0" borderId="18" xfId="2" applyFont="1" applyBorder="1"/>
    <xf numFmtId="0" fontId="2" fillId="0" borderId="19" xfId="2" applyFont="1" applyBorder="1"/>
    <xf numFmtId="0" fontId="7" fillId="6" borderId="15" xfId="0" applyFont="1" applyFill="1" applyBorder="1" applyAlignment="1">
      <alignment horizontal="center"/>
    </xf>
    <xf numFmtId="3" fontId="7" fillId="6" borderId="15" xfId="0" applyNumberFormat="1" applyFont="1" applyFill="1" applyBorder="1" applyAlignment="1">
      <alignment horizontal="center"/>
    </xf>
    <xf numFmtId="49" fontId="7" fillId="6" borderId="15" xfId="0" applyNumberFormat="1" applyFont="1" applyFill="1" applyBorder="1" applyAlignment="1">
      <alignment horizontal="center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right"/>
    </xf>
    <xf numFmtId="3" fontId="7" fillId="6" borderId="2" xfId="0" applyNumberFormat="1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3" fontId="7" fillId="6" borderId="16" xfId="0" applyNumberFormat="1" applyFont="1" applyFill="1" applyBorder="1" applyAlignment="1">
      <alignment horizontal="center"/>
    </xf>
    <xf numFmtId="0" fontId="11" fillId="6" borderId="3" xfId="2" applyFont="1" applyFill="1" applyBorder="1" applyAlignment="1">
      <alignment horizontal="center" vertical="center" wrapText="1"/>
    </xf>
    <xf numFmtId="0" fontId="11" fillId="6" borderId="3" xfId="2" applyFont="1" applyFill="1" applyBorder="1" applyAlignment="1">
      <alignment horizontal="center" vertical="center"/>
    </xf>
    <xf numFmtId="4" fontId="9" fillId="0" borderId="3" xfId="0" applyNumberFormat="1" applyFont="1" applyBorder="1"/>
    <xf numFmtId="39" fontId="15" fillId="0" borderId="3" xfId="0" applyNumberFormat="1" applyFont="1" applyBorder="1"/>
    <xf numFmtId="44" fontId="9" fillId="0" borderId="3" xfId="5" applyFont="1" applyBorder="1"/>
    <xf numFmtId="165" fontId="1" fillId="0" borderId="0" xfId="5" applyNumberFormat="1"/>
    <xf numFmtId="165" fontId="9" fillId="0" borderId="0" xfId="5" applyNumberFormat="1" applyFont="1" applyFill="1"/>
    <xf numFmtId="165" fontId="9" fillId="0" borderId="0" xfId="5" applyNumberFormat="1" applyFont="1"/>
    <xf numFmtId="165" fontId="9" fillId="0" borderId="5" xfId="5" applyNumberFormat="1" applyFont="1" applyFill="1" applyBorder="1"/>
    <xf numFmtId="165" fontId="9" fillId="0" borderId="0" xfId="5" applyNumberFormat="1" applyFont="1" applyFill="1" applyBorder="1"/>
    <xf numFmtId="165" fontId="9" fillId="0" borderId="13" xfId="5" applyNumberFormat="1" applyFont="1" applyFill="1" applyBorder="1"/>
    <xf numFmtId="0" fontId="16" fillId="4" borderId="3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65" fontId="11" fillId="0" borderId="3" xfId="5" applyNumberFormat="1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9" fillId="6" borderId="0" xfId="2" applyFont="1" applyFill="1"/>
    <xf numFmtId="0" fontId="11" fillId="6" borderId="2" xfId="2" applyFont="1" applyFill="1" applyBorder="1"/>
    <xf numFmtId="0" fontId="11" fillId="6" borderId="2" xfId="2" applyFont="1" applyFill="1" applyBorder="1" applyAlignment="1">
      <alignment wrapText="1"/>
    </xf>
    <xf numFmtId="0" fontId="11" fillId="6" borderId="16" xfId="2" applyFont="1" applyFill="1" applyBorder="1" applyAlignment="1">
      <alignment wrapText="1"/>
    </xf>
    <xf numFmtId="164" fontId="11" fillId="6" borderId="16" xfId="3" applyNumberFormat="1" applyFont="1" applyFill="1" applyBorder="1"/>
    <xf numFmtId="10" fontId="10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164" fontId="9" fillId="0" borderId="3" xfId="3" applyNumberFormat="1" applyFont="1" applyFill="1" applyBorder="1"/>
    <xf numFmtId="164" fontId="9" fillId="0" borderId="3" xfId="1" applyNumberFormat="1" applyFont="1" applyFill="1" applyBorder="1"/>
    <xf numFmtId="0" fontId="9" fillId="0" borderId="0" xfId="0" applyFont="1" applyAlignment="1">
      <alignment horizontal="left"/>
    </xf>
    <xf numFmtId="0" fontId="17" fillId="0" borderId="1" xfId="2" applyFont="1" applyBorder="1" applyAlignment="1">
      <alignment vertical="center" wrapText="1"/>
    </xf>
    <xf numFmtId="0" fontId="17" fillId="0" borderId="9" xfId="2" applyFont="1" applyBorder="1" applyAlignment="1">
      <alignment vertical="center" wrapText="1"/>
    </xf>
    <xf numFmtId="0" fontId="9" fillId="0" borderId="5" xfId="2" applyFont="1" applyBorder="1"/>
    <xf numFmtId="0" fontId="9" fillId="0" borderId="5" xfId="0" applyFont="1" applyBorder="1"/>
    <xf numFmtId="0" fontId="17" fillId="0" borderId="12" xfId="2" applyFont="1" applyBorder="1" applyAlignment="1">
      <alignment vertical="center" wrapText="1"/>
    </xf>
    <xf numFmtId="0" fontId="9" fillId="0" borderId="13" xfId="2" applyFont="1" applyBorder="1"/>
    <xf numFmtId="0" fontId="9" fillId="0" borderId="13" xfId="0" applyFont="1" applyBorder="1"/>
    <xf numFmtId="165" fontId="11" fillId="0" borderId="0" xfId="5" applyNumberFormat="1" applyFont="1" applyFill="1"/>
    <xf numFmtId="0" fontId="9" fillId="0" borderId="6" xfId="0" applyFont="1" applyBorder="1"/>
    <xf numFmtId="0" fontId="9" fillId="0" borderId="7" xfId="0" applyFont="1" applyBorder="1"/>
    <xf numFmtId="0" fontId="9" fillId="0" borderId="14" xfId="0" applyFont="1" applyBorder="1"/>
    <xf numFmtId="0" fontId="17" fillId="0" borderId="20" xfId="2" applyFont="1" applyBorder="1" applyAlignment="1">
      <alignment horizontal="right" vertical="center" wrapText="1"/>
    </xf>
    <xf numFmtId="0" fontId="17" fillId="0" borderId="21" xfId="2" applyFont="1" applyBorder="1" applyAlignment="1">
      <alignment horizontal="right" vertical="center" wrapText="1"/>
    </xf>
    <xf numFmtId="0" fontId="17" fillId="0" borderId="22" xfId="2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4" fillId="5" borderId="17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3" fillId="0" borderId="0" xfId="2" applyFont="1" applyAlignment="1">
      <alignment horizontal="center"/>
    </xf>
    <xf numFmtId="0" fontId="18" fillId="6" borderId="3" xfId="2" applyFont="1" applyFill="1" applyBorder="1" applyAlignment="1">
      <alignment horizontal="center"/>
    </xf>
  </cellXfs>
  <cellStyles count="6">
    <cellStyle name="Comma" xfId="1" builtinId="3"/>
    <cellStyle name="Comma 2" xfId="3" xr:uid="{7707E549-3C94-4964-8276-37CB13F4ADD0}"/>
    <cellStyle name="Currency" xfId="5" builtinId="4"/>
    <cellStyle name="Currency 2" xfId="4" xr:uid="{084D403B-9A0E-4ED4-9AB4-427073FE872F}"/>
    <cellStyle name="Normal" xfId="0" builtinId="0"/>
    <cellStyle name="Normal 2" xfId="2" xr:uid="{1C871B95-8192-49CE-A656-9F6C5C28C6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448809</xdr:colOff>
      <xdr:row>0</xdr:row>
      <xdr:rowOff>160111</xdr:rowOff>
    </xdr:from>
    <xdr:to>
      <xdr:col>22</xdr:col>
      <xdr:colOff>455610</xdr:colOff>
      <xdr:row>21</xdr:row>
      <xdr:rowOff>123119</xdr:rowOff>
    </xdr:to>
    <xdr:pic>
      <xdr:nvPicPr>
        <xdr:cNvPr id="3" name="Picture 2" descr="This is the magnet grant formula for local and regional BOE district magnet school operators.">
          <a:extLst>
            <a:ext uri="{FF2B5EF4-FFF2-40B4-BE49-F238E27FC236}">
              <a16:creationId xmlns:a16="http://schemas.microsoft.com/office/drawing/2014/main" id="{446F54E9-A163-3C5B-234B-B0979157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709" y="160111"/>
          <a:ext cx="7779201" cy="5354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Magnet%202017/Magnet%20GRANTS/Operating%20Magnet%20Grant-ED114/2019-20-FY20/May%20Payment/FINAL%20Magnet%20Final%20Calc%202020_Revise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E-I-FS1HFDA\grants\Calculations\2024-2025\Magnet%20Operating\May%201%202025%20Spring%20Payment\Magnet%20May%201%202025%20Calc%20GPA%20chng.xlsx" TargetMode="External"/><Relationship Id="rId1" Type="http://schemas.openxmlformats.org/officeDocument/2006/relationships/externalLinkPath" Target="https://ctgovexec-my.sharepoint.com/Calculations/2024-2025/Magnet%20Operating/May%201%202025%20Spring%20Payment/Magnet%20May%201%202025%20Calc%20GPA%20chn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tgovexec-my.sharepoint.com/personal/tom_markoski_ct_gov/Documents/Desktop/May%201%20Magnet%20Calc%20FY26%20TCM%20TEST.xlsx" TargetMode="External"/><Relationship Id="rId1" Type="http://schemas.openxmlformats.org/officeDocument/2006/relationships/externalLinkPath" Target="https://ctgovexec-my.sharepoint.com/personal/tom_markoski_ct_gov/Documents/Desktop/May%201%20Magnet%20Calc%20FY26%20TCM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_Summary"/>
      <sheetName val="May 2020 Pmt"/>
      <sheetName val="2019-20 Calc"/>
      <sheetName val="Residency Penalty"/>
      <sheetName val="Direct Enrollment (Rev)"/>
      <sheetName val="DE_SASIDBank"/>
      <sheetName val="Dual Enrollment-OpenChoice_ "/>
      <sheetName val="50-50"/>
      <sheetName val="PYA Calc for FY20"/>
      <sheetName val="PYA Data for FY20"/>
      <sheetName val="PYA Data with Fac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 Whole grant"/>
      <sheetName val="Notes"/>
      <sheetName val="Comparison FY24 &amp; FY25"/>
      <sheetName val="RESC Grant Calc"/>
      <sheetName val="BOE Grant Calc"/>
      <sheetName val="Enroll Projections"/>
      <sheetName val="Sending Dist Weighted Fund PP"/>
      <sheetName val="2024-25 Calc + CL proj"/>
      <sheetName val="BOE NEW ID &amp; ODD Calc"/>
      <sheetName val="FINAL DE List for Leah"/>
      <sheetName val="Pivot BOE FT"/>
      <sheetName val="Pivot RESC FT"/>
      <sheetName val="Magnet_FT_Oct_2024_Freeze_1 (2)"/>
      <sheetName val="FT F1 ELL-FRPL-SpEd Pivot"/>
      <sheetName val="Magnet_FT_Oct_2024_Freeze_1"/>
      <sheetName val="PT Pivot Freeze 1"/>
      <sheetName val="PT F1 FRPL-ELL-SpEd Pivot"/>
      <sheetName val="Magnet_PT_Oct_2024_Freeze_1"/>
      <sheetName val="ECAMP Pivot"/>
      <sheetName val="Magnet_ECAMP_Oct_2024_Freeze_1"/>
      <sheetName val="Codes Rates Tuition"/>
      <sheetName val="SY 23-24 Magnet Tuition Rates"/>
      <sheetName val="FY24 Magnet Tuition by Sch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1">
          <cell r="F51">
            <v>303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C6" t="str">
            <v>0150611</v>
          </cell>
          <cell r="D6" t="str">
            <v>Bridgeport</v>
          </cell>
          <cell r="E6" t="str">
            <v>Biotechnology, Research &amp; Zoological Studies Magnet High School (Grades 9-12)</v>
          </cell>
          <cell r="F6" t="str">
            <v>n/a</v>
          </cell>
          <cell r="G6">
            <v>3000</v>
          </cell>
        </row>
        <row r="7">
          <cell r="C7" t="str">
            <v>0150811</v>
          </cell>
          <cell r="D7" t="str">
            <v>Bridgeport</v>
          </cell>
          <cell r="E7" t="str">
            <v>Aerospace/Hydrospace, Engineering and Physical Sciences Magnet High School (Grades 9-12)</v>
          </cell>
          <cell r="F7" t="str">
            <v>n/a</v>
          </cell>
          <cell r="G7">
            <v>3000</v>
          </cell>
        </row>
        <row r="8">
          <cell r="C8" t="str">
            <v>0151511</v>
          </cell>
          <cell r="D8" t="str">
            <v>Bridgeport</v>
          </cell>
          <cell r="E8" t="str">
            <v>Information Technology &amp; Software Engineering Magnet High School (Grades 9-12)</v>
          </cell>
          <cell r="F8" t="str">
            <v>n/a</v>
          </cell>
          <cell r="G8">
            <v>3000</v>
          </cell>
        </row>
        <row r="9">
          <cell r="C9" t="str">
            <v>0153711</v>
          </cell>
          <cell r="D9" t="str">
            <v>Bridgeport</v>
          </cell>
          <cell r="E9" t="str">
            <v>Interdistrict Discovery Magnet School (PK-8)</v>
          </cell>
          <cell r="F9" t="str">
            <v>n/a</v>
          </cell>
          <cell r="G9">
            <v>3000</v>
          </cell>
        </row>
        <row r="10">
          <cell r="C10" t="str">
            <v>0341911</v>
          </cell>
          <cell r="D10" t="str">
            <v>Danbury</v>
          </cell>
          <cell r="E10" t="str">
            <v>Western CT Academy for International Studies Elementary Magnet School (K - Grade 5)</v>
          </cell>
          <cell r="F10" t="str">
            <v>n/a</v>
          </cell>
          <cell r="G10">
            <v>2150</v>
          </cell>
        </row>
        <row r="11">
          <cell r="C11" t="str">
            <v>0647911</v>
          </cell>
          <cell r="D11" t="str">
            <v>Hartford</v>
          </cell>
          <cell r="E11" t="str">
            <v>Great Path Academy at Manchester CC (Grades 9-12)</v>
          </cell>
          <cell r="F11" t="str">
            <v>n/a</v>
          </cell>
          <cell r="G11">
            <v>3465</v>
          </cell>
        </row>
        <row r="12">
          <cell r="C12" t="str">
            <v>0950311</v>
          </cell>
          <cell r="D12" t="str">
            <v>New London</v>
          </cell>
          <cell r="E12" t="str">
            <v>C.B. Jennings International Elementary Magnet School (Grades K-2)</v>
          </cell>
          <cell r="F12" t="str">
            <v>n/a</v>
          </cell>
          <cell r="G12">
            <v>3712</v>
          </cell>
        </row>
        <row r="13">
          <cell r="C13" t="str">
            <v>0950811</v>
          </cell>
          <cell r="D13" t="str">
            <v>New London</v>
          </cell>
          <cell r="E13" t="str">
            <v>Winthrop STEM Elementary Magnet School (K- Grade 5)</v>
          </cell>
          <cell r="F13" t="str">
            <v>n/a</v>
          </cell>
          <cell r="G13">
            <v>3712</v>
          </cell>
        </row>
        <row r="14">
          <cell r="C14" t="str">
            <v>0950911</v>
          </cell>
          <cell r="D14" t="str">
            <v>New London</v>
          </cell>
          <cell r="E14" t="str">
            <v>Nathan Hale Arts Magnet School (K-Grade 5)</v>
          </cell>
          <cell r="F14" t="str">
            <v>n/a</v>
          </cell>
          <cell r="G14">
            <v>3712</v>
          </cell>
        </row>
        <row r="15">
          <cell r="C15" t="str">
            <v>0951211</v>
          </cell>
          <cell r="D15" t="str">
            <v>New London</v>
          </cell>
          <cell r="E15" t="str">
            <v>Science and Technology Magnet Pathway for Middle Grades (Grades 6-8)</v>
          </cell>
          <cell r="F15" t="str">
            <v>n/a</v>
          </cell>
          <cell r="G15">
            <v>4049</v>
          </cell>
        </row>
        <row r="16">
          <cell r="C16" t="str">
            <v>0951311</v>
          </cell>
          <cell r="D16" t="str">
            <v>New London</v>
          </cell>
          <cell r="E16" t="str">
            <v>Science and Technology of SE CT (Grades  6-12)</v>
          </cell>
          <cell r="F16" t="str">
            <v>n/a</v>
          </cell>
          <cell r="G16">
            <v>4049</v>
          </cell>
        </row>
        <row r="17">
          <cell r="C17" t="str">
            <v>0951411</v>
          </cell>
          <cell r="D17" t="str">
            <v>New London</v>
          </cell>
          <cell r="E17" t="str">
            <v>Visual and Performing Arts Magnet (Grades 6-12)</v>
          </cell>
          <cell r="F17" t="str">
            <v>n/a</v>
          </cell>
          <cell r="G17">
            <v>4049</v>
          </cell>
        </row>
        <row r="18">
          <cell r="C18" t="str">
            <v>1630411</v>
          </cell>
          <cell r="D18" t="str">
            <v>Windham</v>
          </cell>
          <cell r="E18" t="str">
            <v>Charles Barrows STEM Academy (K- Grade 8)</v>
          </cell>
          <cell r="F18" t="str">
            <v>n/a</v>
          </cell>
          <cell r="G18">
            <v>5663</v>
          </cell>
        </row>
      </sheetData>
      <sheetData sheetId="22">
        <row r="8">
          <cell r="L8">
            <v>804000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 Whole grant"/>
      <sheetName val="Notes"/>
      <sheetName val="Comparison FY25 &amp; FY26"/>
      <sheetName val="Spring Payment List"/>
      <sheetName val="RESC Grant Calc"/>
      <sheetName val="BOE Grant Calc"/>
      <sheetName val="Enroll Projections"/>
      <sheetName val="Sending Dist Weighted Fund PP"/>
      <sheetName val="dbo_PSISOct2025_Freeze1 FT (2)"/>
      <sheetName val="ignore"/>
      <sheetName val="2025-26 Grant Calc"/>
      <sheetName val="FT Pivot BOE"/>
      <sheetName val="FT Pivot RESC"/>
      <sheetName val="FT F1 ELL-FRPL-SpEd Pivot"/>
      <sheetName val="dbo_PSISOct2025_Freeze1 FT Use"/>
      <sheetName val="PT Pivot Freeze 1"/>
      <sheetName val="PT F1 FRPL-ELL-SpEd Pivot"/>
      <sheetName val="dbo_PSISOct2025_Freeze1 PT"/>
      <sheetName val="ECAMP EL FRPL Sped"/>
      <sheetName val="ECAMP Pivot2"/>
      <sheetName val="dbo_PSISOct2025_Freeze1 ECAMP"/>
      <sheetName val="Codes Rates Tuition"/>
      <sheetName val="Fall Payment List"/>
      <sheetName val="BOE and New OOD Calc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17">
          <cell r="D17">
            <v>9079</v>
          </cell>
        </row>
      </sheetData>
      <sheetData sheetId="7">
        <row r="2">
          <cell r="A2">
            <v>1</v>
          </cell>
          <cell r="B2" t="str">
            <v>ANDOVER</v>
          </cell>
          <cell r="C2">
            <v>328.05</v>
          </cell>
          <cell r="D2">
            <v>359.40000000000003</v>
          </cell>
          <cell r="E2">
            <v>12626.38</v>
          </cell>
        </row>
        <row r="3">
          <cell r="A3">
            <v>2</v>
          </cell>
          <cell r="B3" t="str">
            <v>ANSONIA</v>
          </cell>
          <cell r="C3">
            <v>2479.2800000000002</v>
          </cell>
          <cell r="D3">
            <v>3019.0900000000006</v>
          </cell>
          <cell r="E3">
            <v>14034.32</v>
          </cell>
        </row>
        <row r="4">
          <cell r="A4">
            <v>3</v>
          </cell>
          <cell r="B4" t="str">
            <v>ASHFORD</v>
          </cell>
          <cell r="C4">
            <v>498.74</v>
          </cell>
          <cell r="D4">
            <v>557.59</v>
          </cell>
          <cell r="E4">
            <v>12884.92</v>
          </cell>
        </row>
        <row r="5">
          <cell r="A5">
            <v>4</v>
          </cell>
          <cell r="B5" t="str">
            <v>AVON</v>
          </cell>
          <cell r="C5">
            <v>2963.18</v>
          </cell>
          <cell r="D5">
            <v>3075.18</v>
          </cell>
          <cell r="E5">
            <v>11960.61</v>
          </cell>
        </row>
        <row r="6">
          <cell r="A6">
            <v>5</v>
          </cell>
          <cell r="B6" t="str">
            <v>BARKHAMSTED</v>
          </cell>
          <cell r="C6">
            <v>410.86</v>
          </cell>
          <cell r="D6">
            <v>442.06</v>
          </cell>
          <cell r="E6">
            <v>12400.19</v>
          </cell>
        </row>
        <row r="7">
          <cell r="A7">
            <v>6</v>
          </cell>
          <cell r="B7" t="str">
            <v>BEACON FALLS</v>
          </cell>
          <cell r="C7">
            <v>690.15</v>
          </cell>
          <cell r="D7">
            <v>759.65</v>
          </cell>
          <cell r="E7">
            <v>12685.6</v>
          </cell>
        </row>
        <row r="8">
          <cell r="A8">
            <v>7</v>
          </cell>
          <cell r="B8" t="str">
            <v>BERLIN</v>
          </cell>
          <cell r="C8">
            <v>2577.35</v>
          </cell>
          <cell r="D8">
            <v>2797.4</v>
          </cell>
          <cell r="E8">
            <v>12508.99</v>
          </cell>
        </row>
        <row r="9">
          <cell r="A9">
            <v>8</v>
          </cell>
          <cell r="B9" t="str">
            <v>BETHANY</v>
          </cell>
          <cell r="C9">
            <v>787.35</v>
          </cell>
          <cell r="D9">
            <v>825.65</v>
          </cell>
          <cell r="E9">
            <v>12085.62</v>
          </cell>
        </row>
        <row r="10">
          <cell r="A10">
            <v>9</v>
          </cell>
          <cell r="B10" t="str">
            <v>BETHEL</v>
          </cell>
          <cell r="C10">
            <v>3087.48</v>
          </cell>
          <cell r="D10">
            <v>3501.58</v>
          </cell>
          <cell r="E10">
            <v>13070.76</v>
          </cell>
        </row>
        <row r="11">
          <cell r="A11">
            <v>10</v>
          </cell>
          <cell r="B11" t="str">
            <v>BETHLEHEM</v>
          </cell>
          <cell r="C11">
            <v>340.43</v>
          </cell>
          <cell r="D11">
            <v>366.48</v>
          </cell>
          <cell r="E11">
            <v>12406.9</v>
          </cell>
        </row>
        <row r="12">
          <cell r="A12">
            <v>11</v>
          </cell>
          <cell r="B12" t="str">
            <v>BLOOMFIELD</v>
          </cell>
          <cell r="C12">
            <v>2198.92</v>
          </cell>
          <cell r="D12">
            <v>2528.0700000000002</v>
          </cell>
          <cell r="E12">
            <v>13250.14</v>
          </cell>
        </row>
        <row r="13">
          <cell r="A13">
            <v>12</v>
          </cell>
          <cell r="B13" t="str">
            <v>BOLTON</v>
          </cell>
          <cell r="C13">
            <v>644.38</v>
          </cell>
          <cell r="D13">
            <v>677.23</v>
          </cell>
          <cell r="E13">
            <v>12112.54</v>
          </cell>
        </row>
        <row r="14">
          <cell r="A14">
            <v>13</v>
          </cell>
          <cell r="B14" t="str">
            <v>BOZRAH</v>
          </cell>
          <cell r="C14">
            <v>248.81</v>
          </cell>
          <cell r="D14">
            <v>278.81</v>
          </cell>
          <cell r="E14">
            <v>12914.61</v>
          </cell>
        </row>
        <row r="15">
          <cell r="A15">
            <v>14</v>
          </cell>
          <cell r="B15" t="str">
            <v>BRANFORD</v>
          </cell>
          <cell r="C15">
            <v>2505.2600000000002</v>
          </cell>
          <cell r="D15">
            <v>2822.8100000000004</v>
          </cell>
          <cell r="E15">
            <v>12985.83</v>
          </cell>
        </row>
        <row r="16">
          <cell r="A16">
            <v>15</v>
          </cell>
          <cell r="B16" t="str">
            <v>BRIDGEPORT</v>
          </cell>
          <cell r="C16">
            <v>19025.68</v>
          </cell>
          <cell r="D16">
            <v>26424.32</v>
          </cell>
          <cell r="E16">
            <v>16006.8</v>
          </cell>
        </row>
        <row r="17">
          <cell r="A17">
            <v>16</v>
          </cell>
          <cell r="B17" t="str">
            <v>BRIDGEWATER</v>
          </cell>
          <cell r="C17">
            <v>157.11000000000001</v>
          </cell>
          <cell r="D17">
            <v>166.96</v>
          </cell>
          <cell r="E17">
            <v>12247.56</v>
          </cell>
        </row>
        <row r="18">
          <cell r="A18">
            <v>17</v>
          </cell>
          <cell r="B18" t="str">
            <v>BRISTOL</v>
          </cell>
          <cell r="C18">
            <v>7773.25</v>
          </cell>
          <cell r="D18">
            <v>9123.4</v>
          </cell>
          <cell r="E18">
            <v>13526.8</v>
          </cell>
        </row>
        <row r="19">
          <cell r="A19">
            <v>18</v>
          </cell>
          <cell r="B19" t="str">
            <v>BROOKFIELD</v>
          </cell>
          <cell r="C19">
            <v>2521.66</v>
          </cell>
          <cell r="D19">
            <v>2735.31</v>
          </cell>
          <cell r="E19">
            <v>12501.47</v>
          </cell>
        </row>
        <row r="20">
          <cell r="A20">
            <v>19</v>
          </cell>
          <cell r="B20" t="str">
            <v>BROOKLYN</v>
          </cell>
          <cell r="C20">
            <v>1149.46</v>
          </cell>
          <cell r="D20">
            <v>1253.51</v>
          </cell>
          <cell r="E20">
            <v>12568.25</v>
          </cell>
        </row>
        <row r="21">
          <cell r="A21">
            <v>20</v>
          </cell>
          <cell r="B21" t="str">
            <v>BURLINGTON</v>
          </cell>
          <cell r="C21">
            <v>1415.87</v>
          </cell>
          <cell r="D21">
            <v>1475.9699999999998</v>
          </cell>
          <cell r="E21">
            <v>12014.21</v>
          </cell>
        </row>
        <row r="22">
          <cell r="A22">
            <v>21</v>
          </cell>
          <cell r="B22" t="str">
            <v>CANAAN</v>
          </cell>
          <cell r="C22">
            <v>96</v>
          </cell>
          <cell r="D22">
            <v>105.8</v>
          </cell>
          <cell r="E22">
            <v>12701.51</v>
          </cell>
        </row>
        <row r="23">
          <cell r="A23">
            <v>22</v>
          </cell>
          <cell r="B23" t="str">
            <v>CANTERBURY</v>
          </cell>
          <cell r="C23">
            <v>623.36</v>
          </cell>
          <cell r="D23">
            <v>681.61</v>
          </cell>
          <cell r="E23">
            <v>12601.96</v>
          </cell>
        </row>
        <row r="24">
          <cell r="A24">
            <v>23</v>
          </cell>
          <cell r="B24" t="str">
            <v>CANTON</v>
          </cell>
          <cell r="C24">
            <v>1420.28</v>
          </cell>
          <cell r="D24">
            <v>1487.33</v>
          </cell>
          <cell r="E24">
            <v>12069.08</v>
          </cell>
        </row>
        <row r="25">
          <cell r="A25">
            <v>24</v>
          </cell>
          <cell r="B25" t="str">
            <v>CHAPLIN</v>
          </cell>
          <cell r="C25">
            <v>247.22</v>
          </cell>
          <cell r="D25">
            <v>272.92</v>
          </cell>
          <cell r="E25">
            <v>12723.09</v>
          </cell>
        </row>
        <row r="26">
          <cell r="A26">
            <v>25</v>
          </cell>
          <cell r="B26" t="str">
            <v>CHESHIRE</v>
          </cell>
          <cell r="C26">
            <v>4258.47</v>
          </cell>
          <cell r="D26">
            <v>4521.72</v>
          </cell>
          <cell r="E26">
            <v>12237.45</v>
          </cell>
        </row>
        <row r="27">
          <cell r="A27">
            <v>26</v>
          </cell>
          <cell r="B27" t="str">
            <v>CHESTER</v>
          </cell>
          <cell r="C27">
            <v>365.35</v>
          </cell>
          <cell r="D27">
            <v>393.65000000000003</v>
          </cell>
          <cell r="E27">
            <v>12417.73</v>
          </cell>
        </row>
        <row r="28">
          <cell r="A28">
            <v>27</v>
          </cell>
          <cell r="B28" t="str">
            <v>CLINTON</v>
          </cell>
          <cell r="C28">
            <v>1391.73</v>
          </cell>
          <cell r="D28">
            <v>1598.48</v>
          </cell>
          <cell r="E28">
            <v>13237.11</v>
          </cell>
        </row>
        <row r="29">
          <cell r="A29">
            <v>28</v>
          </cell>
          <cell r="B29" t="str">
            <v>COLCHESTER</v>
          </cell>
          <cell r="C29">
            <v>2036.37</v>
          </cell>
          <cell r="D29">
            <v>2186.87</v>
          </cell>
          <cell r="E29">
            <v>12376.77</v>
          </cell>
        </row>
        <row r="30">
          <cell r="A30">
            <v>29</v>
          </cell>
          <cell r="B30" t="str">
            <v>COLEBROOK</v>
          </cell>
          <cell r="C30">
            <v>136.78</v>
          </cell>
          <cell r="D30">
            <v>148.78</v>
          </cell>
          <cell r="E30">
            <v>12536.11</v>
          </cell>
        </row>
        <row r="31">
          <cell r="A31">
            <v>30</v>
          </cell>
          <cell r="B31" t="str">
            <v>COLUMBIA</v>
          </cell>
          <cell r="C31">
            <v>602.35</v>
          </cell>
          <cell r="D31">
            <v>644.1</v>
          </cell>
          <cell r="E31">
            <v>12323.82</v>
          </cell>
        </row>
        <row r="32">
          <cell r="A32">
            <v>31</v>
          </cell>
          <cell r="B32" t="str">
            <v>CORNWALL</v>
          </cell>
          <cell r="C32">
            <v>119.62</v>
          </cell>
          <cell r="D32">
            <v>130.02000000000001</v>
          </cell>
          <cell r="E32">
            <v>12527.01</v>
          </cell>
        </row>
        <row r="33">
          <cell r="A33">
            <v>32</v>
          </cell>
          <cell r="B33" t="str">
            <v>COVENTRY</v>
          </cell>
          <cell r="C33">
            <v>1582.03</v>
          </cell>
          <cell r="D33">
            <v>1713.18</v>
          </cell>
          <cell r="E33">
            <v>12480.42</v>
          </cell>
        </row>
        <row r="34">
          <cell r="A34">
            <v>33</v>
          </cell>
          <cell r="B34" t="str">
            <v>CROMWELL</v>
          </cell>
          <cell r="C34">
            <v>1813.33</v>
          </cell>
          <cell r="D34">
            <v>1961.33</v>
          </cell>
          <cell r="E34">
            <v>12465.65</v>
          </cell>
        </row>
        <row r="35">
          <cell r="A35">
            <v>34</v>
          </cell>
          <cell r="B35" t="str">
            <v>DANBURY</v>
          </cell>
          <cell r="C35">
            <v>11323.07</v>
          </cell>
          <cell r="D35">
            <v>14258.92</v>
          </cell>
          <cell r="E35">
            <v>14513.21</v>
          </cell>
        </row>
        <row r="36">
          <cell r="A36">
            <v>35</v>
          </cell>
          <cell r="B36" t="str">
            <v>DARIEN</v>
          </cell>
          <cell r="C36">
            <v>4521.6099999999997</v>
          </cell>
          <cell r="D36">
            <v>4564.6099999999997</v>
          </cell>
          <cell r="E36">
            <v>11634.6</v>
          </cell>
        </row>
        <row r="37">
          <cell r="A37">
            <v>36</v>
          </cell>
          <cell r="B37" t="str">
            <v>DEEP RIVER</v>
          </cell>
          <cell r="C37">
            <v>408.38</v>
          </cell>
          <cell r="D37">
            <v>449.73</v>
          </cell>
          <cell r="E37">
            <v>12691.95</v>
          </cell>
        </row>
        <row r="38">
          <cell r="A38">
            <v>37</v>
          </cell>
          <cell r="B38" t="str">
            <v>DERBY</v>
          </cell>
          <cell r="C38">
            <v>1358.63</v>
          </cell>
          <cell r="D38">
            <v>1475.5300000000002</v>
          </cell>
          <cell r="E38">
            <v>12516.64</v>
          </cell>
        </row>
        <row r="39">
          <cell r="A39">
            <v>38</v>
          </cell>
          <cell r="B39" t="str">
            <v>DURHAM</v>
          </cell>
          <cell r="C39">
            <v>853.9</v>
          </cell>
          <cell r="D39">
            <v>895.9</v>
          </cell>
          <cell r="E39">
            <v>12091.87</v>
          </cell>
        </row>
        <row r="40">
          <cell r="A40">
            <v>39</v>
          </cell>
          <cell r="B40" t="str">
            <v>EASTFORD</v>
          </cell>
          <cell r="C40">
            <v>195.13</v>
          </cell>
          <cell r="D40">
            <v>206.07999999999998</v>
          </cell>
          <cell r="E40">
            <v>12171.74</v>
          </cell>
        </row>
        <row r="41">
          <cell r="A41">
            <v>40</v>
          </cell>
          <cell r="B41" t="str">
            <v>EAST GRANBY</v>
          </cell>
          <cell r="C41">
            <v>860.89</v>
          </cell>
          <cell r="D41">
            <v>901.68999999999994</v>
          </cell>
          <cell r="E41">
            <v>12071.2</v>
          </cell>
        </row>
        <row r="42">
          <cell r="A42">
            <v>41</v>
          </cell>
          <cell r="B42" t="str">
            <v>EAST HADDAM</v>
          </cell>
          <cell r="C42">
            <v>938.45</v>
          </cell>
          <cell r="D42">
            <v>1013.6500000000001</v>
          </cell>
          <cell r="E42">
            <v>12448.52</v>
          </cell>
        </row>
        <row r="43">
          <cell r="A43">
            <v>42</v>
          </cell>
          <cell r="B43" t="str">
            <v>EAST HAMPTON</v>
          </cell>
          <cell r="C43">
            <v>1631.48</v>
          </cell>
          <cell r="D43">
            <v>1761.28</v>
          </cell>
          <cell r="E43">
            <v>12441.93</v>
          </cell>
        </row>
        <row r="44">
          <cell r="A44">
            <v>43</v>
          </cell>
          <cell r="B44" t="str">
            <v>EAST HARTFORD</v>
          </cell>
          <cell r="C44">
            <v>7633.57</v>
          </cell>
          <cell r="D44">
            <v>9420.1</v>
          </cell>
          <cell r="E44">
            <v>14222.26</v>
          </cell>
        </row>
        <row r="45">
          <cell r="A45">
            <v>44</v>
          </cell>
          <cell r="B45" t="str">
            <v>EAST HAVEN</v>
          </cell>
          <cell r="C45">
            <v>2907.79</v>
          </cell>
          <cell r="D45">
            <v>3532.09</v>
          </cell>
          <cell r="E45">
            <v>13999.41</v>
          </cell>
        </row>
        <row r="46">
          <cell r="A46">
            <v>45</v>
          </cell>
          <cell r="B46" t="str">
            <v>EAST LYME</v>
          </cell>
          <cell r="C46">
            <v>2322.2399999999998</v>
          </cell>
          <cell r="D46">
            <v>2533.0899999999997</v>
          </cell>
          <cell r="E46">
            <v>12571.42</v>
          </cell>
        </row>
        <row r="47">
          <cell r="A47">
            <v>46</v>
          </cell>
          <cell r="B47" t="str">
            <v>EASTON</v>
          </cell>
          <cell r="C47">
            <v>1236.5899999999999</v>
          </cell>
          <cell r="D47">
            <v>1282.8399999999999</v>
          </cell>
          <cell r="E47">
            <v>11956.05</v>
          </cell>
        </row>
        <row r="48">
          <cell r="A48">
            <v>47</v>
          </cell>
          <cell r="B48" t="str">
            <v>EAST WINDSOR</v>
          </cell>
          <cell r="C48">
            <v>1042.69</v>
          </cell>
          <cell r="D48">
            <v>1220.54</v>
          </cell>
          <cell r="E48">
            <v>13490.8</v>
          </cell>
        </row>
        <row r="49">
          <cell r="A49">
            <v>48</v>
          </cell>
          <cell r="B49" t="str">
            <v>ELLINGTON</v>
          </cell>
          <cell r="C49">
            <v>2458.6999999999998</v>
          </cell>
          <cell r="D49">
            <v>2621.35</v>
          </cell>
          <cell r="E49">
            <v>12287.41</v>
          </cell>
        </row>
        <row r="50">
          <cell r="A50">
            <v>49</v>
          </cell>
          <cell r="B50" t="str">
            <v>ENFIELD</v>
          </cell>
          <cell r="C50">
            <v>4745.8</v>
          </cell>
          <cell r="D50">
            <v>5447.7</v>
          </cell>
          <cell r="E50">
            <v>13229.54</v>
          </cell>
        </row>
        <row r="51">
          <cell r="A51">
            <v>50</v>
          </cell>
          <cell r="B51" t="str">
            <v>ESSEX</v>
          </cell>
          <cell r="C51">
            <v>510.89</v>
          </cell>
          <cell r="D51">
            <v>551.43999999999994</v>
          </cell>
          <cell r="E51">
            <v>12439.75</v>
          </cell>
        </row>
        <row r="52">
          <cell r="A52">
            <v>51</v>
          </cell>
          <cell r="B52" t="str">
            <v>FAIRFIELD</v>
          </cell>
          <cell r="C52">
            <v>9028.4699999999993</v>
          </cell>
          <cell r="D52">
            <v>9577.82</v>
          </cell>
          <cell r="E52">
            <v>12226.25</v>
          </cell>
        </row>
        <row r="53">
          <cell r="A53">
            <v>52</v>
          </cell>
          <cell r="B53" t="str">
            <v>FARMINGTON</v>
          </cell>
          <cell r="C53">
            <v>4042.62</v>
          </cell>
          <cell r="D53">
            <v>4306.62</v>
          </cell>
          <cell r="E53">
            <v>12277.63</v>
          </cell>
        </row>
        <row r="54">
          <cell r="A54">
            <v>53</v>
          </cell>
          <cell r="B54" t="str">
            <v>FRANKLIN</v>
          </cell>
          <cell r="C54">
            <v>257.60000000000002</v>
          </cell>
          <cell r="D54">
            <v>274.35000000000002</v>
          </cell>
          <cell r="E54">
            <v>12274.39</v>
          </cell>
        </row>
        <row r="55">
          <cell r="A55">
            <v>54</v>
          </cell>
          <cell r="B55" t="str">
            <v>GLASTONBURY</v>
          </cell>
          <cell r="C55">
            <v>5575.22</v>
          </cell>
          <cell r="D55">
            <v>5873.92</v>
          </cell>
          <cell r="E55">
            <v>12142.47</v>
          </cell>
        </row>
        <row r="56">
          <cell r="A56">
            <v>55</v>
          </cell>
          <cell r="B56" t="str">
            <v>GOSHEN</v>
          </cell>
          <cell r="C56">
            <v>284.12</v>
          </cell>
          <cell r="D56">
            <v>306.72000000000003</v>
          </cell>
          <cell r="E56">
            <v>12441.74</v>
          </cell>
        </row>
        <row r="57">
          <cell r="A57">
            <v>56</v>
          </cell>
          <cell r="B57" t="str">
            <v>GRANBY</v>
          </cell>
          <cell r="C57">
            <v>1657.63</v>
          </cell>
          <cell r="D57">
            <v>1732.2800000000002</v>
          </cell>
          <cell r="E57">
            <v>12044.02</v>
          </cell>
        </row>
        <row r="58">
          <cell r="A58">
            <v>57</v>
          </cell>
          <cell r="B58" t="str">
            <v>GREENWICH</v>
          </cell>
          <cell r="C58">
            <v>8045.07</v>
          </cell>
          <cell r="D58">
            <v>8617.9699999999993</v>
          </cell>
          <cell r="E58">
            <v>12345.71</v>
          </cell>
        </row>
        <row r="59">
          <cell r="A59">
            <v>58</v>
          </cell>
          <cell r="B59" t="str">
            <v>GRISWOLD</v>
          </cell>
          <cell r="C59">
            <v>1588.52</v>
          </cell>
          <cell r="D59">
            <v>1852.82</v>
          </cell>
          <cell r="E59">
            <v>13442.54</v>
          </cell>
        </row>
        <row r="60">
          <cell r="A60">
            <v>59</v>
          </cell>
          <cell r="B60" t="str">
            <v>GROTON</v>
          </cell>
          <cell r="C60">
            <v>4144.78</v>
          </cell>
          <cell r="D60">
            <v>4790.33</v>
          </cell>
          <cell r="E60">
            <v>13320.02</v>
          </cell>
        </row>
        <row r="61">
          <cell r="A61">
            <v>60</v>
          </cell>
          <cell r="B61" t="str">
            <v>GUILFORD</v>
          </cell>
          <cell r="C61">
            <v>2977.97</v>
          </cell>
          <cell r="D61">
            <v>3105.87</v>
          </cell>
          <cell r="E61">
            <v>12019.98</v>
          </cell>
        </row>
        <row r="62">
          <cell r="A62">
            <v>61</v>
          </cell>
          <cell r="B62" t="str">
            <v>HADDAM</v>
          </cell>
          <cell r="C62">
            <v>1016.28</v>
          </cell>
          <cell r="D62">
            <v>1067.18</v>
          </cell>
          <cell r="E62">
            <v>12102.23</v>
          </cell>
        </row>
        <row r="63">
          <cell r="A63">
            <v>62</v>
          </cell>
          <cell r="B63" t="str">
            <v>HAMDEN</v>
          </cell>
          <cell r="C63">
            <v>6213.36</v>
          </cell>
          <cell r="D63">
            <v>7260.0099999999993</v>
          </cell>
          <cell r="E63">
            <v>13466.4</v>
          </cell>
        </row>
        <row r="64">
          <cell r="A64">
            <v>63</v>
          </cell>
          <cell r="B64" t="str">
            <v>HAMPTON</v>
          </cell>
          <cell r="C64">
            <v>107.61</v>
          </cell>
          <cell r="D64">
            <v>120.51</v>
          </cell>
          <cell r="E64">
            <v>12906.59</v>
          </cell>
        </row>
        <row r="65">
          <cell r="A65">
            <v>64</v>
          </cell>
          <cell r="B65" t="str">
            <v>HARTFORD</v>
          </cell>
          <cell r="C65">
            <v>17866.740000000002</v>
          </cell>
          <cell r="D65">
            <v>24299.18</v>
          </cell>
          <cell r="E65">
            <v>15674.27</v>
          </cell>
        </row>
        <row r="66">
          <cell r="A66">
            <v>65</v>
          </cell>
          <cell r="B66" t="str">
            <v>HARTLAND</v>
          </cell>
          <cell r="C66">
            <v>173.33</v>
          </cell>
          <cell r="D66">
            <v>182.63000000000002</v>
          </cell>
          <cell r="E66">
            <v>12143.37</v>
          </cell>
        </row>
        <row r="67">
          <cell r="A67">
            <v>66</v>
          </cell>
          <cell r="B67" t="str">
            <v>HARWINTON</v>
          </cell>
          <cell r="C67">
            <v>673.44</v>
          </cell>
          <cell r="D67">
            <v>725.84</v>
          </cell>
          <cell r="E67">
            <v>12421.75</v>
          </cell>
        </row>
        <row r="68">
          <cell r="A68">
            <v>67</v>
          </cell>
          <cell r="B68" t="str">
            <v>HEBRON</v>
          </cell>
          <cell r="C68">
            <v>1191.05</v>
          </cell>
          <cell r="D68">
            <v>1256.7</v>
          </cell>
          <cell r="E68">
            <v>12160.25</v>
          </cell>
        </row>
        <row r="69">
          <cell r="A69">
            <v>68</v>
          </cell>
          <cell r="B69" t="str">
            <v>KENT</v>
          </cell>
          <cell r="C69">
            <v>195.49</v>
          </cell>
          <cell r="D69">
            <v>214.59</v>
          </cell>
          <cell r="E69">
            <v>12651.03</v>
          </cell>
        </row>
        <row r="70">
          <cell r="A70">
            <v>69</v>
          </cell>
          <cell r="B70" t="str">
            <v>KILLINGLY</v>
          </cell>
          <cell r="C70">
            <v>1966.16</v>
          </cell>
          <cell r="D70">
            <v>2264.61</v>
          </cell>
          <cell r="E70">
            <v>13274.42</v>
          </cell>
        </row>
        <row r="71">
          <cell r="A71">
            <v>70</v>
          </cell>
          <cell r="B71" t="str">
            <v>KILLINGWORTH</v>
          </cell>
          <cell r="C71">
            <v>668.26</v>
          </cell>
          <cell r="D71">
            <v>698.91</v>
          </cell>
          <cell r="E71">
            <v>12053.6</v>
          </cell>
        </row>
        <row r="72">
          <cell r="A72">
            <v>71</v>
          </cell>
          <cell r="B72" t="str">
            <v>LEBANON</v>
          </cell>
          <cell r="C72">
            <v>796.01</v>
          </cell>
          <cell r="D72">
            <v>860.26</v>
          </cell>
          <cell r="E72">
            <v>12455.24</v>
          </cell>
        </row>
        <row r="73">
          <cell r="A73">
            <v>72</v>
          </cell>
          <cell r="B73" t="str">
            <v>LEDYARD</v>
          </cell>
          <cell r="C73">
            <v>2247.0100000000002</v>
          </cell>
          <cell r="D73">
            <v>2429.11</v>
          </cell>
          <cell r="E73">
            <v>12459</v>
          </cell>
        </row>
        <row r="74">
          <cell r="A74">
            <v>73</v>
          </cell>
          <cell r="B74" t="str">
            <v>LISBON</v>
          </cell>
          <cell r="C74">
            <v>540.39</v>
          </cell>
          <cell r="D74">
            <v>600.09</v>
          </cell>
          <cell r="E74">
            <v>12798.23</v>
          </cell>
        </row>
        <row r="75">
          <cell r="A75">
            <v>74</v>
          </cell>
          <cell r="B75" t="str">
            <v>LITCHFIELD</v>
          </cell>
          <cell r="C75">
            <v>789.12</v>
          </cell>
          <cell r="D75">
            <v>851.87</v>
          </cell>
          <cell r="E75">
            <v>12441.46</v>
          </cell>
        </row>
        <row r="76">
          <cell r="A76">
            <v>75</v>
          </cell>
          <cell r="B76" t="str">
            <v>LYME</v>
          </cell>
          <cell r="C76">
            <v>212.55</v>
          </cell>
          <cell r="D76">
            <v>222.65</v>
          </cell>
          <cell r="E76">
            <v>12072.65</v>
          </cell>
        </row>
        <row r="77">
          <cell r="A77">
            <v>76</v>
          </cell>
          <cell r="B77" t="str">
            <v>MADISON</v>
          </cell>
          <cell r="C77">
            <v>2460.91</v>
          </cell>
          <cell r="D77">
            <v>2503.66</v>
          </cell>
          <cell r="E77">
            <v>11725.21</v>
          </cell>
        </row>
        <row r="78">
          <cell r="A78">
            <v>77</v>
          </cell>
          <cell r="B78" t="str">
            <v>MANCHESTER</v>
          </cell>
          <cell r="C78">
            <v>7186.58</v>
          </cell>
          <cell r="D78">
            <v>8678.5399999999991</v>
          </cell>
          <cell r="E78">
            <v>13917.63</v>
          </cell>
        </row>
        <row r="79">
          <cell r="A79">
            <v>78</v>
          </cell>
          <cell r="B79" t="str">
            <v>MANSFIELD</v>
          </cell>
          <cell r="C79">
            <v>1432.21</v>
          </cell>
          <cell r="D79">
            <v>1587.51</v>
          </cell>
          <cell r="E79">
            <v>12774.7</v>
          </cell>
        </row>
        <row r="80">
          <cell r="A80">
            <v>79</v>
          </cell>
          <cell r="B80" t="str">
            <v>MARLBOROUGH</v>
          </cell>
          <cell r="C80">
            <v>818.2</v>
          </cell>
          <cell r="D80">
            <v>868.35</v>
          </cell>
          <cell r="E80">
            <v>12231.4</v>
          </cell>
        </row>
        <row r="81">
          <cell r="A81">
            <v>80</v>
          </cell>
          <cell r="B81" t="str">
            <v>MERIDEN</v>
          </cell>
          <cell r="C81">
            <v>8638.89</v>
          </cell>
          <cell r="D81">
            <v>11302.39</v>
          </cell>
          <cell r="E81">
            <v>15078.33</v>
          </cell>
        </row>
        <row r="82">
          <cell r="A82">
            <v>81</v>
          </cell>
          <cell r="B82" t="str">
            <v>MIDDLEBURY</v>
          </cell>
          <cell r="C82">
            <v>1124.33</v>
          </cell>
          <cell r="D82">
            <v>1182.78</v>
          </cell>
          <cell r="E82">
            <v>12124.14</v>
          </cell>
        </row>
        <row r="83">
          <cell r="A83">
            <v>82</v>
          </cell>
          <cell r="B83" t="str">
            <v>MIDDLEFIELD</v>
          </cell>
          <cell r="C83">
            <v>444.94</v>
          </cell>
          <cell r="D83">
            <v>472.59</v>
          </cell>
          <cell r="E83">
            <v>12241.2</v>
          </cell>
        </row>
        <row r="84">
          <cell r="A84">
            <v>83</v>
          </cell>
          <cell r="B84" t="str">
            <v>MIDDLETOWN</v>
          </cell>
          <cell r="C84">
            <v>4435.8100000000004</v>
          </cell>
          <cell r="D84">
            <v>5140.71</v>
          </cell>
          <cell r="E84">
            <v>13356.45</v>
          </cell>
        </row>
        <row r="85">
          <cell r="A85">
            <v>84</v>
          </cell>
          <cell r="B85" t="str">
            <v>MILFORD</v>
          </cell>
          <cell r="C85">
            <v>5164.92</v>
          </cell>
          <cell r="D85">
            <v>5659.52</v>
          </cell>
          <cell r="E85">
            <v>12628.65</v>
          </cell>
        </row>
        <row r="86">
          <cell r="A86">
            <v>85</v>
          </cell>
          <cell r="B86" t="str">
            <v>MONROE</v>
          </cell>
          <cell r="C86">
            <v>3429.72</v>
          </cell>
          <cell r="D86">
            <v>3593.47</v>
          </cell>
          <cell r="E86">
            <v>12075.25</v>
          </cell>
        </row>
        <row r="87">
          <cell r="A87">
            <v>86</v>
          </cell>
          <cell r="B87" t="str">
            <v>MONTVILLE</v>
          </cell>
          <cell r="C87">
            <v>2075.59</v>
          </cell>
          <cell r="D87">
            <v>2380.3900000000003</v>
          </cell>
          <cell r="E87">
            <v>13217.44</v>
          </cell>
        </row>
        <row r="88">
          <cell r="A88">
            <v>87</v>
          </cell>
          <cell r="B88" t="str">
            <v>MORRIS</v>
          </cell>
          <cell r="C88">
            <v>218.86</v>
          </cell>
          <cell r="D88">
            <v>241.76000000000002</v>
          </cell>
          <cell r="E88">
            <v>12730.9</v>
          </cell>
        </row>
        <row r="89">
          <cell r="A89">
            <v>88</v>
          </cell>
          <cell r="B89" t="str">
            <v>NAUGATUCK</v>
          </cell>
          <cell r="C89">
            <v>4422.62</v>
          </cell>
          <cell r="D89">
            <v>5232.82</v>
          </cell>
          <cell r="E89">
            <v>13636.32</v>
          </cell>
        </row>
        <row r="90">
          <cell r="A90">
            <v>89</v>
          </cell>
          <cell r="B90" t="str">
            <v>NEW BRITAIN</v>
          </cell>
          <cell r="C90">
            <v>11158.55</v>
          </cell>
          <cell r="D90">
            <v>14412.029999999999</v>
          </cell>
          <cell r="E90">
            <v>14885.33</v>
          </cell>
        </row>
        <row r="91">
          <cell r="A91">
            <v>90</v>
          </cell>
          <cell r="B91" t="str">
            <v>NEW CANAAN</v>
          </cell>
          <cell r="C91">
            <v>4065.42</v>
          </cell>
          <cell r="D91">
            <v>4071.92</v>
          </cell>
          <cell r="E91">
            <v>11543.43</v>
          </cell>
        </row>
        <row r="92">
          <cell r="A92">
            <v>91</v>
          </cell>
          <cell r="B92" t="str">
            <v>NEW FAIRFIELD</v>
          </cell>
          <cell r="C92">
            <v>2041.28</v>
          </cell>
          <cell r="D92">
            <v>2186.73</v>
          </cell>
          <cell r="E92">
            <v>12346.21</v>
          </cell>
        </row>
        <row r="93">
          <cell r="A93">
            <v>92</v>
          </cell>
          <cell r="B93" t="str">
            <v>NEW HARTFORD</v>
          </cell>
          <cell r="C93">
            <v>786.04</v>
          </cell>
          <cell r="D93">
            <v>839.39</v>
          </cell>
          <cell r="E93">
            <v>12307.22</v>
          </cell>
        </row>
        <row r="94">
          <cell r="A94">
            <v>93</v>
          </cell>
          <cell r="B94" t="str">
            <v>NEW HAVEN</v>
          </cell>
          <cell r="C94">
            <v>16097.48</v>
          </cell>
          <cell r="D94">
            <v>21295.41</v>
          </cell>
          <cell r="E94">
            <v>15246.46</v>
          </cell>
        </row>
        <row r="95">
          <cell r="A95">
            <v>94</v>
          </cell>
          <cell r="B95" t="str">
            <v>NEWINGTON</v>
          </cell>
          <cell r="C95">
            <v>3819.19</v>
          </cell>
          <cell r="D95">
            <v>4311.84</v>
          </cell>
          <cell r="E95">
            <v>13011.65</v>
          </cell>
        </row>
        <row r="96">
          <cell r="A96">
            <v>95</v>
          </cell>
          <cell r="B96" t="str">
            <v>NEW LONDON</v>
          </cell>
          <cell r="C96">
            <v>3031.8</v>
          </cell>
          <cell r="D96">
            <v>4165.3900000000003</v>
          </cell>
          <cell r="E96">
            <v>15834.2</v>
          </cell>
        </row>
        <row r="97">
          <cell r="A97">
            <v>96</v>
          </cell>
          <cell r="B97" t="str">
            <v>NEW MILFORD</v>
          </cell>
          <cell r="C97">
            <v>3437.08</v>
          </cell>
          <cell r="D97">
            <v>3900.43</v>
          </cell>
          <cell r="E97">
            <v>13078.68</v>
          </cell>
        </row>
        <row r="98">
          <cell r="A98">
            <v>97</v>
          </cell>
          <cell r="B98" t="str">
            <v>NEWTOWN</v>
          </cell>
          <cell r="C98">
            <v>3882.31</v>
          </cell>
          <cell r="D98">
            <v>4080.0099999999998</v>
          </cell>
          <cell r="E98">
            <v>12111.89</v>
          </cell>
        </row>
        <row r="99">
          <cell r="A99">
            <v>98</v>
          </cell>
          <cell r="B99" t="str">
            <v>NORFOLK</v>
          </cell>
          <cell r="C99">
            <v>113.82</v>
          </cell>
          <cell r="D99">
            <v>126.16999999999999</v>
          </cell>
          <cell r="E99">
            <v>12775.52</v>
          </cell>
        </row>
        <row r="100">
          <cell r="A100">
            <v>99</v>
          </cell>
          <cell r="B100" t="str">
            <v>NORTH BRANFORD</v>
          </cell>
          <cell r="C100">
            <v>1575.09</v>
          </cell>
          <cell r="D100">
            <v>1687.84</v>
          </cell>
          <cell r="E100">
            <v>12350</v>
          </cell>
        </row>
        <row r="101">
          <cell r="A101">
            <v>100</v>
          </cell>
          <cell r="B101" t="str">
            <v>NORTH CANAAN</v>
          </cell>
          <cell r="C101">
            <v>331.81</v>
          </cell>
          <cell r="D101">
            <v>378.86</v>
          </cell>
          <cell r="E101">
            <v>13159.22</v>
          </cell>
        </row>
        <row r="102">
          <cell r="A102">
            <v>101</v>
          </cell>
          <cell r="B102" t="str">
            <v>NORTH HAVEN</v>
          </cell>
          <cell r="C102">
            <v>3175.32</v>
          </cell>
          <cell r="D102">
            <v>3437.3700000000003</v>
          </cell>
          <cell r="E102">
            <v>12476.13</v>
          </cell>
        </row>
        <row r="103">
          <cell r="A103">
            <v>102</v>
          </cell>
          <cell r="B103" t="str">
            <v>NORTH STONINGTON</v>
          </cell>
          <cell r="C103">
            <v>712.09</v>
          </cell>
          <cell r="D103">
            <v>749.19</v>
          </cell>
          <cell r="E103">
            <v>12125.45</v>
          </cell>
        </row>
        <row r="104">
          <cell r="A104">
            <v>103</v>
          </cell>
          <cell r="B104" t="str">
            <v>NORWALK</v>
          </cell>
          <cell r="C104">
            <v>11552.81</v>
          </cell>
          <cell r="D104">
            <v>14061.71</v>
          </cell>
          <cell r="E104">
            <v>14027.86</v>
          </cell>
        </row>
        <row r="105">
          <cell r="A105">
            <v>104</v>
          </cell>
          <cell r="B105" t="str">
            <v>NORWICH</v>
          </cell>
          <cell r="C105">
            <v>4832.57</v>
          </cell>
          <cell r="D105">
            <v>6342.84</v>
          </cell>
          <cell r="E105">
            <v>15126.78</v>
          </cell>
        </row>
        <row r="106">
          <cell r="A106">
            <v>105</v>
          </cell>
          <cell r="B106" t="str">
            <v>OLD LYME</v>
          </cell>
          <cell r="C106">
            <v>1046.6300000000001</v>
          </cell>
          <cell r="D106">
            <v>1097.0800000000002</v>
          </cell>
          <cell r="E106">
            <v>12080.53</v>
          </cell>
        </row>
        <row r="107">
          <cell r="A107">
            <v>106</v>
          </cell>
          <cell r="B107" t="str">
            <v>OLD SAYBROOK</v>
          </cell>
          <cell r="C107">
            <v>1007</v>
          </cell>
          <cell r="D107">
            <v>1102</v>
          </cell>
          <cell r="E107">
            <v>12612.26</v>
          </cell>
        </row>
        <row r="108">
          <cell r="A108">
            <v>107</v>
          </cell>
          <cell r="B108" t="str">
            <v>ORANGE</v>
          </cell>
          <cell r="C108">
            <v>2245.58</v>
          </cell>
          <cell r="D108">
            <v>2368.63</v>
          </cell>
          <cell r="E108">
            <v>12156.53</v>
          </cell>
        </row>
        <row r="109">
          <cell r="A109">
            <v>108</v>
          </cell>
          <cell r="B109" t="str">
            <v>OXFORD</v>
          </cell>
          <cell r="C109">
            <v>1661.1</v>
          </cell>
          <cell r="D109">
            <v>1758.05</v>
          </cell>
          <cell r="E109">
            <v>12197.66</v>
          </cell>
        </row>
        <row r="110">
          <cell r="A110">
            <v>109</v>
          </cell>
          <cell r="B110" t="str">
            <v>PLAINFIELD</v>
          </cell>
          <cell r="C110">
            <v>1764.97</v>
          </cell>
          <cell r="D110">
            <v>2063.27</v>
          </cell>
          <cell r="E110">
            <v>13472.86</v>
          </cell>
        </row>
        <row r="111">
          <cell r="A111">
            <v>110</v>
          </cell>
          <cell r="B111" t="str">
            <v>PLAINVILLE</v>
          </cell>
          <cell r="C111">
            <v>2156.2800000000002</v>
          </cell>
          <cell r="D111">
            <v>2452.3300000000004</v>
          </cell>
          <cell r="E111">
            <v>13107.34</v>
          </cell>
        </row>
        <row r="112">
          <cell r="A112">
            <v>111</v>
          </cell>
          <cell r="B112" t="str">
            <v>PLYMOUTH</v>
          </cell>
          <cell r="C112">
            <v>1345.07</v>
          </cell>
          <cell r="D112">
            <v>1541.97</v>
          </cell>
          <cell r="E112">
            <v>13212.1</v>
          </cell>
        </row>
        <row r="113">
          <cell r="A113">
            <v>112</v>
          </cell>
          <cell r="B113" t="str">
            <v>POMFRET</v>
          </cell>
          <cell r="C113">
            <v>500.38</v>
          </cell>
          <cell r="D113">
            <v>532.08000000000004</v>
          </cell>
          <cell r="E113">
            <v>12255.13</v>
          </cell>
        </row>
        <row r="114">
          <cell r="A114">
            <v>113</v>
          </cell>
          <cell r="B114" t="str">
            <v>PORTLAND</v>
          </cell>
          <cell r="C114">
            <v>1238.29</v>
          </cell>
          <cell r="D114">
            <v>1351.69</v>
          </cell>
          <cell r="E114">
            <v>12580.44</v>
          </cell>
        </row>
        <row r="115">
          <cell r="A115">
            <v>114</v>
          </cell>
          <cell r="B115" t="str">
            <v>PRESTON</v>
          </cell>
          <cell r="C115">
            <v>590.16999999999996</v>
          </cell>
          <cell r="D115">
            <v>645.66999999999996</v>
          </cell>
          <cell r="E115">
            <v>12608.82</v>
          </cell>
        </row>
        <row r="116">
          <cell r="A116">
            <v>115</v>
          </cell>
          <cell r="B116" t="str">
            <v>PROSPECT</v>
          </cell>
          <cell r="C116">
            <v>1262.6199999999999</v>
          </cell>
          <cell r="D116">
            <v>1347.82</v>
          </cell>
          <cell r="E116">
            <v>12302.69</v>
          </cell>
        </row>
        <row r="117">
          <cell r="A117">
            <v>116</v>
          </cell>
          <cell r="B117" t="str">
            <v>PUTNAM</v>
          </cell>
          <cell r="C117">
            <v>1112.3599999999999</v>
          </cell>
          <cell r="D117">
            <v>1307.4099999999999</v>
          </cell>
          <cell r="E117">
            <v>13545.88</v>
          </cell>
        </row>
        <row r="118">
          <cell r="A118">
            <v>117</v>
          </cell>
          <cell r="B118" t="str">
            <v>REDDING</v>
          </cell>
          <cell r="C118">
            <v>1195.25</v>
          </cell>
          <cell r="D118">
            <v>1233.75</v>
          </cell>
          <cell r="E118">
            <v>11896.23</v>
          </cell>
        </row>
        <row r="119">
          <cell r="A119">
            <v>118</v>
          </cell>
          <cell r="B119" t="str">
            <v>RIDGEFIELD</v>
          </cell>
          <cell r="C119">
            <v>4377.33</v>
          </cell>
          <cell r="D119">
            <v>4496.7299999999996</v>
          </cell>
          <cell r="E119">
            <v>11839.37</v>
          </cell>
        </row>
        <row r="120">
          <cell r="A120">
            <v>119</v>
          </cell>
          <cell r="B120" t="str">
            <v>ROCKY HILL</v>
          </cell>
          <cell r="C120">
            <v>2666.42</v>
          </cell>
          <cell r="D120">
            <v>2918.67</v>
          </cell>
          <cell r="E120">
            <v>12615.29</v>
          </cell>
        </row>
        <row r="121">
          <cell r="A121">
            <v>120</v>
          </cell>
          <cell r="B121" t="str">
            <v>ROXBURY</v>
          </cell>
          <cell r="C121">
            <v>176.44</v>
          </cell>
          <cell r="D121">
            <v>185.24</v>
          </cell>
          <cell r="E121">
            <v>12099.81</v>
          </cell>
        </row>
        <row r="122">
          <cell r="A122">
            <v>121</v>
          </cell>
          <cell r="B122" t="str">
            <v>SALEM</v>
          </cell>
          <cell r="C122">
            <v>566.79999999999995</v>
          </cell>
          <cell r="D122">
            <v>608.65</v>
          </cell>
          <cell r="E122">
            <v>12375.95</v>
          </cell>
        </row>
        <row r="123">
          <cell r="A123">
            <v>122</v>
          </cell>
          <cell r="B123" t="str">
            <v>SALISBURY</v>
          </cell>
          <cell r="C123">
            <v>320.64</v>
          </cell>
          <cell r="D123">
            <v>345.94</v>
          </cell>
          <cell r="E123">
            <v>12434.38</v>
          </cell>
        </row>
        <row r="124">
          <cell r="A124">
            <v>123</v>
          </cell>
          <cell r="B124" t="str">
            <v>SCOTLAND</v>
          </cell>
          <cell r="C124">
            <v>131.72</v>
          </cell>
          <cell r="D124">
            <v>147.47</v>
          </cell>
          <cell r="E124">
            <v>12903.07</v>
          </cell>
        </row>
        <row r="125">
          <cell r="A125">
            <v>124</v>
          </cell>
          <cell r="B125" t="str">
            <v>SEYMOUR</v>
          </cell>
          <cell r="C125">
            <v>2106.61</v>
          </cell>
          <cell r="D125">
            <v>2452.61</v>
          </cell>
          <cell r="E125">
            <v>13417.92</v>
          </cell>
        </row>
        <row r="126">
          <cell r="A126">
            <v>125</v>
          </cell>
          <cell r="B126" t="str">
            <v>SHARON</v>
          </cell>
          <cell r="C126">
            <v>113.44</v>
          </cell>
          <cell r="D126">
            <v>128.59</v>
          </cell>
          <cell r="E126">
            <v>13064.17</v>
          </cell>
        </row>
        <row r="127">
          <cell r="A127">
            <v>126</v>
          </cell>
          <cell r="B127" t="str">
            <v>SHELTON</v>
          </cell>
          <cell r="C127">
            <v>4555.51</v>
          </cell>
          <cell r="D127">
            <v>5130.71</v>
          </cell>
          <cell r="E127">
            <v>12980.2</v>
          </cell>
        </row>
        <row r="128">
          <cell r="A128">
            <v>127</v>
          </cell>
          <cell r="B128" t="str">
            <v>SHERMAN</v>
          </cell>
          <cell r="C128">
            <v>330.76</v>
          </cell>
          <cell r="D128">
            <v>338.51</v>
          </cell>
          <cell r="E128">
            <v>11795.04</v>
          </cell>
        </row>
        <row r="129">
          <cell r="A129">
            <v>128</v>
          </cell>
          <cell r="B129" t="str">
            <v>SIMSBURY</v>
          </cell>
          <cell r="C129">
            <v>4016.75</v>
          </cell>
          <cell r="D129">
            <v>4206.3999999999996</v>
          </cell>
          <cell r="E129">
            <v>12069.15</v>
          </cell>
        </row>
        <row r="130">
          <cell r="A130">
            <v>129</v>
          </cell>
          <cell r="B130" t="str">
            <v>SOMERS</v>
          </cell>
          <cell r="C130">
            <v>1285.21</v>
          </cell>
          <cell r="D130">
            <v>1319.26</v>
          </cell>
          <cell r="E130">
            <v>11830.34</v>
          </cell>
        </row>
        <row r="131">
          <cell r="A131">
            <v>130</v>
          </cell>
          <cell r="B131" t="str">
            <v>SOUTHBURY</v>
          </cell>
          <cell r="C131">
            <v>2286.14</v>
          </cell>
          <cell r="D131">
            <v>2390.14</v>
          </cell>
          <cell r="E131">
            <v>12049.29</v>
          </cell>
        </row>
        <row r="132">
          <cell r="A132">
            <v>131</v>
          </cell>
          <cell r="B132" t="str">
            <v>SOUTHINGTON</v>
          </cell>
          <cell r="C132">
            <v>5959.07</v>
          </cell>
          <cell r="D132">
            <v>6488.62</v>
          </cell>
          <cell r="E132">
            <v>12549.16</v>
          </cell>
        </row>
        <row r="133">
          <cell r="A133">
            <v>132</v>
          </cell>
          <cell r="B133" t="str">
            <v>SOUTH WINDSOR</v>
          </cell>
          <cell r="C133">
            <v>5202.7700000000004</v>
          </cell>
          <cell r="D133">
            <v>5583.1200000000008</v>
          </cell>
          <cell r="E133">
            <v>12367.54</v>
          </cell>
        </row>
        <row r="134">
          <cell r="A134">
            <v>133</v>
          </cell>
          <cell r="B134" t="str">
            <v>SPRAGUE</v>
          </cell>
          <cell r="C134">
            <v>382.91</v>
          </cell>
          <cell r="D134">
            <v>449.11</v>
          </cell>
          <cell r="E134">
            <v>13517.52</v>
          </cell>
        </row>
        <row r="135">
          <cell r="A135">
            <v>134</v>
          </cell>
          <cell r="B135" t="str">
            <v>STAFFORD</v>
          </cell>
          <cell r="C135">
            <v>1273.45</v>
          </cell>
          <cell r="D135">
            <v>1410.8</v>
          </cell>
          <cell r="E135">
            <v>12768.05</v>
          </cell>
        </row>
        <row r="136">
          <cell r="A136">
            <v>135</v>
          </cell>
          <cell r="B136" t="str">
            <v>STAMFORD</v>
          </cell>
          <cell r="C136">
            <v>14780.92</v>
          </cell>
          <cell r="D136">
            <v>17914.57</v>
          </cell>
          <cell r="E136">
            <v>13968.37</v>
          </cell>
        </row>
        <row r="137">
          <cell r="A137">
            <v>136</v>
          </cell>
          <cell r="B137" t="str">
            <v>STERLING</v>
          </cell>
          <cell r="C137">
            <v>401</v>
          </cell>
          <cell r="D137">
            <v>448.35</v>
          </cell>
          <cell r="E137">
            <v>12885.87</v>
          </cell>
        </row>
        <row r="138">
          <cell r="A138">
            <v>137</v>
          </cell>
          <cell r="B138" t="str">
            <v>STONINGTON</v>
          </cell>
          <cell r="C138">
            <v>1685.88</v>
          </cell>
          <cell r="D138">
            <v>1810.0800000000002</v>
          </cell>
          <cell r="E138">
            <v>12374.06</v>
          </cell>
        </row>
        <row r="139">
          <cell r="A139">
            <v>138</v>
          </cell>
          <cell r="B139" t="str">
            <v>STRATFORD</v>
          </cell>
          <cell r="C139">
            <v>6640.99</v>
          </cell>
          <cell r="D139">
            <v>7841.6399999999994</v>
          </cell>
          <cell r="E139">
            <v>13608.65</v>
          </cell>
        </row>
        <row r="140">
          <cell r="A140">
            <v>139</v>
          </cell>
          <cell r="B140" t="str">
            <v>SUFFIELD</v>
          </cell>
          <cell r="C140">
            <v>1904.85</v>
          </cell>
          <cell r="D140">
            <v>2008</v>
          </cell>
          <cell r="E140">
            <v>12149.09</v>
          </cell>
        </row>
        <row r="141">
          <cell r="A141">
            <v>140</v>
          </cell>
          <cell r="B141" t="str">
            <v>THOMASTON</v>
          </cell>
          <cell r="C141">
            <v>844.21</v>
          </cell>
          <cell r="D141">
            <v>933.81000000000006</v>
          </cell>
          <cell r="E141">
            <v>12748.2</v>
          </cell>
        </row>
        <row r="142">
          <cell r="A142">
            <v>141</v>
          </cell>
          <cell r="B142" t="str">
            <v>THOMPSON</v>
          </cell>
          <cell r="C142">
            <v>797.68</v>
          </cell>
          <cell r="D142">
            <v>917.53</v>
          </cell>
          <cell r="E142">
            <v>13256.61</v>
          </cell>
        </row>
        <row r="143">
          <cell r="A143">
            <v>142</v>
          </cell>
          <cell r="B143" t="str">
            <v>TOLLAND</v>
          </cell>
          <cell r="C143">
            <v>2142.15</v>
          </cell>
          <cell r="D143">
            <v>2256.9</v>
          </cell>
          <cell r="E143">
            <v>12142.37</v>
          </cell>
        </row>
        <row r="144">
          <cell r="A144">
            <v>143</v>
          </cell>
          <cell r="B144" t="str">
            <v>TORRINGTON</v>
          </cell>
          <cell r="C144">
            <v>4121.21</v>
          </cell>
          <cell r="D144">
            <v>5100.3499999999995</v>
          </cell>
          <cell r="E144">
            <v>14263.17</v>
          </cell>
        </row>
        <row r="145">
          <cell r="A145">
            <v>144</v>
          </cell>
          <cell r="B145" t="str">
            <v>TRUMBULL</v>
          </cell>
          <cell r="C145">
            <v>6717.76</v>
          </cell>
          <cell r="D145">
            <v>7211.91</v>
          </cell>
          <cell r="E145">
            <v>12372.76</v>
          </cell>
        </row>
        <row r="146">
          <cell r="A146">
            <v>145</v>
          </cell>
          <cell r="B146" t="str">
            <v>UNION</v>
          </cell>
          <cell r="C146">
            <v>69</v>
          </cell>
          <cell r="D146">
            <v>73.150000000000006</v>
          </cell>
          <cell r="E146">
            <v>12218.17</v>
          </cell>
        </row>
        <row r="147">
          <cell r="A147">
            <v>146</v>
          </cell>
          <cell r="B147" t="str">
            <v>VERNON</v>
          </cell>
          <cell r="C147">
            <v>3331.68</v>
          </cell>
          <cell r="D147">
            <v>3935.7799999999997</v>
          </cell>
          <cell r="E147">
            <v>13614.71</v>
          </cell>
        </row>
        <row r="148">
          <cell r="A148">
            <v>147</v>
          </cell>
          <cell r="B148" t="str">
            <v>VOLUNTOWN</v>
          </cell>
          <cell r="C148">
            <v>273.81</v>
          </cell>
          <cell r="D148">
            <v>305.86</v>
          </cell>
          <cell r="E148">
            <v>12874.02</v>
          </cell>
        </row>
        <row r="149">
          <cell r="A149">
            <v>148</v>
          </cell>
          <cell r="B149" t="str">
            <v>WALLINGFORD</v>
          </cell>
          <cell r="C149">
            <v>4889.26</v>
          </cell>
          <cell r="D149">
            <v>5468.6100000000006</v>
          </cell>
          <cell r="E149">
            <v>12890.65</v>
          </cell>
        </row>
        <row r="150">
          <cell r="A150">
            <v>149</v>
          </cell>
          <cell r="B150" t="str">
            <v>WARREN</v>
          </cell>
          <cell r="C150">
            <v>122.49</v>
          </cell>
          <cell r="D150">
            <v>130.59</v>
          </cell>
          <cell r="E150">
            <v>12287.12</v>
          </cell>
        </row>
        <row r="151">
          <cell r="A151">
            <v>150</v>
          </cell>
          <cell r="B151" t="str">
            <v>WASHINGTON</v>
          </cell>
          <cell r="C151">
            <v>262.58999999999997</v>
          </cell>
          <cell r="D151">
            <v>289.44</v>
          </cell>
          <cell r="E151">
            <v>12703.44</v>
          </cell>
        </row>
        <row r="152">
          <cell r="A152">
            <v>151</v>
          </cell>
          <cell r="B152" t="str">
            <v>WATERBURY</v>
          </cell>
          <cell r="C152">
            <v>18119.62</v>
          </cell>
          <cell r="D152">
            <v>23561.55</v>
          </cell>
          <cell r="E152">
            <v>14986.34</v>
          </cell>
        </row>
        <row r="153">
          <cell r="A153">
            <v>152</v>
          </cell>
          <cell r="B153" t="str">
            <v>WATERFORD</v>
          </cell>
          <cell r="C153">
            <v>2361.48</v>
          </cell>
          <cell r="D153">
            <v>2613.48</v>
          </cell>
          <cell r="E153">
            <v>12754.86</v>
          </cell>
        </row>
        <row r="154">
          <cell r="A154">
            <v>153</v>
          </cell>
          <cell r="B154" t="str">
            <v>WATERTOWN</v>
          </cell>
          <cell r="C154">
            <v>2654.24</v>
          </cell>
          <cell r="D154">
            <v>3007.1899999999996</v>
          </cell>
          <cell r="E154">
            <v>13057.55</v>
          </cell>
        </row>
        <row r="155">
          <cell r="A155">
            <v>154</v>
          </cell>
          <cell r="B155" t="str">
            <v>WESTBROOK</v>
          </cell>
          <cell r="C155">
            <v>562.02</v>
          </cell>
          <cell r="D155">
            <v>643.47</v>
          </cell>
          <cell r="E155">
            <v>13195.25</v>
          </cell>
        </row>
        <row r="156">
          <cell r="A156">
            <v>155</v>
          </cell>
          <cell r="B156" t="str">
            <v>WEST HARTFORD</v>
          </cell>
          <cell r="C156">
            <v>9293.17</v>
          </cell>
          <cell r="D156">
            <v>10236.57</v>
          </cell>
          <cell r="E156">
            <v>12694.97</v>
          </cell>
        </row>
        <row r="157">
          <cell r="A157">
            <v>156</v>
          </cell>
          <cell r="B157" t="str">
            <v>WEST HAVEN</v>
          </cell>
          <cell r="C157">
            <v>6734.5</v>
          </cell>
          <cell r="D157">
            <v>8285.15</v>
          </cell>
          <cell r="E157">
            <v>14178.68</v>
          </cell>
        </row>
        <row r="158">
          <cell r="A158">
            <v>157</v>
          </cell>
          <cell r="B158" t="str">
            <v>WESTON</v>
          </cell>
          <cell r="C158">
            <v>2001.67</v>
          </cell>
          <cell r="D158">
            <v>2017.77</v>
          </cell>
          <cell r="E158">
            <v>11617.7</v>
          </cell>
        </row>
        <row r="159">
          <cell r="A159">
            <v>158</v>
          </cell>
          <cell r="B159" t="str">
            <v>WESTPORT</v>
          </cell>
          <cell r="C159">
            <v>5226.1400000000003</v>
          </cell>
          <cell r="D159">
            <v>5287.14</v>
          </cell>
          <cell r="E159">
            <v>11659.52</v>
          </cell>
        </row>
        <row r="160">
          <cell r="A160">
            <v>159</v>
          </cell>
          <cell r="B160" t="str">
            <v>WETHERSFIELD</v>
          </cell>
          <cell r="C160">
            <v>3586.83</v>
          </cell>
          <cell r="D160">
            <v>3966.13</v>
          </cell>
          <cell r="E160">
            <v>12743.75</v>
          </cell>
        </row>
        <row r="161">
          <cell r="A161">
            <v>160</v>
          </cell>
          <cell r="B161" t="str">
            <v>WILLINGTON</v>
          </cell>
          <cell r="C161">
            <v>561.49</v>
          </cell>
          <cell r="D161">
            <v>613.94000000000005</v>
          </cell>
          <cell r="E161">
            <v>12601.58</v>
          </cell>
        </row>
        <row r="162">
          <cell r="A162">
            <v>161</v>
          </cell>
          <cell r="B162" t="str">
            <v>WILTON</v>
          </cell>
          <cell r="C162">
            <v>3649.92</v>
          </cell>
          <cell r="D162">
            <v>3726.92</v>
          </cell>
          <cell r="E162">
            <v>11768.14</v>
          </cell>
        </row>
        <row r="163">
          <cell r="A163">
            <v>162</v>
          </cell>
          <cell r="B163" t="str">
            <v>WINCHESTER</v>
          </cell>
          <cell r="C163">
            <v>1084.8599999999999</v>
          </cell>
          <cell r="D163">
            <v>1288.3599999999999</v>
          </cell>
          <cell r="E163">
            <v>13686.88</v>
          </cell>
        </row>
        <row r="164">
          <cell r="A164">
            <v>163</v>
          </cell>
          <cell r="B164" t="str">
            <v>WINDHAM</v>
          </cell>
          <cell r="C164">
            <v>2985.57</v>
          </cell>
          <cell r="D164">
            <v>3982.2200000000003</v>
          </cell>
          <cell r="E164">
            <v>15372.3</v>
          </cell>
        </row>
        <row r="165">
          <cell r="A165">
            <v>164</v>
          </cell>
          <cell r="B165" t="str">
            <v>WINDSOR</v>
          </cell>
          <cell r="C165">
            <v>3694.59</v>
          </cell>
          <cell r="D165">
            <v>4295.34</v>
          </cell>
          <cell r="E165">
            <v>13399</v>
          </cell>
        </row>
        <row r="166">
          <cell r="A166">
            <v>165</v>
          </cell>
          <cell r="B166" t="str">
            <v>WINDSOR LOCKS</v>
          </cell>
          <cell r="C166">
            <v>1498.63</v>
          </cell>
          <cell r="D166">
            <v>1738.5800000000002</v>
          </cell>
          <cell r="E166">
            <v>13370.3</v>
          </cell>
        </row>
        <row r="167">
          <cell r="A167">
            <v>166</v>
          </cell>
          <cell r="B167" t="str">
            <v>WOLCOTT</v>
          </cell>
          <cell r="C167">
            <v>2168.9699999999998</v>
          </cell>
          <cell r="D167">
            <v>2404.02</v>
          </cell>
          <cell r="E167">
            <v>12773.96</v>
          </cell>
        </row>
        <row r="168">
          <cell r="A168">
            <v>167</v>
          </cell>
          <cell r="B168" t="str">
            <v>WOODBRIDGE</v>
          </cell>
          <cell r="C168">
            <v>1640.18</v>
          </cell>
          <cell r="D168">
            <v>1725.23</v>
          </cell>
          <cell r="E168">
            <v>12122.62</v>
          </cell>
        </row>
        <row r="169">
          <cell r="A169">
            <v>168</v>
          </cell>
          <cell r="B169" t="str">
            <v>WOODBURY</v>
          </cell>
          <cell r="C169">
            <v>914.34</v>
          </cell>
          <cell r="D169">
            <v>968.99</v>
          </cell>
          <cell r="E169">
            <v>12213.85</v>
          </cell>
        </row>
        <row r="170">
          <cell r="A170">
            <v>169</v>
          </cell>
          <cell r="B170" t="str">
            <v>WOODSTOCK</v>
          </cell>
          <cell r="C170">
            <v>1098.06</v>
          </cell>
          <cell r="D170">
            <v>1165.51</v>
          </cell>
          <cell r="E170">
            <v>12232.94</v>
          </cell>
        </row>
      </sheetData>
      <sheetData sheetId="8"/>
      <sheetData sheetId="9"/>
      <sheetData sheetId="10">
        <row r="17">
          <cell r="X17">
            <v>371</v>
          </cell>
        </row>
      </sheetData>
      <sheetData sheetId="11" refreshError="1"/>
      <sheetData sheetId="12">
        <row r="5">
          <cell r="EF5">
            <v>778</v>
          </cell>
        </row>
      </sheetData>
      <sheetData sheetId="13">
        <row r="3">
          <cell r="A3" t="str">
            <v>Row Labels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 t="str">
            <v>0110811</v>
          </cell>
          <cell r="F2" t="str">
            <v>Wintonbury Early Childhood Magnet School</v>
          </cell>
          <cell r="G2" t="str">
            <v>SH</v>
          </cell>
          <cell r="H2">
            <v>0</v>
          </cell>
          <cell r="I2">
            <v>13315</v>
          </cell>
          <cell r="J2">
            <v>0</v>
          </cell>
        </row>
        <row r="3">
          <cell r="E3" t="str">
            <v>0116311</v>
          </cell>
          <cell r="F3" t="str">
            <v>Global Experience Magnet School</v>
          </cell>
          <cell r="G3" t="str">
            <v>SH</v>
          </cell>
          <cell r="H3">
            <v>0</v>
          </cell>
          <cell r="I3">
            <v>13315</v>
          </cell>
          <cell r="J3">
            <v>0</v>
          </cell>
        </row>
        <row r="4">
          <cell r="E4" t="str">
            <v>0150611</v>
          </cell>
          <cell r="F4" t="str">
            <v>Biotechnology, Research &amp; Zoological Studies Magnet High School</v>
          </cell>
          <cell r="G4" t="str">
            <v>H</v>
          </cell>
          <cell r="H4">
            <v>3060</v>
          </cell>
          <cell r="I4">
            <v>7227</v>
          </cell>
          <cell r="J4">
            <v>3000</v>
          </cell>
        </row>
        <row r="5">
          <cell r="E5" t="str">
            <v>0150811</v>
          </cell>
          <cell r="F5" t="str">
            <v>Aerospace/Hydrospace, Engineering and Physical Sciences Magnet High School</v>
          </cell>
          <cell r="G5" t="str">
            <v>H</v>
          </cell>
          <cell r="H5">
            <v>3060</v>
          </cell>
          <cell r="I5">
            <v>7227</v>
          </cell>
          <cell r="J5">
            <v>3000</v>
          </cell>
        </row>
        <row r="6">
          <cell r="E6" t="str">
            <v>0151511</v>
          </cell>
          <cell r="F6" t="str">
            <v>Information Technology &amp; Software Engineering Magnet High School</v>
          </cell>
          <cell r="G6" t="str">
            <v>H</v>
          </cell>
          <cell r="H6">
            <v>3060</v>
          </cell>
          <cell r="I6">
            <v>7227</v>
          </cell>
          <cell r="J6">
            <v>3000</v>
          </cell>
        </row>
        <row r="7">
          <cell r="E7" t="str">
            <v>0153711</v>
          </cell>
          <cell r="F7" t="str">
            <v>Interdistrict Discovery Magnet School</v>
          </cell>
          <cell r="G7" t="str">
            <v>H</v>
          </cell>
          <cell r="H7">
            <v>3060</v>
          </cell>
          <cell r="I7">
            <v>7227</v>
          </cell>
          <cell r="J7">
            <v>3000</v>
          </cell>
        </row>
        <row r="8">
          <cell r="E8" t="str">
            <v>0341911</v>
          </cell>
          <cell r="F8" t="str">
            <v>Western CT Academy of International Studies</v>
          </cell>
          <cell r="G8" t="str">
            <v>H</v>
          </cell>
          <cell r="H8">
            <v>3060</v>
          </cell>
          <cell r="I8">
            <v>7227</v>
          </cell>
          <cell r="J8">
            <v>2150</v>
          </cell>
        </row>
        <row r="9">
          <cell r="E9" t="str">
            <v>0436311</v>
          </cell>
          <cell r="F9" t="str">
            <v xml:space="preserve">Ct International Baccalaureate Acad                    </v>
          </cell>
          <cell r="G9" t="str">
            <v>SH</v>
          </cell>
          <cell r="H9">
            <v>0</v>
          </cell>
          <cell r="I9">
            <v>13315</v>
          </cell>
          <cell r="J9">
            <v>0</v>
          </cell>
        </row>
        <row r="10">
          <cell r="E10" t="str">
            <v>0640511</v>
          </cell>
          <cell r="F10" t="str">
            <v>Montessori Magnet at Batchelder School</v>
          </cell>
          <cell r="G10" t="str">
            <v>SH</v>
          </cell>
          <cell r="H10">
            <v>0</v>
          </cell>
          <cell r="I10">
            <v>13315</v>
          </cell>
          <cell r="J10">
            <v>0</v>
          </cell>
        </row>
        <row r="11">
          <cell r="E11" t="str">
            <v>0640711</v>
          </cell>
          <cell r="F11" t="str">
            <v>Dwight Bellizzi Dual Language Academy</v>
          </cell>
          <cell r="G11" t="str">
            <v>SH</v>
          </cell>
          <cell r="H11">
            <v>0</v>
          </cell>
          <cell r="I11">
            <v>13315</v>
          </cell>
          <cell r="J11">
            <v>0</v>
          </cell>
        </row>
        <row r="12">
          <cell r="E12" t="str">
            <v>0640911</v>
          </cell>
          <cell r="F12" t="str">
            <v>Environmental Sciences Magnet at Hooker School</v>
          </cell>
          <cell r="G12" t="str">
            <v>SH</v>
          </cell>
          <cell r="H12">
            <v>0</v>
          </cell>
          <cell r="I12">
            <v>13315</v>
          </cell>
          <cell r="J12">
            <v>0</v>
          </cell>
        </row>
        <row r="13">
          <cell r="E13" t="str">
            <v>0641111</v>
          </cell>
          <cell r="F13" t="str">
            <v>Kinsella Magnet School of Performing Arts: PK-8 Campus</v>
          </cell>
          <cell r="G13" t="str">
            <v>SH</v>
          </cell>
          <cell r="H13">
            <v>0</v>
          </cell>
          <cell r="I13">
            <v>13315</v>
          </cell>
          <cell r="J13">
            <v>0</v>
          </cell>
        </row>
        <row r="14">
          <cell r="E14" t="str">
            <v>0641311</v>
          </cell>
          <cell r="F14" t="str">
            <v>Hartford PreKindergarten Magnet School: North Campus</v>
          </cell>
          <cell r="G14" t="str">
            <v>SH</v>
          </cell>
          <cell r="H14">
            <v>0</v>
          </cell>
          <cell r="I14">
            <v>13315</v>
          </cell>
          <cell r="J14">
            <v>0</v>
          </cell>
        </row>
        <row r="15">
          <cell r="E15" t="str">
            <v>0641610</v>
          </cell>
          <cell r="F15" t="str">
            <v>Hartford PreKindergarten Magnet School: South Campus</v>
          </cell>
          <cell r="G15" t="str">
            <v>SH</v>
          </cell>
          <cell r="H15">
            <v>0</v>
          </cell>
          <cell r="I15">
            <v>13315</v>
          </cell>
          <cell r="J15">
            <v>0</v>
          </cell>
        </row>
        <row r="16">
          <cell r="E16" t="str">
            <v>0641710</v>
          </cell>
          <cell r="F16" t="str">
            <v>Kinsella Magnet School of Performing Arts: High School Campus</v>
          </cell>
          <cell r="G16" t="str">
            <v>SH</v>
          </cell>
          <cell r="H16">
            <v>0</v>
          </cell>
          <cell r="I16">
            <v>13315</v>
          </cell>
          <cell r="J16">
            <v>0</v>
          </cell>
        </row>
        <row r="17">
          <cell r="E17" t="str">
            <v>0642011</v>
          </cell>
          <cell r="F17" t="str">
            <v>Webster Micro Society Magnet School</v>
          </cell>
          <cell r="G17" t="str">
            <v>SH</v>
          </cell>
          <cell r="H17">
            <v>0</v>
          </cell>
          <cell r="I17">
            <v>13315</v>
          </cell>
          <cell r="J17">
            <v>0</v>
          </cell>
        </row>
        <row r="18">
          <cell r="E18" t="str">
            <v>0642511</v>
          </cell>
          <cell r="F18" t="str">
            <v>STEM Magnet at Annie Fisher School</v>
          </cell>
          <cell r="G18" t="str">
            <v>SH</v>
          </cell>
          <cell r="H18">
            <v>0</v>
          </cell>
          <cell r="I18">
            <v>13315</v>
          </cell>
          <cell r="J18">
            <v>0</v>
          </cell>
        </row>
        <row r="19">
          <cell r="E19" t="str">
            <v>0642811</v>
          </cell>
          <cell r="F19" t="str">
            <v>Betances Learning Lab Magnet School</v>
          </cell>
          <cell r="G19" t="str">
            <v>SH</v>
          </cell>
          <cell r="H19">
            <v>0</v>
          </cell>
          <cell r="I19">
            <v>13315</v>
          </cell>
          <cell r="J19">
            <v>0</v>
          </cell>
        </row>
        <row r="20">
          <cell r="E20" t="str">
            <v>0643311</v>
          </cell>
          <cell r="F20" t="str">
            <v>Breakthrough Magnet School, South</v>
          </cell>
          <cell r="G20" t="str">
            <v>SH</v>
          </cell>
          <cell r="H20">
            <v>0</v>
          </cell>
          <cell r="I20">
            <v>13315</v>
          </cell>
          <cell r="J20">
            <v>0</v>
          </cell>
        </row>
        <row r="21">
          <cell r="E21" t="str">
            <v>0643511</v>
          </cell>
          <cell r="F21" t="str">
            <v>Breakthrough Magnet School, North</v>
          </cell>
          <cell r="G21" t="str">
            <v>SH</v>
          </cell>
          <cell r="H21">
            <v>0</v>
          </cell>
          <cell r="I21">
            <v>13315</v>
          </cell>
          <cell r="J21">
            <v>0</v>
          </cell>
        </row>
        <row r="22">
          <cell r="E22" t="str">
            <v>0643711</v>
          </cell>
          <cell r="F22" t="str">
            <v>Montessori Magnet at Fisher School</v>
          </cell>
          <cell r="G22" t="str">
            <v>SH</v>
          </cell>
          <cell r="H22">
            <v>0</v>
          </cell>
          <cell r="I22">
            <v>13315</v>
          </cell>
          <cell r="J22">
            <v>0</v>
          </cell>
        </row>
        <row r="23">
          <cell r="E23" t="str">
            <v>0643811</v>
          </cell>
          <cell r="F23" t="str">
            <v>Betances STEM Magnet School</v>
          </cell>
          <cell r="G23" t="str">
            <v>SH</v>
          </cell>
          <cell r="H23">
            <v>0</v>
          </cell>
          <cell r="I23">
            <v>13315</v>
          </cell>
          <cell r="J23">
            <v>0</v>
          </cell>
        </row>
        <row r="24">
          <cell r="E24" t="str">
            <v>0645411</v>
          </cell>
          <cell r="F24" t="str">
            <v>Hartford Magnet Trinity College Academy</v>
          </cell>
          <cell r="G24" t="str">
            <v>SH</v>
          </cell>
          <cell r="H24">
            <v>0</v>
          </cell>
          <cell r="I24">
            <v>13315</v>
          </cell>
          <cell r="J24">
            <v>0</v>
          </cell>
        </row>
        <row r="25">
          <cell r="E25" t="str">
            <v>0646411</v>
          </cell>
          <cell r="F25" t="str">
            <v>Classical Magnet School</v>
          </cell>
          <cell r="G25" t="str">
            <v>SH</v>
          </cell>
          <cell r="H25">
            <v>0</v>
          </cell>
          <cell r="I25">
            <v>13315</v>
          </cell>
          <cell r="J25">
            <v>0</v>
          </cell>
        </row>
        <row r="26">
          <cell r="E26" t="str">
            <v>0646511</v>
          </cell>
          <cell r="F26" t="str">
            <v>Sport and Medical Sciences Academy</v>
          </cell>
          <cell r="G26" t="str">
            <v>SH</v>
          </cell>
          <cell r="H26">
            <v>0</v>
          </cell>
          <cell r="I26">
            <v>13315</v>
          </cell>
          <cell r="J26">
            <v>0</v>
          </cell>
        </row>
        <row r="27">
          <cell r="E27" t="str">
            <v>0646611</v>
          </cell>
          <cell r="F27" t="str">
            <v>Pathways Academy of Technology and Design</v>
          </cell>
          <cell r="G27" t="str">
            <v>SH</v>
          </cell>
          <cell r="H27">
            <v>0</v>
          </cell>
          <cell r="I27">
            <v>13315</v>
          </cell>
          <cell r="J27">
            <v>0</v>
          </cell>
        </row>
        <row r="28">
          <cell r="E28" t="str">
            <v>0646711</v>
          </cell>
          <cell r="F28" t="str">
            <v>University High School of Science and Engineering</v>
          </cell>
          <cell r="G28" t="str">
            <v>SH</v>
          </cell>
          <cell r="H28">
            <v>0</v>
          </cell>
          <cell r="I28">
            <v>13315</v>
          </cell>
          <cell r="J28">
            <v>0</v>
          </cell>
        </row>
        <row r="29">
          <cell r="E29" t="str">
            <v>0646911</v>
          </cell>
          <cell r="F29" t="str">
            <v>Capital Preparatory Magnet School</v>
          </cell>
          <cell r="G29" t="str">
            <v>SH</v>
          </cell>
          <cell r="H29">
            <v>0</v>
          </cell>
          <cell r="I29">
            <v>13315</v>
          </cell>
          <cell r="J29">
            <v>0</v>
          </cell>
        </row>
        <row r="30">
          <cell r="E30" t="str">
            <v>0647911</v>
          </cell>
          <cell r="F30" t="str">
            <v>Great Path Academy at MCC</v>
          </cell>
          <cell r="G30" t="str">
            <v>SR</v>
          </cell>
          <cell r="H30">
            <v>10652</v>
          </cell>
          <cell r="I30">
            <v>10652</v>
          </cell>
          <cell r="J30">
            <v>3465</v>
          </cell>
        </row>
        <row r="31">
          <cell r="E31" t="str">
            <v>0930211</v>
          </cell>
          <cell r="F31" t="str">
            <v>Barnard Environmental Magnet School</v>
          </cell>
          <cell r="G31" t="str">
            <v>H</v>
          </cell>
          <cell r="H31">
            <v>3060</v>
          </cell>
          <cell r="I31">
            <v>7227</v>
          </cell>
          <cell r="J31">
            <v>0</v>
          </cell>
        </row>
        <row r="32">
          <cell r="E32" t="str">
            <v>0930311</v>
          </cell>
          <cell r="F32" t="str">
            <v>Beecher School</v>
          </cell>
          <cell r="G32" t="str">
            <v>H</v>
          </cell>
          <cell r="H32">
            <v>3060</v>
          </cell>
          <cell r="I32">
            <v>7227</v>
          </cell>
          <cell r="J32">
            <v>0</v>
          </cell>
        </row>
        <row r="33">
          <cell r="E33" t="str">
            <v>0930911</v>
          </cell>
          <cell r="F33" t="str">
            <v>Davis Academy for Arts &amp; Design Innovation</v>
          </cell>
          <cell r="G33" t="str">
            <v>H</v>
          </cell>
          <cell r="H33">
            <v>3060</v>
          </cell>
          <cell r="I33">
            <v>7227</v>
          </cell>
          <cell r="J33">
            <v>0</v>
          </cell>
        </row>
        <row r="34">
          <cell r="E34" t="str">
            <v>0931011</v>
          </cell>
          <cell r="F34" t="str">
            <v>Ross/Woodward School</v>
          </cell>
          <cell r="G34" t="str">
            <v>H</v>
          </cell>
          <cell r="H34">
            <v>3060</v>
          </cell>
          <cell r="I34">
            <v>7227</v>
          </cell>
          <cell r="J34">
            <v>0</v>
          </cell>
        </row>
        <row r="35">
          <cell r="E35" t="str">
            <v>0931311</v>
          </cell>
          <cell r="F35" t="str">
            <v>John C. Daniels</v>
          </cell>
          <cell r="G35" t="str">
            <v>H</v>
          </cell>
          <cell r="H35">
            <v>3060</v>
          </cell>
          <cell r="I35">
            <v>7227</v>
          </cell>
          <cell r="J35">
            <v>0</v>
          </cell>
        </row>
        <row r="36">
          <cell r="E36" t="str">
            <v>0931711</v>
          </cell>
          <cell r="F36" t="str">
            <v>Engineering - Science University Magnet School</v>
          </cell>
          <cell r="G36" t="str">
            <v>H</v>
          </cell>
          <cell r="H36">
            <v>3060</v>
          </cell>
          <cell r="I36">
            <v>7227</v>
          </cell>
          <cell r="J36">
            <v>0</v>
          </cell>
        </row>
        <row r="37">
          <cell r="E37" t="str">
            <v>0931811</v>
          </cell>
          <cell r="F37" t="str">
            <v>Benjamin Jepson Magnet School</v>
          </cell>
          <cell r="G37" t="str">
            <v>H</v>
          </cell>
          <cell r="H37">
            <v>3060</v>
          </cell>
          <cell r="I37">
            <v>7227</v>
          </cell>
          <cell r="J37">
            <v>0</v>
          </cell>
        </row>
        <row r="38">
          <cell r="E38" t="str">
            <v>0931911</v>
          </cell>
          <cell r="F38" t="str">
            <v>Mauro-Sheridan Magnet School</v>
          </cell>
          <cell r="G38" t="str">
            <v>H</v>
          </cell>
          <cell r="H38">
            <v>3060</v>
          </cell>
          <cell r="I38">
            <v>7227</v>
          </cell>
          <cell r="J38">
            <v>0</v>
          </cell>
        </row>
        <row r="39">
          <cell r="E39" t="str">
            <v>0933011</v>
          </cell>
          <cell r="F39" t="str">
            <v>King/Robinson Magnet School</v>
          </cell>
          <cell r="G39" t="str">
            <v>H</v>
          </cell>
          <cell r="H39">
            <v>3060</v>
          </cell>
          <cell r="I39">
            <v>7227</v>
          </cell>
          <cell r="J39">
            <v>0</v>
          </cell>
        </row>
        <row r="40">
          <cell r="E40" t="str">
            <v>0935511</v>
          </cell>
          <cell r="F40" t="str">
            <v>Betsy Ross Arts Magnet School</v>
          </cell>
          <cell r="G40" t="str">
            <v>H</v>
          </cell>
          <cell r="H40">
            <v>3060</v>
          </cell>
          <cell r="I40">
            <v>7227</v>
          </cell>
          <cell r="J40">
            <v>0</v>
          </cell>
        </row>
        <row r="41">
          <cell r="E41" t="str">
            <v>0936011</v>
          </cell>
          <cell r="F41" t="str">
            <v>Metropolitan Business Academy</v>
          </cell>
          <cell r="G41" t="str">
            <v>H</v>
          </cell>
          <cell r="H41">
            <v>3060</v>
          </cell>
          <cell r="I41">
            <v>7227</v>
          </cell>
          <cell r="J41">
            <v>0</v>
          </cell>
        </row>
        <row r="42">
          <cell r="E42" t="str">
            <v>0936311</v>
          </cell>
          <cell r="F42" t="str">
            <v>Hill Regional Career High School</v>
          </cell>
          <cell r="G42" t="str">
            <v>H</v>
          </cell>
          <cell r="H42">
            <v>3060</v>
          </cell>
          <cell r="I42">
            <v>7227</v>
          </cell>
          <cell r="J42">
            <v>0</v>
          </cell>
        </row>
        <row r="43">
          <cell r="E43" t="str">
            <v>0936411</v>
          </cell>
          <cell r="F43" t="str">
            <v>Cooperative High School - Inter-District Magnet</v>
          </cell>
          <cell r="G43" t="str">
            <v>H</v>
          </cell>
          <cell r="H43">
            <v>3060</v>
          </cell>
          <cell r="I43">
            <v>7227</v>
          </cell>
          <cell r="J43">
            <v>0</v>
          </cell>
        </row>
        <row r="44">
          <cell r="E44" t="str">
            <v>0936611</v>
          </cell>
          <cell r="F44" t="str">
            <v>High School In The Community</v>
          </cell>
          <cell r="G44" t="str">
            <v>H</v>
          </cell>
          <cell r="H44">
            <v>3060</v>
          </cell>
          <cell r="I44">
            <v>7227</v>
          </cell>
          <cell r="J44">
            <v>0</v>
          </cell>
        </row>
        <row r="45">
          <cell r="E45" t="str">
            <v>0937011</v>
          </cell>
          <cell r="F45" t="str">
            <v>New Haven Academy</v>
          </cell>
          <cell r="G45" t="str">
            <v>H</v>
          </cell>
          <cell r="H45">
            <v>3060</v>
          </cell>
          <cell r="I45">
            <v>7227</v>
          </cell>
          <cell r="J45">
            <v>0</v>
          </cell>
        </row>
        <row r="46">
          <cell r="E46" t="str">
            <v>0950311</v>
          </cell>
          <cell r="F46" t="str">
            <v>CB Jennings International Elementary School</v>
          </cell>
          <cell r="G46" t="str">
            <v>H</v>
          </cell>
          <cell r="H46">
            <v>3060</v>
          </cell>
          <cell r="I46">
            <v>7227</v>
          </cell>
          <cell r="J46">
            <v>3712</v>
          </cell>
        </row>
        <row r="47">
          <cell r="E47" t="str">
            <v>0950811</v>
          </cell>
          <cell r="F47" t="str">
            <v>Winthrop STEM Elementary Magnet School</v>
          </cell>
          <cell r="G47" t="str">
            <v>H</v>
          </cell>
          <cell r="H47">
            <v>3060</v>
          </cell>
          <cell r="I47">
            <v>7227</v>
          </cell>
          <cell r="J47">
            <v>3712</v>
          </cell>
        </row>
        <row r="48">
          <cell r="E48" t="str">
            <v>0950911</v>
          </cell>
          <cell r="F48" t="str">
            <v>Nathan Hale Arts Magnet School</v>
          </cell>
          <cell r="G48" t="str">
            <v>H</v>
          </cell>
          <cell r="H48">
            <v>3060</v>
          </cell>
          <cell r="I48">
            <v>7227</v>
          </cell>
          <cell r="J48">
            <v>3712</v>
          </cell>
        </row>
        <row r="49">
          <cell r="E49" t="str">
            <v>0951111</v>
          </cell>
          <cell r="F49" t="str">
            <v>BP Mission Exploration Academy</v>
          </cell>
          <cell r="G49" t="str">
            <v>H</v>
          </cell>
          <cell r="H49">
            <v>3060</v>
          </cell>
          <cell r="I49">
            <v>7227</v>
          </cell>
          <cell r="J49">
            <v>0</v>
          </cell>
        </row>
        <row r="50">
          <cell r="E50" t="str">
            <v>0951211</v>
          </cell>
          <cell r="F50" t="str">
            <v>Science and Technology Magnet Pathway for Middle School Grades</v>
          </cell>
          <cell r="G50" t="str">
            <v>H</v>
          </cell>
          <cell r="H50">
            <v>3060</v>
          </cell>
          <cell r="I50">
            <v>7227</v>
          </cell>
          <cell r="J50">
            <v>4049</v>
          </cell>
        </row>
        <row r="51">
          <cell r="E51" t="str">
            <v>0951311</v>
          </cell>
          <cell r="F51" t="str">
            <v>Science and Technology Magnet Pathway for High School Grades</v>
          </cell>
          <cell r="G51" t="str">
            <v>H</v>
          </cell>
          <cell r="H51">
            <v>3060</v>
          </cell>
          <cell r="I51">
            <v>7227</v>
          </cell>
          <cell r="J51">
            <v>4049</v>
          </cell>
        </row>
        <row r="52">
          <cell r="E52" t="str">
            <v>0951411</v>
          </cell>
          <cell r="F52" t="str">
            <v>New London Visual and Performing Arts Magnet School</v>
          </cell>
          <cell r="G52" t="str">
            <v>H</v>
          </cell>
          <cell r="H52">
            <v>3060</v>
          </cell>
          <cell r="I52">
            <v>7227</v>
          </cell>
          <cell r="J52">
            <v>4049</v>
          </cell>
        </row>
        <row r="53">
          <cell r="E53" t="str">
            <v>1030511</v>
          </cell>
          <cell r="F53" t="str">
            <v>Center for Global Studies</v>
          </cell>
          <cell r="G53" t="str">
            <v>H</v>
          </cell>
          <cell r="H53">
            <v>3060</v>
          </cell>
          <cell r="I53">
            <v>7227</v>
          </cell>
          <cell r="J53">
            <v>0</v>
          </cell>
        </row>
        <row r="54">
          <cell r="E54" t="str">
            <v>1350711</v>
          </cell>
          <cell r="F54" t="str">
            <v>Strawberry Hill an ext. of Rogers International</v>
          </cell>
          <cell r="G54" t="str">
            <v>H</v>
          </cell>
          <cell r="H54">
            <v>3060</v>
          </cell>
          <cell r="I54">
            <v>7227</v>
          </cell>
          <cell r="J54">
            <v>0</v>
          </cell>
        </row>
        <row r="55">
          <cell r="E55" t="str">
            <v>1350811</v>
          </cell>
          <cell r="F55" t="str">
            <v>Rogers International School</v>
          </cell>
          <cell r="G55" t="str">
            <v>H</v>
          </cell>
          <cell r="H55">
            <v>3060</v>
          </cell>
          <cell r="I55">
            <v>7227</v>
          </cell>
          <cell r="J55">
            <v>0</v>
          </cell>
        </row>
        <row r="56">
          <cell r="E56" t="str">
            <v>1356411</v>
          </cell>
          <cell r="F56" t="str">
            <v>The Academy of Information, Technology &amp; Engineering</v>
          </cell>
          <cell r="G56" t="str">
            <v>H</v>
          </cell>
          <cell r="H56">
            <v>3060</v>
          </cell>
          <cell r="I56">
            <v>7227</v>
          </cell>
          <cell r="J56">
            <v>0</v>
          </cell>
        </row>
        <row r="57">
          <cell r="E57" t="str">
            <v>1513111</v>
          </cell>
          <cell r="F57" t="str">
            <v>Maloney Interdistrict Magnet School</v>
          </cell>
          <cell r="G57" t="str">
            <v>H</v>
          </cell>
          <cell r="H57">
            <v>3060</v>
          </cell>
          <cell r="I57">
            <v>7227</v>
          </cell>
          <cell r="J57">
            <v>0</v>
          </cell>
        </row>
        <row r="58">
          <cell r="E58" t="str">
            <v>1513311</v>
          </cell>
          <cell r="F58" t="str">
            <v>Rotella Interdistrict Magnet School</v>
          </cell>
          <cell r="G58" t="str">
            <v>H</v>
          </cell>
          <cell r="H58">
            <v>3060</v>
          </cell>
          <cell r="I58">
            <v>7227</v>
          </cell>
          <cell r="J58">
            <v>0</v>
          </cell>
        </row>
        <row r="59">
          <cell r="E59" t="str">
            <v>1516011</v>
          </cell>
          <cell r="F59" t="str">
            <v>Waterbury Arts Magnet School</v>
          </cell>
          <cell r="G59" t="str">
            <v>H</v>
          </cell>
          <cell r="H59">
            <v>3060</v>
          </cell>
          <cell r="I59">
            <v>7227</v>
          </cell>
          <cell r="J59">
            <v>0</v>
          </cell>
        </row>
        <row r="60">
          <cell r="E60" t="str">
            <v>1630411</v>
          </cell>
          <cell r="F60" t="str">
            <v>Charles H. Barrows STEM Academy</v>
          </cell>
          <cell r="G60" t="str">
            <v>H</v>
          </cell>
          <cell r="H60">
            <v>3060</v>
          </cell>
          <cell r="I60">
            <v>7227</v>
          </cell>
          <cell r="J60">
            <v>5663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FC6D-EA7D-48FC-B3AB-01B0900ED11D}">
  <dimension ref="A1:J37"/>
  <sheetViews>
    <sheetView tabSelected="1" workbookViewId="0">
      <selection activeCell="G22" sqref="G22"/>
    </sheetView>
  </sheetViews>
  <sheetFormatPr defaultRowHeight="14.25" x14ac:dyDescent="0.45"/>
  <cols>
    <col min="1" max="1" width="12.19921875" customWidth="1"/>
    <col min="2" max="2" width="9.33203125" bestFit="1" customWidth="1"/>
    <col min="3" max="3" width="12.6640625" bestFit="1" customWidth="1"/>
    <col min="4" max="4" width="11.06640625" bestFit="1" customWidth="1"/>
    <col min="5" max="6" width="10.86328125" bestFit="1" customWidth="1"/>
    <col min="7" max="7" width="9.33203125" bestFit="1" customWidth="1"/>
    <col min="8" max="8" width="10.86328125" bestFit="1" customWidth="1"/>
    <col min="9" max="9" width="13" customWidth="1"/>
    <col min="10" max="10" width="10.86328125" bestFit="1" customWidth="1"/>
  </cols>
  <sheetData>
    <row r="1" spans="1:10" ht="23.25" x14ac:dyDescent="0.7">
      <c r="A1" s="87" t="s">
        <v>551</v>
      </c>
      <c r="B1" s="88"/>
      <c r="C1" s="88"/>
      <c r="D1" s="88"/>
      <c r="E1" s="88"/>
      <c r="F1" s="88"/>
      <c r="G1" s="88"/>
      <c r="H1" s="88"/>
      <c r="I1" s="93"/>
    </row>
    <row r="2" spans="1:10" s="6" customFormat="1" ht="16.149999999999999" thickBot="1" x14ac:dyDescent="0.55000000000000004"/>
    <row r="3" spans="1:10" s="6" customFormat="1" ht="18" x14ac:dyDescent="0.55000000000000004">
      <c r="B3" s="90" t="s">
        <v>510</v>
      </c>
      <c r="C3" s="91"/>
      <c r="D3" s="91"/>
      <c r="E3" s="91"/>
      <c r="F3" s="91"/>
      <c r="G3" s="91"/>
      <c r="H3" s="91"/>
      <c r="I3" s="92"/>
    </row>
    <row r="4" spans="1:10" s="6" customFormat="1" ht="15.75" x14ac:dyDescent="0.5">
      <c r="B4" s="35" t="s">
        <v>511</v>
      </c>
      <c r="C4" s="35" t="s">
        <v>512</v>
      </c>
      <c r="D4" s="35" t="s">
        <v>513</v>
      </c>
      <c r="E4" s="35" t="s">
        <v>514</v>
      </c>
      <c r="F4" s="36" t="s">
        <v>515</v>
      </c>
      <c r="G4" s="36" t="s">
        <v>516</v>
      </c>
      <c r="H4" s="37" t="s">
        <v>517</v>
      </c>
      <c r="I4" s="35" t="s">
        <v>518</v>
      </c>
    </row>
    <row r="5" spans="1:10" s="6" customFormat="1" ht="15.75" x14ac:dyDescent="0.5">
      <c r="B5" s="38"/>
      <c r="C5" s="39"/>
      <c r="D5" s="39"/>
      <c r="E5" s="39"/>
      <c r="F5" s="38"/>
      <c r="G5" s="38"/>
      <c r="H5" s="40" t="s">
        <v>519</v>
      </c>
      <c r="I5" s="39" t="s">
        <v>520</v>
      </c>
    </row>
    <row r="6" spans="1:10" s="6" customFormat="1" ht="15.75" x14ac:dyDescent="0.5">
      <c r="B6" s="39"/>
      <c r="C6" s="39" t="s">
        <v>208</v>
      </c>
      <c r="D6" s="39" t="s">
        <v>521</v>
      </c>
      <c r="E6" s="39" t="s">
        <v>522</v>
      </c>
      <c r="F6" s="41" t="s">
        <v>208</v>
      </c>
      <c r="G6" s="41" t="s">
        <v>523</v>
      </c>
      <c r="H6" s="41" t="s">
        <v>524</v>
      </c>
      <c r="I6" s="39"/>
    </row>
    <row r="7" spans="1:10" s="6" customFormat="1" ht="15.75" x14ac:dyDescent="0.5">
      <c r="B7" s="42" t="s">
        <v>525</v>
      </c>
      <c r="C7" s="42" t="s">
        <v>526</v>
      </c>
      <c r="D7" s="42" t="s">
        <v>526</v>
      </c>
      <c r="E7" s="42" t="s">
        <v>527</v>
      </c>
      <c r="F7" s="43" t="s">
        <v>528</v>
      </c>
      <c r="G7" s="43" t="s">
        <v>528</v>
      </c>
      <c r="H7" s="43" t="s">
        <v>529</v>
      </c>
      <c r="I7" s="42" t="s">
        <v>530</v>
      </c>
    </row>
    <row r="8" spans="1:10" s="6" customFormat="1" ht="15.75" x14ac:dyDescent="0.5">
      <c r="A8" s="13" t="s">
        <v>549</v>
      </c>
      <c r="B8" s="15">
        <f>SUM(C8+D8)</f>
        <v>279</v>
      </c>
      <c r="C8" s="16">
        <f>'PSIS Reporting used for BOE Cal'!Y48</f>
        <v>67</v>
      </c>
      <c r="D8" s="16">
        <f>'PSIS Reporting used for BOE Cal'!Z48</f>
        <v>212</v>
      </c>
      <c r="E8" s="65">
        <f>ROUND(+C8/B8,4)</f>
        <v>0.24010000000000001</v>
      </c>
      <c r="F8" s="66">
        <v>0</v>
      </c>
      <c r="G8" s="66">
        <f>'Codes Rates Tuition '!I3</f>
        <v>13315</v>
      </c>
      <c r="H8" s="66">
        <f>+(C8*F8)+(D8*G8)</f>
        <v>2822780</v>
      </c>
      <c r="I8" s="67">
        <f>H8</f>
        <v>2822780</v>
      </c>
    </row>
    <row r="9" spans="1:10" s="6" customFormat="1" ht="15.75" x14ac:dyDescent="0.5">
      <c r="A9" s="13" t="s">
        <v>550</v>
      </c>
      <c r="B9" s="15">
        <f>SUM(C9+D9)</f>
        <v>337</v>
      </c>
      <c r="C9" s="14">
        <f>'PSIS Reporting used for BOE Cal'!Y159</f>
        <v>258</v>
      </c>
      <c r="D9" s="14">
        <f>'PSIS Reporting used for BOE Cal'!Z159</f>
        <v>79</v>
      </c>
      <c r="E9" s="65">
        <f>ROUND(+C9/B9,4)</f>
        <v>0.76559999999999995</v>
      </c>
      <c r="F9" s="66">
        <f>'Codes Rates Tuition '!H9</f>
        <v>3060</v>
      </c>
      <c r="G9" s="66">
        <f>'Codes Rates Tuition '!I9</f>
        <v>7227</v>
      </c>
      <c r="H9" s="66">
        <f>+(C9*F9)+(D9*G9)</f>
        <v>1360413</v>
      </c>
      <c r="I9" s="67">
        <f>H9</f>
        <v>1360413</v>
      </c>
    </row>
    <row r="10" spans="1:10" s="6" customFormat="1" ht="15.75" x14ac:dyDescent="0.5"/>
    <row r="11" spans="1:10" s="6" customFormat="1" ht="15.75" x14ac:dyDescent="0.5"/>
    <row r="12" spans="1:10" s="6" customFormat="1" ht="18" x14ac:dyDescent="0.55000000000000004">
      <c r="A12" s="94" t="s">
        <v>531</v>
      </c>
      <c r="B12" s="94"/>
      <c r="C12" s="94"/>
      <c r="D12" s="94"/>
      <c r="E12" s="94"/>
      <c r="F12" s="94"/>
      <c r="G12" s="94"/>
      <c r="H12" s="94"/>
      <c r="I12" s="94"/>
      <c r="J12" s="94"/>
    </row>
    <row r="13" spans="1:10" s="6" customFormat="1" ht="15.75" x14ac:dyDescent="0.5">
      <c r="A13" s="8"/>
      <c r="B13" s="9"/>
      <c r="C13" s="8"/>
      <c r="D13" s="8"/>
      <c r="E13" s="8"/>
      <c r="F13" s="8"/>
      <c r="G13" s="8"/>
      <c r="H13" s="8"/>
      <c r="I13" s="7"/>
      <c r="J13" s="7"/>
    </row>
    <row r="14" spans="1:10" s="6" customFormat="1" ht="18" x14ac:dyDescent="0.55000000000000004">
      <c r="A14" s="17" t="s">
        <v>532</v>
      </c>
      <c r="B14" s="7"/>
      <c r="C14" s="7"/>
      <c r="D14" s="7"/>
      <c r="E14" s="8">
        <v>1</v>
      </c>
      <c r="F14" s="8">
        <v>2</v>
      </c>
      <c r="G14" s="8">
        <v>3</v>
      </c>
      <c r="H14" s="7"/>
      <c r="I14" s="7"/>
      <c r="J14" s="7"/>
    </row>
    <row r="15" spans="1:10" s="6" customFormat="1" ht="94.5" x14ac:dyDescent="0.5">
      <c r="A15" s="44" t="s">
        <v>533</v>
      </c>
      <c r="B15" s="45" t="s">
        <v>534</v>
      </c>
      <c r="C15" s="44" t="s">
        <v>535</v>
      </c>
      <c r="D15" s="44" t="s">
        <v>536</v>
      </c>
      <c r="E15" s="44" t="s">
        <v>537</v>
      </c>
      <c r="F15" s="44" t="s">
        <v>547</v>
      </c>
      <c r="G15" s="44" t="s">
        <v>538</v>
      </c>
      <c r="H15" s="44" t="s">
        <v>548</v>
      </c>
      <c r="I15" s="44" t="s">
        <v>539</v>
      </c>
      <c r="J15" s="44" t="s">
        <v>540</v>
      </c>
    </row>
    <row r="16" spans="1:10" s="6" customFormat="1" ht="15.75" x14ac:dyDescent="0.5">
      <c r="A16" s="13" t="s">
        <v>549</v>
      </c>
      <c r="B16" s="10" t="s">
        <v>214</v>
      </c>
      <c r="C16" s="68">
        <f>SUM('PSIS Reporting used for BOE Cal'!V3:V47)</f>
        <v>2997347</v>
      </c>
      <c r="D16" s="68">
        <f>SUM('PSIS Reporting used for BOE Cal'!W3:W47)</f>
        <v>0</v>
      </c>
      <c r="E16" s="68">
        <f>C16+D16</f>
        <v>2997347</v>
      </c>
      <c r="F16" s="68">
        <f>'Local and Regional BOEGrant Cal'!I8</f>
        <v>2822780</v>
      </c>
      <c r="G16" s="11">
        <f t="shared" ref="G16:G17" si="0">ROUND(0.42*(E16-F16),0)</f>
        <v>73318</v>
      </c>
      <c r="H16" s="11">
        <f>F16+G16</f>
        <v>2896098</v>
      </c>
      <c r="I16" s="10"/>
      <c r="J16" s="12">
        <f>H16+I16</f>
        <v>2896098</v>
      </c>
    </row>
    <row r="17" spans="1:10" s="6" customFormat="1" ht="15.75" x14ac:dyDescent="0.5">
      <c r="A17" s="13" t="s">
        <v>550</v>
      </c>
      <c r="B17" s="14" t="s">
        <v>212</v>
      </c>
      <c r="C17" s="69">
        <f>'PSIS Reporting used for BOE Cal'!V159</f>
        <v>1021952</v>
      </c>
      <c r="D17" s="69">
        <f>+'PSIS Reporting used for BOE Cal'!W159</f>
        <v>789480</v>
      </c>
      <c r="E17" s="68">
        <f>C17+D17</f>
        <v>1811432</v>
      </c>
      <c r="F17" s="68">
        <f>'Local and Regional BOEGrant Cal'!I9</f>
        <v>1360413</v>
      </c>
      <c r="G17" s="11">
        <f t="shared" si="0"/>
        <v>189428</v>
      </c>
      <c r="H17" s="11">
        <f>F17+G17</f>
        <v>1549841</v>
      </c>
      <c r="I17" s="14"/>
      <c r="J17" s="12">
        <f>H17+I17</f>
        <v>1549841</v>
      </c>
    </row>
    <row r="18" spans="1:10" s="6" customFormat="1" ht="15.75" x14ac:dyDescent="0.5"/>
    <row r="19" spans="1:10" s="6" customFormat="1" ht="15.75" x14ac:dyDescent="0.5"/>
    <row r="20" spans="1:10" s="6" customFormat="1" ht="15.75" x14ac:dyDescent="0.5"/>
    <row r="21" spans="1:10" s="6" customFormat="1" ht="15.75" x14ac:dyDescent="0.5"/>
    <row r="22" spans="1:10" s="6" customFormat="1" ht="15.75" x14ac:dyDescent="0.5"/>
    <row r="23" spans="1:10" s="6" customFormat="1" ht="15.75" x14ac:dyDescent="0.5"/>
    <row r="24" spans="1:10" s="6" customFormat="1" ht="15.75" x14ac:dyDescent="0.5"/>
    <row r="25" spans="1:10" s="6" customFormat="1" ht="15.75" x14ac:dyDescent="0.5"/>
    <row r="26" spans="1:10" s="6" customFormat="1" ht="15.75" x14ac:dyDescent="0.5"/>
    <row r="27" spans="1:10" s="6" customFormat="1" ht="15.75" x14ac:dyDescent="0.5"/>
    <row r="28" spans="1:10" s="6" customFormat="1" ht="15.75" x14ac:dyDescent="0.5"/>
    <row r="29" spans="1:10" s="6" customFormat="1" ht="15.75" x14ac:dyDescent="0.5"/>
    <row r="30" spans="1:10" s="6" customFormat="1" ht="15.75" x14ac:dyDescent="0.5"/>
    <row r="31" spans="1:10" s="6" customFormat="1" ht="15.75" x14ac:dyDescent="0.5"/>
    <row r="32" spans="1:10" s="6" customFormat="1" ht="15.75" x14ac:dyDescent="0.5"/>
    <row r="33" s="6" customFormat="1" ht="15.75" x14ac:dyDescent="0.5"/>
    <row r="34" s="6" customFormat="1" ht="15.75" x14ac:dyDescent="0.5"/>
    <row r="35" s="6" customFormat="1" ht="15.75" x14ac:dyDescent="0.5"/>
    <row r="36" s="6" customFormat="1" ht="15.75" x14ac:dyDescent="0.5"/>
    <row r="37" s="6" customFormat="1" ht="15.75" x14ac:dyDescent="0.5"/>
  </sheetData>
  <mergeCells count="3">
    <mergeCell ref="B3:I3"/>
    <mergeCell ref="A1:I1"/>
    <mergeCell ref="A12:J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282A-E875-458C-B75D-F0C07A040BE9}">
  <dimension ref="A1:Z160"/>
  <sheetViews>
    <sheetView topLeftCell="C29" workbookViewId="0">
      <selection activeCell="Q55" sqref="Q55"/>
    </sheetView>
  </sheetViews>
  <sheetFormatPr defaultColWidth="9.19921875" defaultRowHeight="15.75" x14ac:dyDescent="0.5"/>
  <cols>
    <col min="1" max="1" width="17.86328125" style="6" hidden="1" customWidth="1"/>
    <col min="2" max="2" width="17.3984375" style="6" hidden="1" customWidth="1"/>
    <col min="3" max="3" width="20.06640625" style="6" bestFit="1" customWidth="1"/>
    <col min="4" max="4" width="17.73046875" style="6" bestFit="1" customWidth="1"/>
    <col min="5" max="5" width="9.33203125" style="6" bestFit="1" customWidth="1"/>
    <col min="6" max="6" width="9.19921875" style="6"/>
    <col min="7" max="7" width="0" style="6" hidden="1" customWidth="1"/>
    <col min="8" max="8" width="9.19921875" style="6"/>
    <col min="9" max="12" width="0" style="6" hidden="1" customWidth="1"/>
    <col min="13" max="13" width="9.19921875" style="6"/>
    <col min="14" max="16" width="0" style="6" hidden="1" customWidth="1"/>
    <col min="17" max="17" width="9.33203125" style="6" bestFit="1" customWidth="1"/>
    <col min="18" max="19" width="11.9296875" style="51" bestFit="1" customWidth="1"/>
    <col min="20" max="20" width="10.86328125" style="51" bestFit="1" customWidth="1"/>
    <col min="21" max="21" width="11.9296875" style="51" bestFit="1" customWidth="1"/>
    <col min="22" max="22" width="14.6640625" style="51" bestFit="1" customWidth="1"/>
    <col min="23" max="23" width="13.06640625" style="51" bestFit="1" customWidth="1"/>
    <col min="24" max="24" width="9.19921875" style="6"/>
    <col min="25" max="26" width="9.33203125" style="6" bestFit="1" customWidth="1"/>
    <col min="27" max="16384" width="9.19921875" style="6"/>
  </cols>
  <sheetData>
    <row r="1" spans="1:26" ht="23.25" x14ac:dyDescent="0.7">
      <c r="C1" s="87" t="s">
        <v>561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63" x14ac:dyDescent="0.5">
      <c r="A2" s="20" t="s">
        <v>28</v>
      </c>
      <c r="B2" s="20" t="s">
        <v>27</v>
      </c>
      <c r="C2" s="55" t="s">
        <v>558</v>
      </c>
      <c r="D2" s="55" t="s">
        <v>556</v>
      </c>
      <c r="E2" s="55" t="s">
        <v>557</v>
      </c>
      <c r="F2" s="55" t="s">
        <v>26</v>
      </c>
      <c r="G2" s="55" t="s">
        <v>25</v>
      </c>
      <c r="H2" s="55" t="s">
        <v>559</v>
      </c>
      <c r="I2" s="55" t="s">
        <v>24</v>
      </c>
      <c r="J2" s="55" t="s">
        <v>23</v>
      </c>
      <c r="K2" s="55" t="s">
        <v>22</v>
      </c>
      <c r="L2" s="55" t="s">
        <v>21</v>
      </c>
      <c r="M2" s="56" t="s">
        <v>20</v>
      </c>
      <c r="N2" s="21" t="s">
        <v>19</v>
      </c>
      <c r="O2" s="21" t="s">
        <v>18</v>
      </c>
      <c r="P2" s="21" t="s">
        <v>17</v>
      </c>
      <c r="Q2" s="57" t="s">
        <v>16</v>
      </c>
      <c r="R2" s="58" t="s">
        <v>15</v>
      </c>
      <c r="S2" s="58" t="s">
        <v>14</v>
      </c>
      <c r="T2" s="58" t="s">
        <v>13</v>
      </c>
      <c r="U2" s="58" t="s">
        <v>12</v>
      </c>
      <c r="V2" s="58" t="s">
        <v>11</v>
      </c>
      <c r="W2" s="58" t="s">
        <v>10</v>
      </c>
      <c r="X2" s="59"/>
      <c r="Y2" s="57" t="s">
        <v>9</v>
      </c>
      <c r="Z2" s="57" t="s">
        <v>8</v>
      </c>
    </row>
    <row r="3" spans="1:26" x14ac:dyDescent="0.5">
      <c r="A3" s="22">
        <v>11</v>
      </c>
      <c r="B3" s="22">
        <v>8</v>
      </c>
      <c r="C3" s="22">
        <v>11</v>
      </c>
      <c r="D3" s="22">
        <v>4</v>
      </c>
      <c r="E3" s="22">
        <v>6</v>
      </c>
      <c r="F3" s="70" t="s">
        <v>549</v>
      </c>
      <c r="G3" s="71" t="s">
        <v>3</v>
      </c>
      <c r="H3" s="71" t="s">
        <v>7</v>
      </c>
      <c r="I3" s="71" t="s">
        <v>1</v>
      </c>
      <c r="J3" s="71" t="s">
        <v>0</v>
      </c>
      <c r="K3" s="71" t="s">
        <v>0</v>
      </c>
      <c r="L3" s="71" t="s">
        <v>0</v>
      </c>
      <c r="M3" s="7" t="str">
        <f t="shared" ref="M3:M47" si="0">IF(G3="0000000",F3,G3)</f>
        <v>0110811</v>
      </c>
      <c r="N3" s="7">
        <f t="shared" ref="N3:N47" si="1">IF(L3="Y",E3,0)</f>
        <v>0</v>
      </c>
      <c r="O3" s="7">
        <f t="shared" ref="O3:O47" si="2">IF(K3="N",0,E3)</f>
        <v>0</v>
      </c>
      <c r="P3" s="7">
        <f t="shared" ref="P3:P47" si="3">IF(J3="N",0,E3)</f>
        <v>0</v>
      </c>
      <c r="Q3" s="6">
        <f t="shared" ref="Q3:Q47" si="4">IF(C3=D3,0,1)</f>
        <v>1</v>
      </c>
      <c r="R3" s="50">
        <f>(IF(Q3=1,VLOOKUP(D3,'Sending Dist Weighted Fund PP'!$A$3:$E$171,5),0))</f>
        <v>11960.61</v>
      </c>
      <c r="S3" s="50">
        <f>IF(Q3=1,(VLOOKUP(M3,'Codes Rates Tuition '!$E$3:$I$61,5,FALSE)),0)</f>
        <v>13315</v>
      </c>
      <c r="T3" s="50">
        <f>IF(OR(H3="PK",H3="P3"),0,(IF(Q3=1,VLOOKUP(M3,'[3]Codes Rates Tuition'!$E$2:$J$60,6,FALSE),0)))</f>
        <v>0</v>
      </c>
      <c r="U3" s="50">
        <f t="shared" ref="U3:U47" si="5">MAX(R3,S3+T3)</f>
        <v>13315</v>
      </c>
      <c r="V3" s="50">
        <f t="shared" ref="V3:V47" si="6">ROUND(U3*E3,0)</f>
        <v>79890</v>
      </c>
      <c r="W3" s="50">
        <f>E3*IF(Q3=0,VLOOKUP(M3,'Codes Rates Tuition '!$E$3:$J$61,4,FALSE),0)</f>
        <v>0</v>
      </c>
      <c r="X3" s="7"/>
      <c r="Y3" s="6">
        <f t="shared" ref="Y3:Y47" si="7">IF(Q3=0,E3,0)</f>
        <v>0</v>
      </c>
      <c r="Z3" s="6">
        <f t="shared" ref="Z3:Z47" si="8">IF(Q3=1,E3,0)</f>
        <v>6</v>
      </c>
    </row>
    <row r="4" spans="1:26" x14ac:dyDescent="0.5">
      <c r="A4" s="22">
        <v>11</v>
      </c>
      <c r="B4" s="22">
        <v>8</v>
      </c>
      <c r="C4" s="22">
        <v>11</v>
      </c>
      <c r="D4" s="22">
        <v>4</v>
      </c>
      <c r="E4" s="22">
        <v>11</v>
      </c>
      <c r="F4" s="70" t="s">
        <v>549</v>
      </c>
      <c r="G4" s="71" t="s">
        <v>3</v>
      </c>
      <c r="H4" s="71" t="s">
        <v>2</v>
      </c>
      <c r="I4" s="71" t="s">
        <v>1</v>
      </c>
      <c r="J4" s="71" t="s">
        <v>0</v>
      </c>
      <c r="K4" s="71" t="s">
        <v>0</v>
      </c>
      <c r="L4" s="71" t="s">
        <v>0</v>
      </c>
      <c r="M4" s="7" t="str">
        <f t="shared" si="0"/>
        <v>0110811</v>
      </c>
      <c r="N4" s="7">
        <f t="shared" si="1"/>
        <v>0</v>
      </c>
      <c r="O4" s="7">
        <f t="shared" si="2"/>
        <v>0</v>
      </c>
      <c r="P4" s="7">
        <f t="shared" si="3"/>
        <v>0</v>
      </c>
      <c r="Q4" s="6">
        <f t="shared" si="4"/>
        <v>1</v>
      </c>
      <c r="R4" s="50">
        <f>(IF(Q4=1,VLOOKUP(D4,'Sending Dist Weighted Fund PP'!$A$3:$E$171,5),0))</f>
        <v>11960.61</v>
      </c>
      <c r="S4" s="50">
        <f>IF(Q4=1,(VLOOKUP(M4,'Codes Rates Tuition '!$E$3:$I$61,5,FALSE)),0)</f>
        <v>13315</v>
      </c>
      <c r="T4" s="50">
        <f>IF(OR(H4="PK",H4="P3"),0,(IF(Q4=1,VLOOKUP(M4,'[3]Codes Rates Tuition'!$E$2:$J$60,6,FALSE),0)))</f>
        <v>0</v>
      </c>
      <c r="U4" s="50">
        <f t="shared" si="5"/>
        <v>13315</v>
      </c>
      <c r="V4" s="50">
        <f t="shared" si="6"/>
        <v>146465</v>
      </c>
      <c r="W4" s="50">
        <f>E4*IF(Q4=0,VLOOKUP(M4,'Codes Rates Tuition '!$E$3:$J$61,4,FALSE),0)</f>
        <v>0</v>
      </c>
      <c r="X4" s="7"/>
      <c r="Y4" s="6">
        <f t="shared" si="7"/>
        <v>0</v>
      </c>
      <c r="Z4" s="6">
        <f t="shared" si="8"/>
        <v>11</v>
      </c>
    </row>
    <row r="5" spans="1:26" x14ac:dyDescent="0.5">
      <c r="A5" s="22">
        <v>11</v>
      </c>
      <c r="B5" s="22">
        <v>8</v>
      </c>
      <c r="C5" s="22">
        <v>11</v>
      </c>
      <c r="D5" s="22">
        <v>4</v>
      </c>
      <c r="E5" s="22">
        <v>1</v>
      </c>
      <c r="F5" s="70" t="s">
        <v>549</v>
      </c>
      <c r="G5" s="71" t="s">
        <v>3</v>
      </c>
      <c r="H5" s="71" t="s">
        <v>2</v>
      </c>
      <c r="I5" s="71" t="s">
        <v>1</v>
      </c>
      <c r="J5" s="71" t="s">
        <v>5</v>
      </c>
      <c r="K5" s="71" t="s">
        <v>0</v>
      </c>
      <c r="L5" s="71" t="s">
        <v>0</v>
      </c>
      <c r="M5" s="7" t="str">
        <f t="shared" si="0"/>
        <v>0110811</v>
      </c>
      <c r="N5" s="7">
        <f t="shared" si="1"/>
        <v>0</v>
      </c>
      <c r="O5" s="7">
        <f t="shared" si="2"/>
        <v>0</v>
      </c>
      <c r="P5" s="7">
        <f t="shared" si="3"/>
        <v>1</v>
      </c>
      <c r="Q5" s="6">
        <f t="shared" si="4"/>
        <v>1</v>
      </c>
      <c r="R5" s="50">
        <f>(IF(Q5=1,VLOOKUP(D5,'Sending Dist Weighted Fund PP'!$A$3:$E$171,5),0))</f>
        <v>11960.61</v>
      </c>
      <c r="S5" s="50">
        <f>IF(Q5=1,(VLOOKUP(M5,'Codes Rates Tuition '!$E$3:$I$61,5,FALSE)),0)</f>
        <v>13315</v>
      </c>
      <c r="T5" s="50">
        <f>IF(OR(H5="PK",H5="P3"),0,(IF(Q5=1,VLOOKUP(M5,'[3]Codes Rates Tuition'!$E$2:$J$60,6,FALSE),0)))</f>
        <v>0</v>
      </c>
      <c r="U5" s="50">
        <f t="shared" si="5"/>
        <v>13315</v>
      </c>
      <c r="V5" s="50">
        <f t="shared" si="6"/>
        <v>13315</v>
      </c>
      <c r="W5" s="50">
        <f>E5*IF(Q5=0,VLOOKUP(M5,'Codes Rates Tuition '!$E$3:$J$61,4,FALSE),0)</f>
        <v>0</v>
      </c>
      <c r="X5" s="7"/>
      <c r="Y5" s="6">
        <f t="shared" si="7"/>
        <v>0</v>
      </c>
      <c r="Z5" s="6">
        <f t="shared" si="8"/>
        <v>1</v>
      </c>
    </row>
    <row r="6" spans="1:26" x14ac:dyDescent="0.5">
      <c r="A6" s="22">
        <v>11</v>
      </c>
      <c r="B6" s="22">
        <v>8</v>
      </c>
      <c r="C6" s="22">
        <v>11</v>
      </c>
      <c r="D6" s="22">
        <v>11</v>
      </c>
      <c r="E6" s="22">
        <v>6</v>
      </c>
      <c r="F6" s="70" t="s">
        <v>549</v>
      </c>
      <c r="G6" s="71" t="s">
        <v>3</v>
      </c>
      <c r="H6" s="71" t="s">
        <v>7</v>
      </c>
      <c r="I6" s="71" t="s">
        <v>1</v>
      </c>
      <c r="J6" s="71" t="s">
        <v>0</v>
      </c>
      <c r="K6" s="71" t="s">
        <v>4</v>
      </c>
      <c r="L6" s="71" t="s">
        <v>0</v>
      </c>
      <c r="M6" s="7" t="str">
        <f t="shared" si="0"/>
        <v>0110811</v>
      </c>
      <c r="N6" s="7">
        <f t="shared" si="1"/>
        <v>0</v>
      </c>
      <c r="O6" s="7">
        <f t="shared" si="2"/>
        <v>6</v>
      </c>
      <c r="P6" s="7">
        <f t="shared" si="3"/>
        <v>0</v>
      </c>
      <c r="Q6" s="6">
        <f t="shared" si="4"/>
        <v>0</v>
      </c>
      <c r="R6" s="50">
        <f>(IF(Q6=1,VLOOKUP(D6,'Sending Dist Weighted Fund PP'!$A$3:$E$171,5),0))</f>
        <v>0</v>
      </c>
      <c r="S6" s="50">
        <f>IF(Q6=1,(VLOOKUP(M6,'Codes Rates Tuition '!$E$3:$I$61,5,FALSE)),0)</f>
        <v>0</v>
      </c>
      <c r="T6" s="50">
        <f>IF(OR(H6="PK",H6="P3"),0,(IF(Q6=1,VLOOKUP(M6,'[3]Codes Rates Tuition'!$E$2:$J$60,6,FALSE),0)))</f>
        <v>0</v>
      </c>
      <c r="U6" s="50">
        <f t="shared" si="5"/>
        <v>0</v>
      </c>
      <c r="V6" s="50">
        <f t="shared" si="6"/>
        <v>0</v>
      </c>
      <c r="W6" s="50">
        <f>E6*IF(Q6=0,VLOOKUP(M6,'Codes Rates Tuition '!$E$3:$J$61,4,FALSE),0)</f>
        <v>0</v>
      </c>
      <c r="X6" s="7"/>
      <c r="Y6" s="6">
        <f t="shared" si="7"/>
        <v>6</v>
      </c>
      <c r="Z6" s="6">
        <f t="shared" si="8"/>
        <v>0</v>
      </c>
    </row>
    <row r="7" spans="1:26" x14ac:dyDescent="0.5">
      <c r="A7" s="22">
        <v>11</v>
      </c>
      <c r="B7" s="22">
        <v>8</v>
      </c>
      <c r="C7" s="22">
        <v>11</v>
      </c>
      <c r="D7" s="22">
        <v>11</v>
      </c>
      <c r="E7" s="22">
        <v>18</v>
      </c>
      <c r="F7" s="70" t="s">
        <v>549</v>
      </c>
      <c r="G7" s="71" t="s">
        <v>3</v>
      </c>
      <c r="H7" s="71" t="s">
        <v>7</v>
      </c>
      <c r="I7" s="71" t="s">
        <v>1</v>
      </c>
      <c r="J7" s="71" t="s">
        <v>0</v>
      </c>
      <c r="K7" s="71" t="s">
        <v>0</v>
      </c>
      <c r="L7" s="71" t="s">
        <v>0</v>
      </c>
      <c r="M7" s="7" t="str">
        <f t="shared" si="0"/>
        <v>0110811</v>
      </c>
      <c r="N7" s="7">
        <f t="shared" si="1"/>
        <v>0</v>
      </c>
      <c r="O7" s="7">
        <f t="shared" si="2"/>
        <v>0</v>
      </c>
      <c r="P7" s="7">
        <f t="shared" si="3"/>
        <v>0</v>
      </c>
      <c r="Q7" s="6">
        <f t="shared" si="4"/>
        <v>0</v>
      </c>
      <c r="R7" s="50">
        <f>(IF(Q7=1,VLOOKUP(D7,'Sending Dist Weighted Fund PP'!$A$3:$E$171,5),0))</f>
        <v>0</v>
      </c>
      <c r="S7" s="50">
        <f>IF(Q7=1,(VLOOKUP(M7,'Codes Rates Tuition '!$E$3:$I$61,5,FALSE)),0)</f>
        <v>0</v>
      </c>
      <c r="T7" s="50">
        <f>IF(OR(H7="PK",H7="P3"),0,(IF(Q7=1,VLOOKUP(M7,'[3]Codes Rates Tuition'!$E$2:$J$60,6,FALSE),0)))</f>
        <v>0</v>
      </c>
      <c r="U7" s="50">
        <f t="shared" si="5"/>
        <v>0</v>
      </c>
      <c r="V7" s="50">
        <f t="shared" si="6"/>
        <v>0</v>
      </c>
      <c r="W7" s="50">
        <f>E7*IF(Q7=0,VLOOKUP(M7,'Codes Rates Tuition '!$E$3:$J$61,4,FALSE),0)</f>
        <v>0</v>
      </c>
      <c r="X7" s="7"/>
      <c r="Y7" s="6">
        <f t="shared" si="7"/>
        <v>18</v>
      </c>
      <c r="Z7" s="6">
        <f t="shared" si="8"/>
        <v>0</v>
      </c>
    </row>
    <row r="8" spans="1:26" x14ac:dyDescent="0.5">
      <c r="A8" s="22">
        <v>11</v>
      </c>
      <c r="B8" s="22">
        <v>8</v>
      </c>
      <c r="C8" s="22">
        <v>11</v>
      </c>
      <c r="D8" s="22">
        <v>11</v>
      </c>
      <c r="E8" s="22">
        <v>3</v>
      </c>
      <c r="F8" s="70" t="s">
        <v>549</v>
      </c>
      <c r="G8" s="71" t="s">
        <v>3</v>
      </c>
      <c r="H8" s="71" t="s">
        <v>7</v>
      </c>
      <c r="I8" s="71" t="s">
        <v>1</v>
      </c>
      <c r="J8" s="71" t="s">
        <v>0</v>
      </c>
      <c r="K8" s="71" t="s">
        <v>6</v>
      </c>
      <c r="L8" s="71" t="s">
        <v>0</v>
      </c>
      <c r="M8" s="7" t="str">
        <f t="shared" si="0"/>
        <v>0110811</v>
      </c>
      <c r="N8" s="7">
        <f t="shared" si="1"/>
        <v>0</v>
      </c>
      <c r="O8" s="7">
        <f t="shared" si="2"/>
        <v>3</v>
      </c>
      <c r="P8" s="7">
        <f t="shared" si="3"/>
        <v>0</v>
      </c>
      <c r="Q8" s="6">
        <f t="shared" si="4"/>
        <v>0</v>
      </c>
      <c r="R8" s="50">
        <f>(IF(Q8=1,VLOOKUP(D8,'Sending Dist Weighted Fund PP'!$A$3:$E$171,5),0))</f>
        <v>0</v>
      </c>
      <c r="S8" s="50">
        <f>IF(Q8=1,(VLOOKUP(M8,'Codes Rates Tuition '!$E$3:$I$61,5,FALSE)),0)</f>
        <v>0</v>
      </c>
      <c r="T8" s="50">
        <f>IF(OR(H8="PK",H8="P3"),0,(IF(Q8=1,VLOOKUP(M8,'[3]Codes Rates Tuition'!$E$2:$J$60,6,FALSE),0)))</f>
        <v>0</v>
      </c>
      <c r="U8" s="50">
        <f t="shared" si="5"/>
        <v>0</v>
      </c>
      <c r="V8" s="50">
        <f t="shared" si="6"/>
        <v>0</v>
      </c>
      <c r="W8" s="50">
        <f>E8*IF(Q8=0,VLOOKUP(M8,'Codes Rates Tuition '!$E$3:$J$61,4,FALSE),0)</f>
        <v>0</v>
      </c>
      <c r="X8" s="7"/>
      <c r="Y8" s="6">
        <f t="shared" si="7"/>
        <v>3</v>
      </c>
      <c r="Z8" s="6">
        <f t="shared" si="8"/>
        <v>0</v>
      </c>
    </row>
    <row r="9" spans="1:26" x14ac:dyDescent="0.5">
      <c r="A9" s="22">
        <v>11</v>
      </c>
      <c r="B9" s="22">
        <v>8</v>
      </c>
      <c r="C9" s="22">
        <v>11</v>
      </c>
      <c r="D9" s="22">
        <v>11</v>
      </c>
      <c r="E9" s="22">
        <v>1</v>
      </c>
      <c r="F9" s="70" t="s">
        <v>549</v>
      </c>
      <c r="G9" s="71" t="s">
        <v>3</v>
      </c>
      <c r="H9" s="71" t="s">
        <v>7</v>
      </c>
      <c r="I9" s="71" t="s">
        <v>1</v>
      </c>
      <c r="J9" s="71" t="s">
        <v>5</v>
      </c>
      <c r="K9" s="71" t="s">
        <v>4</v>
      </c>
      <c r="L9" s="71" t="s">
        <v>0</v>
      </c>
      <c r="M9" s="7" t="str">
        <f t="shared" si="0"/>
        <v>0110811</v>
      </c>
      <c r="N9" s="7">
        <f t="shared" si="1"/>
        <v>0</v>
      </c>
      <c r="O9" s="7">
        <f t="shared" si="2"/>
        <v>1</v>
      </c>
      <c r="P9" s="7">
        <f t="shared" si="3"/>
        <v>1</v>
      </c>
      <c r="Q9" s="6">
        <f t="shared" si="4"/>
        <v>0</v>
      </c>
      <c r="R9" s="50">
        <f>(IF(Q9=1,VLOOKUP(D9,'Sending Dist Weighted Fund PP'!$A$3:$E$171,5),0))</f>
        <v>0</v>
      </c>
      <c r="S9" s="50">
        <f>IF(Q9=1,(VLOOKUP(M9,'Codes Rates Tuition '!$E$3:$I$61,5,FALSE)),0)</f>
        <v>0</v>
      </c>
      <c r="T9" s="50">
        <f>IF(OR(H9="PK",H9="P3"),0,(IF(Q9=1,VLOOKUP(M9,'[3]Codes Rates Tuition'!$E$2:$J$60,6,FALSE),0)))</f>
        <v>0</v>
      </c>
      <c r="U9" s="50">
        <f t="shared" si="5"/>
        <v>0</v>
      </c>
      <c r="V9" s="50">
        <f t="shared" si="6"/>
        <v>0</v>
      </c>
      <c r="W9" s="50">
        <f>E9*IF(Q9=0,VLOOKUP(M9,'Codes Rates Tuition '!$E$3:$J$61,4,FALSE),0)</f>
        <v>0</v>
      </c>
      <c r="X9" s="7"/>
      <c r="Y9" s="6">
        <f t="shared" si="7"/>
        <v>1</v>
      </c>
      <c r="Z9" s="6">
        <f t="shared" si="8"/>
        <v>0</v>
      </c>
    </row>
    <row r="10" spans="1:26" x14ac:dyDescent="0.5">
      <c r="A10" s="22">
        <v>11</v>
      </c>
      <c r="B10" s="22">
        <v>8</v>
      </c>
      <c r="C10" s="22">
        <v>11</v>
      </c>
      <c r="D10" s="22">
        <v>11</v>
      </c>
      <c r="E10" s="22">
        <v>4</v>
      </c>
      <c r="F10" s="70" t="s">
        <v>549</v>
      </c>
      <c r="G10" s="71" t="s">
        <v>3</v>
      </c>
      <c r="H10" s="71" t="s">
        <v>7</v>
      </c>
      <c r="I10" s="71" t="s">
        <v>1</v>
      </c>
      <c r="J10" s="71" t="s">
        <v>5</v>
      </c>
      <c r="K10" s="71" t="s">
        <v>0</v>
      </c>
      <c r="L10" s="71" t="s">
        <v>0</v>
      </c>
      <c r="M10" s="7" t="str">
        <f t="shared" si="0"/>
        <v>0110811</v>
      </c>
      <c r="N10" s="7">
        <f t="shared" si="1"/>
        <v>0</v>
      </c>
      <c r="O10" s="7">
        <f t="shared" si="2"/>
        <v>0</v>
      </c>
      <c r="P10" s="7">
        <f t="shared" si="3"/>
        <v>4</v>
      </c>
      <c r="Q10" s="6">
        <f t="shared" si="4"/>
        <v>0</v>
      </c>
      <c r="R10" s="50">
        <f>(IF(Q10=1,VLOOKUP(D10,'Sending Dist Weighted Fund PP'!$A$3:$E$171,5),0))</f>
        <v>0</v>
      </c>
      <c r="S10" s="50">
        <f>IF(Q10=1,(VLOOKUP(M10,'Codes Rates Tuition '!$E$3:$I$61,5,FALSE)),0)</f>
        <v>0</v>
      </c>
      <c r="T10" s="50">
        <f>IF(OR(H10="PK",H10="P3"),0,(IF(Q10=1,VLOOKUP(M10,'[3]Codes Rates Tuition'!$E$2:$J$60,6,FALSE),0)))</f>
        <v>0</v>
      </c>
      <c r="U10" s="50">
        <f t="shared" si="5"/>
        <v>0</v>
      </c>
      <c r="V10" s="50">
        <f t="shared" si="6"/>
        <v>0</v>
      </c>
      <c r="W10" s="50">
        <f>E10*IF(Q10=0,VLOOKUP(M10,'Codes Rates Tuition '!$E$3:$J$61,4,FALSE),0)</f>
        <v>0</v>
      </c>
      <c r="X10" s="7"/>
      <c r="Y10" s="6">
        <f t="shared" si="7"/>
        <v>4</v>
      </c>
      <c r="Z10" s="6">
        <f t="shared" si="8"/>
        <v>0</v>
      </c>
    </row>
    <row r="11" spans="1:26" x14ac:dyDescent="0.5">
      <c r="A11" s="22">
        <v>11</v>
      </c>
      <c r="B11" s="22">
        <v>8</v>
      </c>
      <c r="C11" s="22">
        <v>11</v>
      </c>
      <c r="D11" s="22">
        <v>11</v>
      </c>
      <c r="E11" s="22">
        <v>4</v>
      </c>
      <c r="F11" s="70" t="s">
        <v>549</v>
      </c>
      <c r="G11" s="71" t="s">
        <v>3</v>
      </c>
      <c r="H11" s="71" t="s">
        <v>2</v>
      </c>
      <c r="I11" s="71" t="s">
        <v>1</v>
      </c>
      <c r="J11" s="71" t="s">
        <v>0</v>
      </c>
      <c r="K11" s="71" t="s">
        <v>4</v>
      </c>
      <c r="L11" s="71" t="s">
        <v>0</v>
      </c>
      <c r="M11" s="7" t="str">
        <f t="shared" si="0"/>
        <v>0110811</v>
      </c>
      <c r="N11" s="7">
        <f t="shared" si="1"/>
        <v>0</v>
      </c>
      <c r="O11" s="7">
        <f t="shared" si="2"/>
        <v>4</v>
      </c>
      <c r="P11" s="7">
        <f t="shared" si="3"/>
        <v>0</v>
      </c>
      <c r="Q11" s="6">
        <f t="shared" si="4"/>
        <v>0</v>
      </c>
      <c r="R11" s="50">
        <f>(IF(Q11=1,VLOOKUP(D11,'Sending Dist Weighted Fund PP'!$A$3:$E$171,5),0))</f>
        <v>0</v>
      </c>
      <c r="S11" s="50">
        <f>IF(Q11=1,(VLOOKUP(M11,'Codes Rates Tuition '!$E$3:$I$61,5,FALSE)),0)</f>
        <v>0</v>
      </c>
      <c r="T11" s="50">
        <f>IF(OR(H11="PK",H11="P3"),0,(IF(Q11=1,VLOOKUP(M11,'[3]Codes Rates Tuition'!$E$2:$J$60,6,FALSE),0)))</f>
        <v>0</v>
      </c>
      <c r="U11" s="50">
        <f t="shared" si="5"/>
        <v>0</v>
      </c>
      <c r="V11" s="50">
        <f t="shared" si="6"/>
        <v>0</v>
      </c>
      <c r="W11" s="50">
        <f>E11*IF(Q11=0,VLOOKUP(M11,'Codes Rates Tuition '!$E$3:$J$61,4,FALSE),0)</f>
        <v>0</v>
      </c>
      <c r="X11" s="7"/>
      <c r="Y11" s="6">
        <f t="shared" si="7"/>
        <v>4</v>
      </c>
      <c r="Z11" s="6">
        <f t="shared" si="8"/>
        <v>0</v>
      </c>
    </row>
    <row r="12" spans="1:26" x14ac:dyDescent="0.5">
      <c r="A12" s="22">
        <v>11</v>
      </c>
      <c r="B12" s="22">
        <v>8</v>
      </c>
      <c r="C12" s="22">
        <v>11</v>
      </c>
      <c r="D12" s="22">
        <v>11</v>
      </c>
      <c r="E12" s="22">
        <v>20</v>
      </c>
      <c r="F12" s="70" t="s">
        <v>549</v>
      </c>
      <c r="G12" s="71" t="s">
        <v>3</v>
      </c>
      <c r="H12" s="71" t="s">
        <v>2</v>
      </c>
      <c r="I12" s="71" t="s">
        <v>1</v>
      </c>
      <c r="J12" s="71" t="s">
        <v>0</v>
      </c>
      <c r="K12" s="71" t="s">
        <v>0</v>
      </c>
      <c r="L12" s="71" t="s">
        <v>0</v>
      </c>
      <c r="M12" s="7" t="str">
        <f t="shared" si="0"/>
        <v>0110811</v>
      </c>
      <c r="N12" s="7">
        <f t="shared" si="1"/>
        <v>0</v>
      </c>
      <c r="O12" s="7">
        <f t="shared" si="2"/>
        <v>0</v>
      </c>
      <c r="P12" s="7">
        <f t="shared" si="3"/>
        <v>0</v>
      </c>
      <c r="Q12" s="6">
        <f t="shared" si="4"/>
        <v>0</v>
      </c>
      <c r="R12" s="50">
        <f>(IF(Q12=1,VLOOKUP(D12,'Sending Dist Weighted Fund PP'!$A$3:$E$171,5),0))</f>
        <v>0</v>
      </c>
      <c r="S12" s="50">
        <f>IF(Q12=1,(VLOOKUP(M12,'Codes Rates Tuition '!$E$3:$I$61,5,FALSE)),0)</f>
        <v>0</v>
      </c>
      <c r="T12" s="50">
        <f>IF(OR(H12="PK",H12="P3"),0,(IF(Q12=1,VLOOKUP(M12,'[3]Codes Rates Tuition'!$E$2:$J$60,6,FALSE),0)))</f>
        <v>0</v>
      </c>
      <c r="U12" s="50">
        <f t="shared" si="5"/>
        <v>0</v>
      </c>
      <c r="V12" s="50">
        <f t="shared" si="6"/>
        <v>0</v>
      </c>
      <c r="W12" s="50">
        <f>E12*IF(Q12=0,VLOOKUP(M12,'Codes Rates Tuition '!$E$3:$J$61,4,FALSE),0)</f>
        <v>0</v>
      </c>
      <c r="X12" s="7"/>
      <c r="Y12" s="6">
        <f t="shared" si="7"/>
        <v>20</v>
      </c>
      <c r="Z12" s="6">
        <f t="shared" si="8"/>
        <v>0</v>
      </c>
    </row>
    <row r="13" spans="1:26" x14ac:dyDescent="0.5">
      <c r="A13" s="22">
        <v>11</v>
      </c>
      <c r="B13" s="22">
        <v>8</v>
      </c>
      <c r="C13" s="22">
        <v>11</v>
      </c>
      <c r="D13" s="22">
        <v>11</v>
      </c>
      <c r="E13" s="22">
        <v>2</v>
      </c>
      <c r="F13" s="70" t="s">
        <v>549</v>
      </c>
      <c r="G13" s="71" t="s">
        <v>3</v>
      </c>
      <c r="H13" s="71" t="s">
        <v>2</v>
      </c>
      <c r="I13" s="71" t="s">
        <v>1</v>
      </c>
      <c r="J13" s="71" t="s">
        <v>0</v>
      </c>
      <c r="K13" s="71" t="s">
        <v>6</v>
      </c>
      <c r="L13" s="71" t="s">
        <v>0</v>
      </c>
      <c r="M13" s="7" t="str">
        <f t="shared" si="0"/>
        <v>0110811</v>
      </c>
      <c r="N13" s="7">
        <f t="shared" si="1"/>
        <v>0</v>
      </c>
      <c r="O13" s="7">
        <f t="shared" si="2"/>
        <v>2</v>
      </c>
      <c r="P13" s="7">
        <f t="shared" si="3"/>
        <v>0</v>
      </c>
      <c r="Q13" s="6">
        <f t="shared" si="4"/>
        <v>0</v>
      </c>
      <c r="R13" s="50">
        <f>(IF(Q13=1,VLOOKUP(D13,'Sending Dist Weighted Fund PP'!$A$3:$E$171,5),0))</f>
        <v>0</v>
      </c>
      <c r="S13" s="50">
        <f>IF(Q13=1,(VLOOKUP(M13,'Codes Rates Tuition '!$E$3:$I$61,5,FALSE)),0)</f>
        <v>0</v>
      </c>
      <c r="T13" s="50">
        <f>IF(OR(H13="PK",H13="P3"),0,(IF(Q13=1,VLOOKUP(M13,'[3]Codes Rates Tuition'!$E$2:$J$60,6,FALSE),0)))</f>
        <v>0</v>
      </c>
      <c r="U13" s="50">
        <f t="shared" si="5"/>
        <v>0</v>
      </c>
      <c r="V13" s="50">
        <f t="shared" si="6"/>
        <v>0</v>
      </c>
      <c r="W13" s="50">
        <f>E13*IF(Q13=0,VLOOKUP(M13,'Codes Rates Tuition '!$E$3:$J$61,4,FALSE),0)</f>
        <v>0</v>
      </c>
      <c r="X13" s="7"/>
      <c r="Y13" s="6">
        <f t="shared" si="7"/>
        <v>2</v>
      </c>
      <c r="Z13" s="6">
        <f t="shared" si="8"/>
        <v>0</v>
      </c>
    </row>
    <row r="14" spans="1:26" x14ac:dyDescent="0.5">
      <c r="A14" s="22">
        <v>11</v>
      </c>
      <c r="B14" s="22">
        <v>8</v>
      </c>
      <c r="C14" s="22">
        <v>11</v>
      </c>
      <c r="D14" s="22">
        <v>11</v>
      </c>
      <c r="E14" s="22">
        <v>2</v>
      </c>
      <c r="F14" s="70" t="s">
        <v>549</v>
      </c>
      <c r="G14" s="71" t="s">
        <v>3</v>
      </c>
      <c r="H14" s="71" t="s">
        <v>2</v>
      </c>
      <c r="I14" s="71" t="s">
        <v>1</v>
      </c>
      <c r="J14" s="71" t="s">
        <v>5</v>
      </c>
      <c r="K14" s="71" t="s">
        <v>4</v>
      </c>
      <c r="L14" s="71" t="s">
        <v>0</v>
      </c>
      <c r="M14" s="7" t="str">
        <f t="shared" si="0"/>
        <v>0110811</v>
      </c>
      <c r="N14" s="7">
        <f t="shared" si="1"/>
        <v>0</v>
      </c>
      <c r="O14" s="7">
        <f t="shared" si="2"/>
        <v>2</v>
      </c>
      <c r="P14" s="7">
        <f t="shared" si="3"/>
        <v>2</v>
      </c>
      <c r="Q14" s="6">
        <f t="shared" si="4"/>
        <v>0</v>
      </c>
      <c r="R14" s="50">
        <f>(IF(Q14=1,VLOOKUP(D14,'Sending Dist Weighted Fund PP'!$A$3:$E$171,5),0))</f>
        <v>0</v>
      </c>
      <c r="S14" s="50">
        <f>IF(Q14=1,(VLOOKUP(M14,'Codes Rates Tuition '!$E$3:$I$61,5,FALSE)),0)</f>
        <v>0</v>
      </c>
      <c r="T14" s="50">
        <f>IF(OR(H14="PK",H14="P3"),0,(IF(Q14=1,VLOOKUP(M14,'[3]Codes Rates Tuition'!$E$2:$J$60,6,FALSE),0)))</f>
        <v>0</v>
      </c>
      <c r="U14" s="50">
        <f t="shared" si="5"/>
        <v>0</v>
      </c>
      <c r="V14" s="50">
        <f t="shared" si="6"/>
        <v>0</v>
      </c>
      <c r="W14" s="50">
        <f>E14*IF(Q14=0,VLOOKUP(M14,'Codes Rates Tuition '!$E$3:$J$61,4,FALSE),0)</f>
        <v>0</v>
      </c>
      <c r="X14" s="7"/>
      <c r="Y14" s="6">
        <f t="shared" si="7"/>
        <v>2</v>
      </c>
      <c r="Z14" s="6">
        <f t="shared" si="8"/>
        <v>0</v>
      </c>
    </row>
    <row r="15" spans="1:26" x14ac:dyDescent="0.5">
      <c r="A15" s="22">
        <v>11</v>
      </c>
      <c r="B15" s="22">
        <v>8</v>
      </c>
      <c r="C15" s="22">
        <v>11</v>
      </c>
      <c r="D15" s="22">
        <v>11</v>
      </c>
      <c r="E15" s="22">
        <v>5</v>
      </c>
      <c r="F15" s="70" t="s">
        <v>549</v>
      </c>
      <c r="G15" s="71" t="s">
        <v>3</v>
      </c>
      <c r="H15" s="71" t="s">
        <v>2</v>
      </c>
      <c r="I15" s="71" t="s">
        <v>1</v>
      </c>
      <c r="J15" s="71" t="s">
        <v>5</v>
      </c>
      <c r="K15" s="71" t="s">
        <v>0</v>
      </c>
      <c r="L15" s="71" t="s">
        <v>0</v>
      </c>
      <c r="M15" s="7" t="str">
        <f t="shared" si="0"/>
        <v>0110811</v>
      </c>
      <c r="N15" s="7">
        <f t="shared" si="1"/>
        <v>0</v>
      </c>
      <c r="O15" s="7">
        <f t="shared" si="2"/>
        <v>0</v>
      </c>
      <c r="P15" s="7">
        <f t="shared" si="3"/>
        <v>5</v>
      </c>
      <c r="Q15" s="6">
        <f t="shared" si="4"/>
        <v>0</v>
      </c>
      <c r="R15" s="50">
        <f>(IF(Q15=1,VLOOKUP(D15,'Sending Dist Weighted Fund PP'!$A$3:$E$171,5),0))</f>
        <v>0</v>
      </c>
      <c r="S15" s="50">
        <f>IF(Q15=1,(VLOOKUP(M15,'Codes Rates Tuition '!$E$3:$I$61,5,FALSE)),0)</f>
        <v>0</v>
      </c>
      <c r="T15" s="50">
        <f>IF(OR(H15="PK",H15="P3"),0,(IF(Q15=1,VLOOKUP(M15,'[3]Codes Rates Tuition'!$E$2:$J$60,6,FALSE),0)))</f>
        <v>0</v>
      </c>
      <c r="U15" s="50">
        <f t="shared" si="5"/>
        <v>0</v>
      </c>
      <c r="V15" s="50">
        <f t="shared" si="6"/>
        <v>0</v>
      </c>
      <c r="W15" s="50">
        <f>E15*IF(Q15=0,VLOOKUP(M15,'Codes Rates Tuition '!$E$3:$J$61,4,FALSE),0)</f>
        <v>0</v>
      </c>
      <c r="X15" s="7"/>
      <c r="Y15" s="6">
        <f t="shared" si="7"/>
        <v>5</v>
      </c>
      <c r="Z15" s="6">
        <f t="shared" si="8"/>
        <v>0</v>
      </c>
    </row>
    <row r="16" spans="1:26" x14ac:dyDescent="0.5">
      <c r="A16" s="22">
        <v>11</v>
      </c>
      <c r="B16" s="22">
        <v>8</v>
      </c>
      <c r="C16" s="22">
        <v>11</v>
      </c>
      <c r="D16" s="22">
        <v>11</v>
      </c>
      <c r="E16" s="22">
        <v>2</v>
      </c>
      <c r="F16" s="70" t="s">
        <v>549</v>
      </c>
      <c r="G16" s="71" t="s">
        <v>3</v>
      </c>
      <c r="H16" s="71" t="s">
        <v>2</v>
      </c>
      <c r="I16" s="71" t="s">
        <v>1</v>
      </c>
      <c r="J16" s="71" t="s">
        <v>5</v>
      </c>
      <c r="K16" s="71" t="s">
        <v>6</v>
      </c>
      <c r="L16" s="71" t="s">
        <v>0</v>
      </c>
      <c r="M16" s="7" t="str">
        <f t="shared" si="0"/>
        <v>0110811</v>
      </c>
      <c r="N16" s="7">
        <f t="shared" si="1"/>
        <v>0</v>
      </c>
      <c r="O16" s="7">
        <f t="shared" si="2"/>
        <v>2</v>
      </c>
      <c r="P16" s="7">
        <f t="shared" si="3"/>
        <v>2</v>
      </c>
      <c r="Q16" s="6">
        <f t="shared" si="4"/>
        <v>0</v>
      </c>
      <c r="R16" s="50">
        <f>(IF(Q16=1,VLOOKUP(D16,'Sending Dist Weighted Fund PP'!$A$3:$E$171,5),0))</f>
        <v>0</v>
      </c>
      <c r="S16" s="50">
        <f>IF(Q16=1,(VLOOKUP(M16,'Codes Rates Tuition '!$E$3:$I$61,5,FALSE)),0)</f>
        <v>0</v>
      </c>
      <c r="T16" s="50">
        <f>IF(OR(H16="PK",H16="P3"),0,(IF(Q16=1,VLOOKUP(M16,'[3]Codes Rates Tuition'!$E$2:$J$60,6,FALSE),0)))</f>
        <v>0</v>
      </c>
      <c r="U16" s="50">
        <f t="shared" si="5"/>
        <v>0</v>
      </c>
      <c r="V16" s="50">
        <f t="shared" si="6"/>
        <v>0</v>
      </c>
      <c r="W16" s="50">
        <f>E16*IF(Q16=0,VLOOKUP(M16,'Codes Rates Tuition '!$E$3:$J$61,4,FALSE),0)</f>
        <v>0</v>
      </c>
      <c r="X16" s="7"/>
      <c r="Y16" s="6">
        <f t="shared" si="7"/>
        <v>2</v>
      </c>
      <c r="Z16" s="6">
        <f t="shared" si="8"/>
        <v>0</v>
      </c>
    </row>
    <row r="17" spans="1:26" x14ac:dyDescent="0.5">
      <c r="A17" s="22">
        <v>11</v>
      </c>
      <c r="B17" s="22">
        <v>8</v>
      </c>
      <c r="C17" s="22">
        <v>11</v>
      </c>
      <c r="D17" s="22">
        <v>40</v>
      </c>
      <c r="E17" s="22">
        <v>1</v>
      </c>
      <c r="F17" s="70" t="s">
        <v>549</v>
      </c>
      <c r="G17" s="71" t="s">
        <v>3</v>
      </c>
      <c r="H17" s="71" t="s">
        <v>7</v>
      </c>
      <c r="I17" s="71" t="s">
        <v>1</v>
      </c>
      <c r="J17" s="71" t="s">
        <v>0</v>
      </c>
      <c r="K17" s="71" t="s">
        <v>4</v>
      </c>
      <c r="L17" s="71" t="s">
        <v>0</v>
      </c>
      <c r="M17" s="7" t="str">
        <f t="shared" si="0"/>
        <v>0110811</v>
      </c>
      <c r="N17" s="7">
        <f t="shared" si="1"/>
        <v>0</v>
      </c>
      <c r="O17" s="7">
        <f t="shared" si="2"/>
        <v>1</v>
      </c>
      <c r="P17" s="7">
        <f t="shared" si="3"/>
        <v>0</v>
      </c>
      <c r="Q17" s="6">
        <f t="shared" si="4"/>
        <v>1</v>
      </c>
      <c r="R17" s="50">
        <f>(IF(Q17=1,VLOOKUP(D17,'Sending Dist Weighted Fund PP'!$A$3:$E$171,5),0))</f>
        <v>12071.2</v>
      </c>
      <c r="S17" s="50">
        <f>IF(Q17=1,(VLOOKUP(M17,'Codes Rates Tuition '!$E$3:$I$61,5,FALSE)),0)</f>
        <v>13315</v>
      </c>
      <c r="T17" s="50">
        <f>IF(OR(H17="PK",H17="P3"),0,(IF(Q17=1,VLOOKUP(M17,'[3]Codes Rates Tuition'!$E$2:$J$60,6,FALSE),0)))</f>
        <v>0</v>
      </c>
      <c r="U17" s="50">
        <f t="shared" si="5"/>
        <v>13315</v>
      </c>
      <c r="V17" s="50">
        <f t="shared" si="6"/>
        <v>13315</v>
      </c>
      <c r="W17" s="50">
        <f>E17*IF(Q17=0,VLOOKUP(M17,'Codes Rates Tuition '!$E$3:$J$61,4,FALSE),0)</f>
        <v>0</v>
      </c>
      <c r="X17" s="7"/>
      <c r="Y17" s="6">
        <f t="shared" si="7"/>
        <v>0</v>
      </c>
      <c r="Z17" s="6">
        <f t="shared" si="8"/>
        <v>1</v>
      </c>
    </row>
    <row r="18" spans="1:26" x14ac:dyDescent="0.5">
      <c r="A18" s="22">
        <v>11</v>
      </c>
      <c r="B18" s="22">
        <v>8</v>
      </c>
      <c r="C18" s="22">
        <v>11</v>
      </c>
      <c r="D18" s="22">
        <v>40</v>
      </c>
      <c r="E18" s="22">
        <v>6</v>
      </c>
      <c r="F18" s="70" t="s">
        <v>549</v>
      </c>
      <c r="G18" s="71" t="s">
        <v>3</v>
      </c>
      <c r="H18" s="71" t="s">
        <v>7</v>
      </c>
      <c r="I18" s="71" t="s">
        <v>1</v>
      </c>
      <c r="J18" s="71" t="s">
        <v>0</v>
      </c>
      <c r="K18" s="71" t="s">
        <v>0</v>
      </c>
      <c r="L18" s="71" t="s">
        <v>0</v>
      </c>
      <c r="M18" s="7" t="str">
        <f t="shared" si="0"/>
        <v>0110811</v>
      </c>
      <c r="N18" s="7">
        <f t="shared" si="1"/>
        <v>0</v>
      </c>
      <c r="O18" s="7">
        <f t="shared" si="2"/>
        <v>0</v>
      </c>
      <c r="P18" s="7">
        <f t="shared" si="3"/>
        <v>0</v>
      </c>
      <c r="Q18" s="6">
        <f t="shared" si="4"/>
        <v>1</v>
      </c>
      <c r="R18" s="50">
        <f>(IF(Q18=1,VLOOKUP(D18,'Sending Dist Weighted Fund PP'!$A$3:$E$171,5),0))</f>
        <v>12071.2</v>
      </c>
      <c r="S18" s="50">
        <f>IF(Q18=1,(VLOOKUP(M18,'Codes Rates Tuition '!$E$3:$I$61,5,FALSE)),0)</f>
        <v>13315</v>
      </c>
      <c r="T18" s="50">
        <f>IF(OR(H18="PK",H18="P3"),0,(IF(Q18=1,VLOOKUP(M18,'[3]Codes Rates Tuition'!$E$2:$J$60,6,FALSE),0)))</f>
        <v>0</v>
      </c>
      <c r="U18" s="50">
        <f t="shared" si="5"/>
        <v>13315</v>
      </c>
      <c r="V18" s="50">
        <f t="shared" si="6"/>
        <v>79890</v>
      </c>
      <c r="W18" s="50">
        <f>E18*IF(Q18=0,VLOOKUP(M18,'Codes Rates Tuition '!$E$3:$J$61,4,FALSE),0)</f>
        <v>0</v>
      </c>
      <c r="X18" s="7"/>
      <c r="Y18" s="6">
        <f t="shared" si="7"/>
        <v>0</v>
      </c>
      <c r="Z18" s="6">
        <f t="shared" si="8"/>
        <v>6</v>
      </c>
    </row>
    <row r="19" spans="1:26" x14ac:dyDescent="0.5">
      <c r="A19" s="22">
        <v>11</v>
      </c>
      <c r="B19" s="22">
        <v>8</v>
      </c>
      <c r="C19" s="22">
        <v>11</v>
      </c>
      <c r="D19" s="22">
        <v>40</v>
      </c>
      <c r="E19" s="22">
        <v>6</v>
      </c>
      <c r="F19" s="70" t="s">
        <v>549</v>
      </c>
      <c r="G19" s="71" t="s">
        <v>3</v>
      </c>
      <c r="H19" s="71" t="s">
        <v>2</v>
      </c>
      <c r="I19" s="71" t="s">
        <v>1</v>
      </c>
      <c r="J19" s="71" t="s">
        <v>0</v>
      </c>
      <c r="K19" s="71" t="s">
        <v>0</v>
      </c>
      <c r="L19" s="71" t="s">
        <v>0</v>
      </c>
      <c r="M19" s="7" t="str">
        <f t="shared" si="0"/>
        <v>0110811</v>
      </c>
      <c r="N19" s="7">
        <f t="shared" si="1"/>
        <v>0</v>
      </c>
      <c r="O19" s="7">
        <f t="shared" si="2"/>
        <v>0</v>
      </c>
      <c r="P19" s="7">
        <f t="shared" si="3"/>
        <v>0</v>
      </c>
      <c r="Q19" s="6">
        <f t="shared" si="4"/>
        <v>1</v>
      </c>
      <c r="R19" s="50">
        <f>(IF(Q19=1,VLOOKUP(D19,'Sending Dist Weighted Fund PP'!$A$3:$E$171,5),0))</f>
        <v>12071.2</v>
      </c>
      <c r="S19" s="50">
        <f>IF(Q19=1,(VLOOKUP(M19,'Codes Rates Tuition '!$E$3:$I$61,5,FALSE)),0)</f>
        <v>13315</v>
      </c>
      <c r="T19" s="50">
        <f>IF(OR(H19="PK",H19="P3"),0,(IF(Q19=1,VLOOKUP(M19,'[3]Codes Rates Tuition'!$E$2:$J$60,6,FALSE),0)))</f>
        <v>0</v>
      </c>
      <c r="U19" s="50">
        <f t="shared" si="5"/>
        <v>13315</v>
      </c>
      <c r="V19" s="50">
        <f t="shared" si="6"/>
        <v>79890</v>
      </c>
      <c r="W19" s="50">
        <f>E19*IF(Q19=0,VLOOKUP(M19,'Codes Rates Tuition '!$E$3:$J$61,4,FALSE),0)</f>
        <v>0</v>
      </c>
      <c r="X19" s="7"/>
      <c r="Y19" s="6">
        <f t="shared" si="7"/>
        <v>0</v>
      </c>
      <c r="Z19" s="6">
        <f t="shared" si="8"/>
        <v>6</v>
      </c>
    </row>
    <row r="20" spans="1:26" x14ac:dyDescent="0.5">
      <c r="A20" s="22">
        <v>11</v>
      </c>
      <c r="B20" s="22">
        <v>8</v>
      </c>
      <c r="C20" s="22">
        <v>11</v>
      </c>
      <c r="D20" s="22">
        <v>54</v>
      </c>
      <c r="E20" s="22">
        <v>1</v>
      </c>
      <c r="F20" s="70" t="s">
        <v>549</v>
      </c>
      <c r="G20" s="71" t="s">
        <v>3</v>
      </c>
      <c r="H20" s="71" t="s">
        <v>2</v>
      </c>
      <c r="I20" s="71" t="s">
        <v>1</v>
      </c>
      <c r="J20" s="71" t="s">
        <v>0</v>
      </c>
      <c r="K20" s="71" t="s">
        <v>0</v>
      </c>
      <c r="L20" s="71" t="s">
        <v>0</v>
      </c>
      <c r="M20" s="7" t="str">
        <f t="shared" si="0"/>
        <v>0110811</v>
      </c>
      <c r="N20" s="7">
        <f t="shared" si="1"/>
        <v>0</v>
      </c>
      <c r="O20" s="7">
        <f t="shared" si="2"/>
        <v>0</v>
      </c>
      <c r="P20" s="7">
        <f t="shared" si="3"/>
        <v>0</v>
      </c>
      <c r="Q20" s="6">
        <f t="shared" si="4"/>
        <v>1</v>
      </c>
      <c r="R20" s="50">
        <f>(IF(Q20=1,VLOOKUP(D20,'Sending Dist Weighted Fund PP'!$A$3:$E$171,5),0))</f>
        <v>12142.47</v>
      </c>
      <c r="S20" s="50">
        <f>IF(Q20=1,(VLOOKUP(M20,'Codes Rates Tuition '!$E$3:$I$61,5,FALSE)),0)</f>
        <v>13315</v>
      </c>
      <c r="T20" s="50">
        <f>IF(OR(H20="PK",H20="P3"),0,(IF(Q20=1,VLOOKUP(M20,'[3]Codes Rates Tuition'!$E$2:$J$60,6,FALSE),0)))</f>
        <v>0</v>
      </c>
      <c r="U20" s="50">
        <f t="shared" si="5"/>
        <v>13315</v>
      </c>
      <c r="V20" s="50">
        <f t="shared" si="6"/>
        <v>13315</v>
      </c>
      <c r="W20" s="50">
        <f>E20*IF(Q20=0,VLOOKUP(M20,'Codes Rates Tuition '!$E$3:$J$61,4,FALSE),0)</f>
        <v>0</v>
      </c>
      <c r="X20" s="7"/>
      <c r="Y20" s="6">
        <f t="shared" si="7"/>
        <v>0</v>
      </c>
      <c r="Z20" s="6">
        <f t="shared" si="8"/>
        <v>1</v>
      </c>
    </row>
    <row r="21" spans="1:26" x14ac:dyDescent="0.5">
      <c r="A21" s="22">
        <v>11</v>
      </c>
      <c r="B21" s="22">
        <v>8</v>
      </c>
      <c r="C21" s="22">
        <v>11</v>
      </c>
      <c r="D21" s="22">
        <v>56</v>
      </c>
      <c r="E21" s="22">
        <v>8</v>
      </c>
      <c r="F21" s="70" t="s">
        <v>549</v>
      </c>
      <c r="G21" s="71" t="s">
        <v>3</v>
      </c>
      <c r="H21" s="71" t="s">
        <v>7</v>
      </c>
      <c r="I21" s="71" t="s">
        <v>1</v>
      </c>
      <c r="J21" s="71" t="s">
        <v>0</v>
      </c>
      <c r="K21" s="71" t="s">
        <v>0</v>
      </c>
      <c r="L21" s="71" t="s">
        <v>0</v>
      </c>
      <c r="M21" s="7" t="str">
        <f t="shared" si="0"/>
        <v>0110811</v>
      </c>
      <c r="N21" s="7">
        <f t="shared" si="1"/>
        <v>0</v>
      </c>
      <c r="O21" s="7">
        <f t="shared" si="2"/>
        <v>0</v>
      </c>
      <c r="P21" s="7">
        <f t="shared" si="3"/>
        <v>0</v>
      </c>
      <c r="Q21" s="6">
        <f t="shared" si="4"/>
        <v>1</v>
      </c>
      <c r="R21" s="50">
        <f>(IF(Q21=1,VLOOKUP(D21,'Sending Dist Weighted Fund PP'!$A$3:$E$171,5),0))</f>
        <v>12044.02</v>
      </c>
      <c r="S21" s="50">
        <f>IF(Q21=1,(VLOOKUP(M21,'Codes Rates Tuition '!$E$3:$I$61,5,FALSE)),0)</f>
        <v>13315</v>
      </c>
      <c r="T21" s="50">
        <f>IF(OR(H21="PK",H21="P3"),0,(IF(Q21=1,VLOOKUP(M21,'[3]Codes Rates Tuition'!$E$2:$J$60,6,FALSE),0)))</f>
        <v>0</v>
      </c>
      <c r="U21" s="50">
        <f t="shared" si="5"/>
        <v>13315</v>
      </c>
      <c r="V21" s="50">
        <f t="shared" si="6"/>
        <v>106520</v>
      </c>
      <c r="W21" s="50">
        <f>E21*IF(Q21=0,VLOOKUP(M21,'Codes Rates Tuition '!$E$3:$J$61,4,FALSE),0)</f>
        <v>0</v>
      </c>
      <c r="X21" s="7"/>
      <c r="Y21" s="6">
        <f t="shared" si="7"/>
        <v>0</v>
      </c>
      <c r="Z21" s="6">
        <f t="shared" si="8"/>
        <v>8</v>
      </c>
    </row>
    <row r="22" spans="1:26" x14ac:dyDescent="0.5">
      <c r="A22" s="22">
        <v>11</v>
      </c>
      <c r="B22" s="22">
        <v>8</v>
      </c>
      <c r="C22" s="22">
        <v>11</v>
      </c>
      <c r="D22" s="22">
        <v>56</v>
      </c>
      <c r="E22" s="22">
        <v>12</v>
      </c>
      <c r="F22" s="70" t="s">
        <v>549</v>
      </c>
      <c r="G22" s="71" t="s">
        <v>3</v>
      </c>
      <c r="H22" s="71" t="s">
        <v>2</v>
      </c>
      <c r="I22" s="71" t="s">
        <v>1</v>
      </c>
      <c r="J22" s="71" t="s">
        <v>0</v>
      </c>
      <c r="K22" s="71" t="s">
        <v>0</v>
      </c>
      <c r="L22" s="71" t="s">
        <v>0</v>
      </c>
      <c r="M22" s="7" t="str">
        <f t="shared" si="0"/>
        <v>0110811</v>
      </c>
      <c r="N22" s="7">
        <f t="shared" si="1"/>
        <v>0</v>
      </c>
      <c r="O22" s="7">
        <f t="shared" si="2"/>
        <v>0</v>
      </c>
      <c r="P22" s="7">
        <f t="shared" si="3"/>
        <v>0</v>
      </c>
      <c r="Q22" s="6">
        <f t="shared" si="4"/>
        <v>1</v>
      </c>
      <c r="R22" s="50">
        <f>(IF(Q22=1,VLOOKUP(D22,'Sending Dist Weighted Fund PP'!$A$3:$E$171,5),0))</f>
        <v>12044.02</v>
      </c>
      <c r="S22" s="50">
        <f>IF(Q22=1,(VLOOKUP(M22,'Codes Rates Tuition '!$E$3:$I$61,5,FALSE)),0)</f>
        <v>13315</v>
      </c>
      <c r="T22" s="50">
        <f>IF(OR(H22="PK",H22="P3"),0,(IF(Q22=1,VLOOKUP(M22,'[3]Codes Rates Tuition'!$E$2:$J$60,6,FALSE),0)))</f>
        <v>0</v>
      </c>
      <c r="U22" s="50">
        <f t="shared" si="5"/>
        <v>13315</v>
      </c>
      <c r="V22" s="50">
        <f t="shared" si="6"/>
        <v>159780</v>
      </c>
      <c r="W22" s="50">
        <f>E22*IF(Q22=0,VLOOKUP(M22,'Codes Rates Tuition '!$E$3:$J$61,4,FALSE),0)</f>
        <v>0</v>
      </c>
      <c r="X22" s="7"/>
      <c r="Y22" s="6">
        <f t="shared" si="7"/>
        <v>0</v>
      </c>
      <c r="Z22" s="6">
        <f t="shared" si="8"/>
        <v>12</v>
      </c>
    </row>
    <row r="23" spans="1:26" x14ac:dyDescent="0.5">
      <c r="A23" s="22">
        <v>11</v>
      </c>
      <c r="B23" s="22">
        <v>8</v>
      </c>
      <c r="C23" s="22">
        <v>11</v>
      </c>
      <c r="D23" s="22">
        <v>64</v>
      </c>
      <c r="E23" s="22">
        <v>18</v>
      </c>
      <c r="F23" s="70" t="s">
        <v>549</v>
      </c>
      <c r="G23" s="71" t="s">
        <v>3</v>
      </c>
      <c r="H23" s="71" t="s">
        <v>7</v>
      </c>
      <c r="I23" s="71" t="s">
        <v>1</v>
      </c>
      <c r="J23" s="71" t="s">
        <v>0</v>
      </c>
      <c r="K23" s="71" t="s">
        <v>4</v>
      </c>
      <c r="L23" s="71" t="s">
        <v>0</v>
      </c>
      <c r="M23" s="7" t="str">
        <f t="shared" si="0"/>
        <v>0110811</v>
      </c>
      <c r="N23" s="7">
        <f t="shared" si="1"/>
        <v>0</v>
      </c>
      <c r="O23" s="7">
        <f t="shared" si="2"/>
        <v>18</v>
      </c>
      <c r="P23" s="7">
        <f t="shared" si="3"/>
        <v>0</v>
      </c>
      <c r="Q23" s="6">
        <f t="shared" si="4"/>
        <v>1</v>
      </c>
      <c r="R23" s="50">
        <f>(IF(Q23=1,VLOOKUP(D23,'Sending Dist Weighted Fund PP'!$A$3:$E$171,5),0))</f>
        <v>15674.27</v>
      </c>
      <c r="S23" s="50">
        <f>IF(Q23=1,(VLOOKUP(M23,'Codes Rates Tuition '!$E$3:$I$61,5,FALSE)),0)</f>
        <v>13315</v>
      </c>
      <c r="T23" s="50">
        <f>IF(OR(H23="PK",H23="P3"),0,(IF(Q23=1,VLOOKUP(M23,'[3]Codes Rates Tuition'!$E$2:$J$60,6,FALSE),0)))</f>
        <v>0</v>
      </c>
      <c r="U23" s="50">
        <f t="shared" si="5"/>
        <v>15674.27</v>
      </c>
      <c r="V23" s="50">
        <f t="shared" si="6"/>
        <v>282137</v>
      </c>
      <c r="W23" s="50">
        <f>E23*IF(Q23=0,VLOOKUP(M23,'Codes Rates Tuition '!$E$3:$J$61,4,FALSE),0)</f>
        <v>0</v>
      </c>
      <c r="X23" s="7"/>
      <c r="Y23" s="6">
        <f t="shared" si="7"/>
        <v>0</v>
      </c>
      <c r="Z23" s="6">
        <f t="shared" si="8"/>
        <v>18</v>
      </c>
    </row>
    <row r="24" spans="1:26" x14ac:dyDescent="0.5">
      <c r="A24" s="22">
        <v>11</v>
      </c>
      <c r="B24" s="22">
        <v>8</v>
      </c>
      <c r="C24" s="22">
        <v>11</v>
      </c>
      <c r="D24" s="22">
        <v>64</v>
      </c>
      <c r="E24" s="22">
        <v>16</v>
      </c>
      <c r="F24" s="70" t="s">
        <v>549</v>
      </c>
      <c r="G24" s="71" t="s">
        <v>3</v>
      </c>
      <c r="H24" s="71" t="s">
        <v>7</v>
      </c>
      <c r="I24" s="71" t="s">
        <v>1</v>
      </c>
      <c r="J24" s="71" t="s">
        <v>0</v>
      </c>
      <c r="K24" s="71" t="s">
        <v>0</v>
      </c>
      <c r="L24" s="71" t="s">
        <v>0</v>
      </c>
      <c r="M24" s="7" t="str">
        <f t="shared" si="0"/>
        <v>0110811</v>
      </c>
      <c r="N24" s="7">
        <f t="shared" si="1"/>
        <v>0</v>
      </c>
      <c r="O24" s="7">
        <f t="shared" si="2"/>
        <v>0</v>
      </c>
      <c r="P24" s="7">
        <f t="shared" si="3"/>
        <v>0</v>
      </c>
      <c r="Q24" s="6">
        <f t="shared" si="4"/>
        <v>1</v>
      </c>
      <c r="R24" s="50">
        <f>(IF(Q24=1,VLOOKUP(D24,'Sending Dist Weighted Fund PP'!$A$3:$E$171,5),0))</f>
        <v>15674.27</v>
      </c>
      <c r="S24" s="50">
        <f>IF(Q24=1,(VLOOKUP(M24,'Codes Rates Tuition '!$E$3:$I$61,5,FALSE)),0)</f>
        <v>13315</v>
      </c>
      <c r="T24" s="50">
        <f>IF(OR(H24="PK",H24="P3"),0,(IF(Q24=1,VLOOKUP(M24,'[3]Codes Rates Tuition'!$E$2:$J$60,6,FALSE),0)))</f>
        <v>0</v>
      </c>
      <c r="U24" s="50">
        <f t="shared" si="5"/>
        <v>15674.27</v>
      </c>
      <c r="V24" s="50">
        <f t="shared" si="6"/>
        <v>250788</v>
      </c>
      <c r="W24" s="50">
        <f>E24*IF(Q24=0,VLOOKUP(M24,'Codes Rates Tuition '!$E$3:$J$61,4,FALSE),0)</f>
        <v>0</v>
      </c>
      <c r="X24" s="7"/>
      <c r="Y24" s="6">
        <f t="shared" si="7"/>
        <v>0</v>
      </c>
      <c r="Z24" s="6">
        <f t="shared" si="8"/>
        <v>16</v>
      </c>
    </row>
    <row r="25" spans="1:26" x14ac:dyDescent="0.5">
      <c r="A25" s="22">
        <v>11</v>
      </c>
      <c r="B25" s="22">
        <v>8</v>
      </c>
      <c r="C25" s="22">
        <v>11</v>
      </c>
      <c r="D25" s="22">
        <v>64</v>
      </c>
      <c r="E25" s="22">
        <v>3</v>
      </c>
      <c r="F25" s="70" t="s">
        <v>549</v>
      </c>
      <c r="G25" s="71" t="s">
        <v>3</v>
      </c>
      <c r="H25" s="71" t="s">
        <v>7</v>
      </c>
      <c r="I25" s="71" t="s">
        <v>1</v>
      </c>
      <c r="J25" s="71" t="s">
        <v>5</v>
      </c>
      <c r="K25" s="71" t="s">
        <v>4</v>
      </c>
      <c r="L25" s="71" t="s">
        <v>0</v>
      </c>
      <c r="M25" s="7" t="str">
        <f t="shared" si="0"/>
        <v>0110811</v>
      </c>
      <c r="N25" s="7">
        <f t="shared" si="1"/>
        <v>0</v>
      </c>
      <c r="O25" s="7">
        <f t="shared" si="2"/>
        <v>3</v>
      </c>
      <c r="P25" s="7">
        <f t="shared" si="3"/>
        <v>3</v>
      </c>
      <c r="Q25" s="6">
        <f t="shared" si="4"/>
        <v>1</v>
      </c>
      <c r="R25" s="50">
        <f>(IF(Q25=1,VLOOKUP(D25,'Sending Dist Weighted Fund PP'!$A$3:$E$171,5),0))</f>
        <v>15674.27</v>
      </c>
      <c r="S25" s="50">
        <f>IF(Q25=1,(VLOOKUP(M25,'Codes Rates Tuition '!$E$3:$I$61,5,FALSE)),0)</f>
        <v>13315</v>
      </c>
      <c r="T25" s="50">
        <f>IF(OR(H25="PK",H25="P3"),0,(IF(Q25=1,VLOOKUP(M25,'[3]Codes Rates Tuition'!$E$2:$J$60,6,FALSE),0)))</f>
        <v>0</v>
      </c>
      <c r="U25" s="50">
        <f t="shared" si="5"/>
        <v>15674.27</v>
      </c>
      <c r="V25" s="50">
        <f t="shared" si="6"/>
        <v>47023</v>
      </c>
      <c r="W25" s="50">
        <f>E25*IF(Q25=0,VLOOKUP(M25,'Codes Rates Tuition '!$E$3:$J$61,4,FALSE),0)</f>
        <v>0</v>
      </c>
      <c r="X25" s="7"/>
      <c r="Y25" s="6">
        <f t="shared" si="7"/>
        <v>0</v>
      </c>
      <c r="Z25" s="6">
        <f t="shared" si="8"/>
        <v>3</v>
      </c>
    </row>
    <row r="26" spans="1:26" x14ac:dyDescent="0.5">
      <c r="A26" s="22">
        <v>11</v>
      </c>
      <c r="B26" s="22">
        <v>8</v>
      </c>
      <c r="C26" s="22">
        <v>11</v>
      </c>
      <c r="D26" s="22">
        <v>64</v>
      </c>
      <c r="E26" s="22">
        <v>1</v>
      </c>
      <c r="F26" s="70" t="s">
        <v>549</v>
      </c>
      <c r="G26" s="71" t="s">
        <v>3</v>
      </c>
      <c r="H26" s="71" t="s">
        <v>7</v>
      </c>
      <c r="I26" s="71" t="s">
        <v>1</v>
      </c>
      <c r="J26" s="71" t="s">
        <v>5</v>
      </c>
      <c r="K26" s="71" t="s">
        <v>0</v>
      </c>
      <c r="L26" s="71" t="s">
        <v>0</v>
      </c>
      <c r="M26" s="7" t="str">
        <f t="shared" si="0"/>
        <v>0110811</v>
      </c>
      <c r="N26" s="7">
        <f t="shared" si="1"/>
        <v>0</v>
      </c>
      <c r="O26" s="7">
        <f t="shared" si="2"/>
        <v>0</v>
      </c>
      <c r="P26" s="7">
        <f t="shared" si="3"/>
        <v>1</v>
      </c>
      <c r="Q26" s="6">
        <f t="shared" si="4"/>
        <v>1</v>
      </c>
      <c r="R26" s="50">
        <f>(IF(Q26=1,VLOOKUP(D26,'Sending Dist Weighted Fund PP'!$A$3:$E$171,5),0))</f>
        <v>15674.27</v>
      </c>
      <c r="S26" s="50">
        <f>IF(Q26=1,(VLOOKUP(M26,'Codes Rates Tuition '!$E$3:$I$61,5,FALSE)),0)</f>
        <v>13315</v>
      </c>
      <c r="T26" s="50">
        <f>IF(OR(H26="PK",H26="P3"),0,(IF(Q26=1,VLOOKUP(M26,'[3]Codes Rates Tuition'!$E$2:$J$60,6,FALSE),0)))</f>
        <v>0</v>
      </c>
      <c r="U26" s="50">
        <f t="shared" si="5"/>
        <v>15674.27</v>
      </c>
      <c r="V26" s="50">
        <f t="shared" si="6"/>
        <v>15674</v>
      </c>
      <c r="W26" s="50">
        <f>E26*IF(Q26=0,VLOOKUP(M26,'Codes Rates Tuition '!$E$3:$J$61,4,FALSE),0)</f>
        <v>0</v>
      </c>
      <c r="X26" s="7"/>
      <c r="Y26" s="6">
        <f t="shared" si="7"/>
        <v>0</v>
      </c>
      <c r="Z26" s="6">
        <f t="shared" si="8"/>
        <v>1</v>
      </c>
    </row>
    <row r="27" spans="1:26" x14ac:dyDescent="0.5">
      <c r="A27" s="22">
        <v>11</v>
      </c>
      <c r="B27" s="22">
        <v>8</v>
      </c>
      <c r="C27" s="22">
        <v>11</v>
      </c>
      <c r="D27" s="22">
        <v>64</v>
      </c>
      <c r="E27" s="22">
        <v>15</v>
      </c>
      <c r="F27" s="70" t="s">
        <v>549</v>
      </c>
      <c r="G27" s="71" t="s">
        <v>3</v>
      </c>
      <c r="H27" s="71" t="s">
        <v>2</v>
      </c>
      <c r="I27" s="71" t="s">
        <v>1</v>
      </c>
      <c r="J27" s="71" t="s">
        <v>0</v>
      </c>
      <c r="K27" s="71" t="s">
        <v>4</v>
      </c>
      <c r="L27" s="71" t="s">
        <v>0</v>
      </c>
      <c r="M27" s="7" t="str">
        <f t="shared" si="0"/>
        <v>0110811</v>
      </c>
      <c r="N27" s="7">
        <f t="shared" si="1"/>
        <v>0</v>
      </c>
      <c r="O27" s="7">
        <f t="shared" si="2"/>
        <v>15</v>
      </c>
      <c r="P27" s="7">
        <f t="shared" si="3"/>
        <v>0</v>
      </c>
      <c r="Q27" s="6">
        <f t="shared" si="4"/>
        <v>1</v>
      </c>
      <c r="R27" s="50">
        <f>(IF(Q27=1,VLOOKUP(D27,'Sending Dist Weighted Fund PP'!$A$3:$E$171,5),0))</f>
        <v>15674.27</v>
      </c>
      <c r="S27" s="50">
        <f>IF(Q27=1,(VLOOKUP(M27,'Codes Rates Tuition '!$E$3:$I$61,5,FALSE)),0)</f>
        <v>13315</v>
      </c>
      <c r="T27" s="50">
        <f>IF(OR(H27="PK",H27="P3"),0,(IF(Q27=1,VLOOKUP(M27,'[3]Codes Rates Tuition'!$E$2:$J$60,6,FALSE),0)))</f>
        <v>0</v>
      </c>
      <c r="U27" s="50">
        <f t="shared" si="5"/>
        <v>15674.27</v>
      </c>
      <c r="V27" s="50">
        <f t="shared" si="6"/>
        <v>235114</v>
      </c>
      <c r="W27" s="50">
        <f>E27*IF(Q27=0,VLOOKUP(M27,'Codes Rates Tuition '!$E$3:$J$61,4,FALSE),0)</f>
        <v>0</v>
      </c>
      <c r="X27" s="7"/>
      <c r="Y27" s="6">
        <f t="shared" si="7"/>
        <v>0</v>
      </c>
      <c r="Z27" s="6">
        <f t="shared" si="8"/>
        <v>15</v>
      </c>
    </row>
    <row r="28" spans="1:26" x14ac:dyDescent="0.5">
      <c r="A28" s="22">
        <v>11</v>
      </c>
      <c r="B28" s="22">
        <v>8</v>
      </c>
      <c r="C28" s="22">
        <v>11</v>
      </c>
      <c r="D28" s="22">
        <v>64</v>
      </c>
      <c r="E28" s="22">
        <v>8</v>
      </c>
      <c r="F28" s="70" t="s">
        <v>549</v>
      </c>
      <c r="G28" s="71" t="s">
        <v>3</v>
      </c>
      <c r="H28" s="71" t="s">
        <v>2</v>
      </c>
      <c r="I28" s="71" t="s">
        <v>1</v>
      </c>
      <c r="J28" s="71" t="s">
        <v>0</v>
      </c>
      <c r="K28" s="71" t="s">
        <v>0</v>
      </c>
      <c r="L28" s="71" t="s">
        <v>0</v>
      </c>
      <c r="M28" s="7" t="str">
        <f t="shared" si="0"/>
        <v>0110811</v>
      </c>
      <c r="N28" s="7">
        <f t="shared" si="1"/>
        <v>0</v>
      </c>
      <c r="O28" s="7">
        <f t="shared" si="2"/>
        <v>0</v>
      </c>
      <c r="P28" s="7">
        <f t="shared" si="3"/>
        <v>0</v>
      </c>
      <c r="Q28" s="6">
        <f t="shared" si="4"/>
        <v>1</v>
      </c>
      <c r="R28" s="50">
        <f>(IF(Q28=1,VLOOKUP(D28,'Sending Dist Weighted Fund PP'!$A$3:$E$171,5),0))</f>
        <v>15674.27</v>
      </c>
      <c r="S28" s="50">
        <f>IF(Q28=1,(VLOOKUP(M28,'Codes Rates Tuition '!$E$3:$I$61,5,FALSE)),0)</f>
        <v>13315</v>
      </c>
      <c r="T28" s="50">
        <f>IF(OR(H28="PK",H28="P3"),0,(IF(Q28=1,VLOOKUP(M28,'[3]Codes Rates Tuition'!$E$2:$J$60,6,FALSE),0)))</f>
        <v>0</v>
      </c>
      <c r="U28" s="50">
        <f t="shared" si="5"/>
        <v>15674.27</v>
      </c>
      <c r="V28" s="50">
        <f t="shared" si="6"/>
        <v>125394</v>
      </c>
      <c r="W28" s="50">
        <f>E28*IF(Q28=0,VLOOKUP(M28,'Codes Rates Tuition '!$E$3:$J$61,4,FALSE),0)</f>
        <v>0</v>
      </c>
      <c r="X28" s="7"/>
      <c r="Y28" s="6">
        <f t="shared" si="7"/>
        <v>0</v>
      </c>
      <c r="Z28" s="6">
        <f t="shared" si="8"/>
        <v>8</v>
      </c>
    </row>
    <row r="29" spans="1:26" x14ac:dyDescent="0.5">
      <c r="A29" s="22">
        <v>11</v>
      </c>
      <c r="B29" s="22">
        <v>8</v>
      </c>
      <c r="C29" s="22">
        <v>11</v>
      </c>
      <c r="D29" s="22">
        <v>64</v>
      </c>
      <c r="E29" s="22">
        <v>8</v>
      </c>
      <c r="F29" s="70" t="s">
        <v>549</v>
      </c>
      <c r="G29" s="71" t="s">
        <v>3</v>
      </c>
      <c r="H29" s="71" t="s">
        <v>2</v>
      </c>
      <c r="I29" s="71" t="s">
        <v>1</v>
      </c>
      <c r="J29" s="71" t="s">
        <v>5</v>
      </c>
      <c r="K29" s="71" t="s">
        <v>4</v>
      </c>
      <c r="L29" s="71" t="s">
        <v>0</v>
      </c>
      <c r="M29" s="7" t="str">
        <f t="shared" si="0"/>
        <v>0110811</v>
      </c>
      <c r="N29" s="7">
        <f t="shared" si="1"/>
        <v>0</v>
      </c>
      <c r="O29" s="7">
        <f t="shared" si="2"/>
        <v>8</v>
      </c>
      <c r="P29" s="7">
        <f t="shared" si="3"/>
        <v>8</v>
      </c>
      <c r="Q29" s="6">
        <f t="shared" si="4"/>
        <v>1</v>
      </c>
      <c r="R29" s="50">
        <f>(IF(Q29=1,VLOOKUP(D29,'Sending Dist Weighted Fund PP'!$A$3:$E$171,5),0))</f>
        <v>15674.27</v>
      </c>
      <c r="S29" s="50">
        <f>IF(Q29=1,(VLOOKUP(M29,'Codes Rates Tuition '!$E$3:$I$61,5,FALSE)),0)</f>
        <v>13315</v>
      </c>
      <c r="T29" s="50">
        <f>IF(OR(H29="PK",H29="P3"),0,(IF(Q29=1,VLOOKUP(M29,'[3]Codes Rates Tuition'!$E$2:$J$60,6,FALSE),0)))</f>
        <v>0</v>
      </c>
      <c r="U29" s="50">
        <f t="shared" si="5"/>
        <v>15674.27</v>
      </c>
      <c r="V29" s="50">
        <f t="shared" si="6"/>
        <v>125394</v>
      </c>
      <c r="W29" s="50">
        <f>E29*IF(Q29=0,VLOOKUP(M29,'Codes Rates Tuition '!$E$3:$J$61,4,FALSE),0)</f>
        <v>0</v>
      </c>
      <c r="X29" s="7"/>
      <c r="Y29" s="6">
        <f t="shared" si="7"/>
        <v>0</v>
      </c>
      <c r="Z29" s="6">
        <f t="shared" si="8"/>
        <v>8</v>
      </c>
    </row>
    <row r="30" spans="1:26" x14ac:dyDescent="0.5">
      <c r="A30" s="22">
        <v>11</v>
      </c>
      <c r="B30" s="22">
        <v>8</v>
      </c>
      <c r="C30" s="22">
        <v>11</v>
      </c>
      <c r="D30" s="22">
        <v>64</v>
      </c>
      <c r="E30" s="22">
        <v>4</v>
      </c>
      <c r="F30" s="70" t="s">
        <v>549</v>
      </c>
      <c r="G30" s="71" t="s">
        <v>3</v>
      </c>
      <c r="H30" s="71" t="s">
        <v>2</v>
      </c>
      <c r="I30" s="71" t="s">
        <v>1</v>
      </c>
      <c r="J30" s="71" t="s">
        <v>5</v>
      </c>
      <c r="K30" s="71" t="s">
        <v>0</v>
      </c>
      <c r="L30" s="71" t="s">
        <v>0</v>
      </c>
      <c r="M30" s="7" t="str">
        <f t="shared" si="0"/>
        <v>0110811</v>
      </c>
      <c r="N30" s="7">
        <f t="shared" si="1"/>
        <v>0</v>
      </c>
      <c r="O30" s="7">
        <f t="shared" si="2"/>
        <v>0</v>
      </c>
      <c r="P30" s="7">
        <f t="shared" si="3"/>
        <v>4</v>
      </c>
      <c r="Q30" s="6">
        <f t="shared" si="4"/>
        <v>1</v>
      </c>
      <c r="R30" s="50">
        <f>(IF(Q30=1,VLOOKUP(D30,'Sending Dist Weighted Fund PP'!$A$3:$E$171,5),0))</f>
        <v>15674.27</v>
      </c>
      <c r="S30" s="50">
        <f>IF(Q30=1,(VLOOKUP(M30,'Codes Rates Tuition '!$E$3:$I$61,5,FALSE)),0)</f>
        <v>13315</v>
      </c>
      <c r="T30" s="50">
        <f>IF(OR(H30="PK",H30="P3"),0,(IF(Q30=1,VLOOKUP(M30,'[3]Codes Rates Tuition'!$E$2:$J$60,6,FALSE),0)))</f>
        <v>0</v>
      </c>
      <c r="U30" s="50">
        <f t="shared" si="5"/>
        <v>15674.27</v>
      </c>
      <c r="V30" s="50">
        <f t="shared" si="6"/>
        <v>62697</v>
      </c>
      <c r="W30" s="50">
        <f>E30*IF(Q30=0,VLOOKUP(M30,'Codes Rates Tuition '!$E$3:$J$61,4,FALSE),0)</f>
        <v>0</v>
      </c>
      <c r="X30" s="7"/>
      <c r="Y30" s="6">
        <f t="shared" si="7"/>
        <v>0</v>
      </c>
      <c r="Z30" s="6">
        <f t="shared" si="8"/>
        <v>4</v>
      </c>
    </row>
    <row r="31" spans="1:26" x14ac:dyDescent="0.5">
      <c r="A31" s="22">
        <v>11</v>
      </c>
      <c r="B31" s="22">
        <v>8</v>
      </c>
      <c r="C31" s="22">
        <v>11</v>
      </c>
      <c r="D31" s="22">
        <v>77</v>
      </c>
      <c r="E31" s="22">
        <v>1</v>
      </c>
      <c r="F31" s="70" t="s">
        <v>549</v>
      </c>
      <c r="G31" s="71" t="s">
        <v>3</v>
      </c>
      <c r="H31" s="71" t="s">
        <v>2</v>
      </c>
      <c r="I31" s="71" t="s">
        <v>1</v>
      </c>
      <c r="J31" s="71" t="s">
        <v>0</v>
      </c>
      <c r="K31" s="71" t="s">
        <v>4</v>
      </c>
      <c r="L31" s="71" t="s">
        <v>0</v>
      </c>
      <c r="M31" s="7" t="str">
        <f t="shared" si="0"/>
        <v>0110811</v>
      </c>
      <c r="N31" s="7">
        <f t="shared" si="1"/>
        <v>0</v>
      </c>
      <c r="O31" s="7">
        <f t="shared" si="2"/>
        <v>1</v>
      </c>
      <c r="P31" s="7">
        <f t="shared" si="3"/>
        <v>0</v>
      </c>
      <c r="Q31" s="6">
        <f t="shared" si="4"/>
        <v>1</v>
      </c>
      <c r="R31" s="50">
        <f>(IF(Q31=1,VLOOKUP(D31,'Sending Dist Weighted Fund PP'!$A$3:$E$171,5),0))</f>
        <v>13917.63</v>
      </c>
      <c r="S31" s="50">
        <f>IF(Q31=1,(VLOOKUP(M31,'Codes Rates Tuition '!$E$3:$I$61,5,FALSE)),0)</f>
        <v>13315</v>
      </c>
      <c r="T31" s="50">
        <f>IF(OR(H31="PK",H31="P3"),0,(IF(Q31=1,VLOOKUP(M31,'[3]Codes Rates Tuition'!$E$2:$J$60,6,FALSE),0)))</f>
        <v>0</v>
      </c>
      <c r="U31" s="50">
        <f t="shared" si="5"/>
        <v>13917.63</v>
      </c>
      <c r="V31" s="50">
        <f t="shared" si="6"/>
        <v>13918</v>
      </c>
      <c r="W31" s="50">
        <f>E31*IF(Q31=0,VLOOKUP(M31,'Codes Rates Tuition '!$E$3:$J$61,4,FALSE),0)</f>
        <v>0</v>
      </c>
      <c r="X31" s="7"/>
      <c r="Y31" s="6">
        <f t="shared" si="7"/>
        <v>0</v>
      </c>
      <c r="Z31" s="6">
        <f t="shared" si="8"/>
        <v>1</v>
      </c>
    </row>
    <row r="32" spans="1:26" x14ac:dyDescent="0.5">
      <c r="A32" s="22">
        <v>11</v>
      </c>
      <c r="B32" s="22">
        <v>8</v>
      </c>
      <c r="C32" s="22">
        <v>11</v>
      </c>
      <c r="D32" s="22">
        <v>89</v>
      </c>
      <c r="E32" s="22">
        <v>1</v>
      </c>
      <c r="F32" s="70" t="s">
        <v>549</v>
      </c>
      <c r="G32" s="71" t="s">
        <v>3</v>
      </c>
      <c r="H32" s="71" t="s">
        <v>2</v>
      </c>
      <c r="I32" s="71" t="s">
        <v>1</v>
      </c>
      <c r="J32" s="71" t="s">
        <v>5</v>
      </c>
      <c r="K32" s="71" t="s">
        <v>4</v>
      </c>
      <c r="L32" s="71" t="s">
        <v>0</v>
      </c>
      <c r="M32" s="7" t="str">
        <f t="shared" si="0"/>
        <v>0110811</v>
      </c>
      <c r="N32" s="7">
        <f t="shared" si="1"/>
        <v>0</v>
      </c>
      <c r="O32" s="7">
        <f t="shared" si="2"/>
        <v>1</v>
      </c>
      <c r="P32" s="7">
        <f t="shared" si="3"/>
        <v>1</v>
      </c>
      <c r="Q32" s="6">
        <f t="shared" si="4"/>
        <v>1</v>
      </c>
      <c r="R32" s="50">
        <f>(IF(Q32=1,VLOOKUP(D32,'Sending Dist Weighted Fund PP'!$A$3:$E$171,5),0))</f>
        <v>14885.33</v>
      </c>
      <c r="S32" s="50">
        <f>IF(Q32=1,(VLOOKUP(M32,'Codes Rates Tuition '!$E$3:$I$61,5,FALSE)),0)</f>
        <v>13315</v>
      </c>
      <c r="T32" s="50">
        <f>IF(OR(H32="PK",H32="P3"),0,(IF(Q32=1,VLOOKUP(M32,'[3]Codes Rates Tuition'!$E$2:$J$60,6,FALSE),0)))</f>
        <v>0</v>
      </c>
      <c r="U32" s="50">
        <f t="shared" si="5"/>
        <v>14885.33</v>
      </c>
      <c r="V32" s="50">
        <f t="shared" si="6"/>
        <v>14885</v>
      </c>
      <c r="W32" s="50">
        <f>E32*IF(Q32=0,VLOOKUP(M32,'Codes Rates Tuition '!$E$3:$J$61,4,FALSE),0)</f>
        <v>0</v>
      </c>
      <c r="X32" s="7"/>
      <c r="Y32" s="6">
        <f t="shared" si="7"/>
        <v>0</v>
      </c>
      <c r="Z32" s="6">
        <f t="shared" si="8"/>
        <v>1</v>
      </c>
    </row>
    <row r="33" spans="1:26" x14ac:dyDescent="0.5">
      <c r="A33" s="22">
        <v>11</v>
      </c>
      <c r="B33" s="22">
        <v>8</v>
      </c>
      <c r="C33" s="22">
        <v>11</v>
      </c>
      <c r="D33" s="22">
        <v>128</v>
      </c>
      <c r="E33" s="22">
        <v>1</v>
      </c>
      <c r="F33" s="70" t="s">
        <v>549</v>
      </c>
      <c r="G33" s="71" t="s">
        <v>3</v>
      </c>
      <c r="H33" s="71" t="s">
        <v>7</v>
      </c>
      <c r="I33" s="71" t="s">
        <v>1</v>
      </c>
      <c r="J33" s="71" t="s">
        <v>0</v>
      </c>
      <c r="K33" s="71" t="s">
        <v>4</v>
      </c>
      <c r="L33" s="71" t="s">
        <v>0</v>
      </c>
      <c r="M33" s="7" t="str">
        <f t="shared" si="0"/>
        <v>0110811</v>
      </c>
      <c r="N33" s="7">
        <f t="shared" si="1"/>
        <v>0</v>
      </c>
      <c r="O33" s="7">
        <f t="shared" si="2"/>
        <v>1</v>
      </c>
      <c r="P33" s="7">
        <f t="shared" si="3"/>
        <v>0</v>
      </c>
      <c r="Q33" s="6">
        <f t="shared" si="4"/>
        <v>1</v>
      </c>
      <c r="R33" s="50">
        <f>(IF(Q33=1,VLOOKUP(D33,'Sending Dist Weighted Fund PP'!$A$3:$E$171,5),0))</f>
        <v>12069.15</v>
      </c>
      <c r="S33" s="50">
        <f>IF(Q33=1,(VLOOKUP(M33,'Codes Rates Tuition '!$E$3:$I$61,5,FALSE)),0)</f>
        <v>13315</v>
      </c>
      <c r="T33" s="50">
        <f>IF(OR(H33="PK",H33="P3"),0,(IF(Q33=1,VLOOKUP(M33,'[3]Codes Rates Tuition'!$E$2:$J$60,6,FALSE),0)))</f>
        <v>0</v>
      </c>
      <c r="U33" s="50">
        <f t="shared" si="5"/>
        <v>13315</v>
      </c>
      <c r="V33" s="50">
        <f t="shared" si="6"/>
        <v>13315</v>
      </c>
      <c r="W33" s="50">
        <f>E33*IF(Q33=0,VLOOKUP(M33,'Codes Rates Tuition '!$E$3:$J$61,4,FALSE),0)</f>
        <v>0</v>
      </c>
      <c r="X33" s="7"/>
      <c r="Y33" s="6">
        <f t="shared" si="7"/>
        <v>0</v>
      </c>
      <c r="Z33" s="6">
        <f t="shared" si="8"/>
        <v>1</v>
      </c>
    </row>
    <row r="34" spans="1:26" x14ac:dyDescent="0.5">
      <c r="A34" s="22">
        <v>11</v>
      </c>
      <c r="B34" s="22">
        <v>8</v>
      </c>
      <c r="C34" s="22">
        <v>11</v>
      </c>
      <c r="D34" s="22">
        <v>128</v>
      </c>
      <c r="E34" s="22">
        <v>9</v>
      </c>
      <c r="F34" s="70" t="s">
        <v>549</v>
      </c>
      <c r="G34" s="71" t="s">
        <v>3</v>
      </c>
      <c r="H34" s="71" t="s">
        <v>7</v>
      </c>
      <c r="I34" s="71" t="s">
        <v>1</v>
      </c>
      <c r="J34" s="71" t="s">
        <v>0</v>
      </c>
      <c r="K34" s="71" t="s">
        <v>0</v>
      </c>
      <c r="L34" s="71" t="s">
        <v>0</v>
      </c>
      <c r="M34" s="7" t="str">
        <f t="shared" si="0"/>
        <v>0110811</v>
      </c>
      <c r="N34" s="7">
        <f t="shared" si="1"/>
        <v>0</v>
      </c>
      <c r="O34" s="7">
        <f t="shared" si="2"/>
        <v>0</v>
      </c>
      <c r="P34" s="7">
        <f t="shared" si="3"/>
        <v>0</v>
      </c>
      <c r="Q34" s="6">
        <f t="shared" si="4"/>
        <v>1</v>
      </c>
      <c r="R34" s="50">
        <f>(IF(Q34=1,VLOOKUP(D34,'Sending Dist Weighted Fund PP'!$A$3:$E$171,5),0))</f>
        <v>12069.15</v>
      </c>
      <c r="S34" s="50">
        <f>IF(Q34=1,(VLOOKUP(M34,'Codes Rates Tuition '!$E$3:$I$61,5,FALSE)),0)</f>
        <v>13315</v>
      </c>
      <c r="T34" s="50">
        <f>IF(OR(H34="PK",H34="P3"),0,(IF(Q34=1,VLOOKUP(M34,'[3]Codes Rates Tuition'!$E$2:$J$60,6,FALSE),0)))</f>
        <v>0</v>
      </c>
      <c r="U34" s="50">
        <f t="shared" si="5"/>
        <v>13315</v>
      </c>
      <c r="V34" s="50">
        <f t="shared" si="6"/>
        <v>119835</v>
      </c>
      <c r="W34" s="50">
        <f>E34*IF(Q34=0,VLOOKUP(M34,'Codes Rates Tuition '!$E$3:$J$61,4,FALSE),0)</f>
        <v>0</v>
      </c>
      <c r="X34" s="7"/>
      <c r="Y34" s="6">
        <f t="shared" si="7"/>
        <v>0</v>
      </c>
      <c r="Z34" s="6">
        <f t="shared" si="8"/>
        <v>9</v>
      </c>
    </row>
    <row r="35" spans="1:26" x14ac:dyDescent="0.5">
      <c r="A35" s="22">
        <v>11</v>
      </c>
      <c r="B35" s="22">
        <v>8</v>
      </c>
      <c r="C35" s="22">
        <v>11</v>
      </c>
      <c r="D35" s="22">
        <v>128</v>
      </c>
      <c r="E35" s="22">
        <v>5</v>
      </c>
      <c r="F35" s="70" t="s">
        <v>549</v>
      </c>
      <c r="G35" s="71" t="s">
        <v>3</v>
      </c>
      <c r="H35" s="71" t="s">
        <v>7</v>
      </c>
      <c r="I35" s="71" t="s">
        <v>1</v>
      </c>
      <c r="J35" s="71" t="s">
        <v>5</v>
      </c>
      <c r="K35" s="71" t="s">
        <v>0</v>
      </c>
      <c r="L35" s="71" t="s">
        <v>0</v>
      </c>
      <c r="M35" s="7" t="str">
        <f t="shared" si="0"/>
        <v>0110811</v>
      </c>
      <c r="N35" s="7">
        <f t="shared" si="1"/>
        <v>0</v>
      </c>
      <c r="O35" s="7">
        <f t="shared" si="2"/>
        <v>0</v>
      </c>
      <c r="P35" s="7">
        <f t="shared" si="3"/>
        <v>5</v>
      </c>
      <c r="Q35" s="6">
        <f t="shared" si="4"/>
        <v>1</v>
      </c>
      <c r="R35" s="50">
        <f>(IF(Q35=1,VLOOKUP(D35,'Sending Dist Weighted Fund PP'!$A$3:$E$171,5),0))</f>
        <v>12069.15</v>
      </c>
      <c r="S35" s="50">
        <f>IF(Q35=1,(VLOOKUP(M35,'Codes Rates Tuition '!$E$3:$I$61,5,FALSE)),0)</f>
        <v>13315</v>
      </c>
      <c r="T35" s="50">
        <f>IF(OR(H35="PK",H35="P3"),0,(IF(Q35=1,VLOOKUP(M35,'[3]Codes Rates Tuition'!$E$2:$J$60,6,FALSE),0)))</f>
        <v>0</v>
      </c>
      <c r="U35" s="50">
        <f t="shared" si="5"/>
        <v>13315</v>
      </c>
      <c r="V35" s="50">
        <f t="shared" si="6"/>
        <v>66575</v>
      </c>
      <c r="W35" s="50">
        <f>E35*IF(Q35=0,VLOOKUP(M35,'Codes Rates Tuition '!$E$3:$J$61,4,FALSE),0)</f>
        <v>0</v>
      </c>
      <c r="X35" s="7"/>
      <c r="Y35" s="6">
        <f t="shared" si="7"/>
        <v>0</v>
      </c>
      <c r="Z35" s="6">
        <f t="shared" si="8"/>
        <v>5</v>
      </c>
    </row>
    <row r="36" spans="1:26" x14ac:dyDescent="0.5">
      <c r="A36" s="22">
        <v>11</v>
      </c>
      <c r="B36" s="22">
        <v>8</v>
      </c>
      <c r="C36" s="22">
        <v>11</v>
      </c>
      <c r="D36" s="22">
        <v>128</v>
      </c>
      <c r="E36" s="22">
        <v>1</v>
      </c>
      <c r="F36" s="70" t="s">
        <v>549</v>
      </c>
      <c r="G36" s="71" t="s">
        <v>3</v>
      </c>
      <c r="H36" s="71" t="s">
        <v>2</v>
      </c>
      <c r="I36" s="71" t="s">
        <v>1</v>
      </c>
      <c r="J36" s="71" t="s">
        <v>0</v>
      </c>
      <c r="K36" s="71" t="s">
        <v>4</v>
      </c>
      <c r="L36" s="71" t="s">
        <v>0</v>
      </c>
      <c r="M36" s="7" t="str">
        <f t="shared" si="0"/>
        <v>0110811</v>
      </c>
      <c r="N36" s="7">
        <f t="shared" si="1"/>
        <v>0</v>
      </c>
      <c r="O36" s="7">
        <f t="shared" si="2"/>
        <v>1</v>
      </c>
      <c r="P36" s="7">
        <f t="shared" si="3"/>
        <v>0</v>
      </c>
      <c r="Q36" s="6">
        <f t="shared" si="4"/>
        <v>1</v>
      </c>
      <c r="R36" s="50">
        <f>(IF(Q36=1,VLOOKUP(D36,'Sending Dist Weighted Fund PP'!$A$3:$E$171,5),0))</f>
        <v>12069.15</v>
      </c>
      <c r="S36" s="50">
        <f>IF(Q36=1,(VLOOKUP(M36,'Codes Rates Tuition '!$E$3:$I$61,5,FALSE)),0)</f>
        <v>13315</v>
      </c>
      <c r="T36" s="50">
        <f>IF(OR(H36="PK",H36="P3"),0,(IF(Q36=1,VLOOKUP(M36,'[3]Codes Rates Tuition'!$E$2:$J$60,6,FALSE),0)))</f>
        <v>0</v>
      </c>
      <c r="U36" s="50">
        <f t="shared" si="5"/>
        <v>13315</v>
      </c>
      <c r="V36" s="50">
        <f t="shared" si="6"/>
        <v>13315</v>
      </c>
      <c r="W36" s="50">
        <f>E36*IF(Q36=0,VLOOKUP(M36,'Codes Rates Tuition '!$E$3:$J$61,4,FALSE),0)</f>
        <v>0</v>
      </c>
      <c r="X36" s="7"/>
      <c r="Y36" s="6">
        <f t="shared" si="7"/>
        <v>0</v>
      </c>
      <c r="Z36" s="6">
        <f t="shared" si="8"/>
        <v>1</v>
      </c>
    </row>
    <row r="37" spans="1:26" x14ac:dyDescent="0.5">
      <c r="A37" s="22">
        <v>11</v>
      </c>
      <c r="B37" s="22">
        <v>8</v>
      </c>
      <c r="C37" s="22">
        <v>11</v>
      </c>
      <c r="D37" s="22">
        <v>128</v>
      </c>
      <c r="E37" s="22">
        <v>14</v>
      </c>
      <c r="F37" s="70" t="s">
        <v>549</v>
      </c>
      <c r="G37" s="71" t="s">
        <v>3</v>
      </c>
      <c r="H37" s="71" t="s">
        <v>2</v>
      </c>
      <c r="I37" s="71" t="s">
        <v>1</v>
      </c>
      <c r="J37" s="71" t="s">
        <v>0</v>
      </c>
      <c r="K37" s="71" t="s">
        <v>0</v>
      </c>
      <c r="L37" s="71" t="s">
        <v>0</v>
      </c>
      <c r="M37" s="7" t="str">
        <f t="shared" si="0"/>
        <v>0110811</v>
      </c>
      <c r="N37" s="7">
        <f t="shared" si="1"/>
        <v>0</v>
      </c>
      <c r="O37" s="7">
        <f t="shared" si="2"/>
        <v>0</v>
      </c>
      <c r="P37" s="7">
        <f t="shared" si="3"/>
        <v>0</v>
      </c>
      <c r="Q37" s="6">
        <f t="shared" si="4"/>
        <v>1</v>
      </c>
      <c r="R37" s="50">
        <f>(IF(Q37=1,VLOOKUP(D37,'Sending Dist Weighted Fund PP'!$A$3:$E$171,5),0))</f>
        <v>12069.15</v>
      </c>
      <c r="S37" s="50">
        <f>IF(Q37=1,(VLOOKUP(M37,'Codes Rates Tuition '!$E$3:$I$61,5,FALSE)),0)</f>
        <v>13315</v>
      </c>
      <c r="T37" s="50">
        <f>IF(OR(H37="PK",H37="P3"),0,(IF(Q37=1,VLOOKUP(M37,'[3]Codes Rates Tuition'!$E$2:$J$60,6,FALSE),0)))</f>
        <v>0</v>
      </c>
      <c r="U37" s="50">
        <f t="shared" si="5"/>
        <v>13315</v>
      </c>
      <c r="V37" s="50">
        <f t="shared" si="6"/>
        <v>186410</v>
      </c>
      <c r="W37" s="50">
        <f>E37*IF(Q37=0,VLOOKUP(M37,'Codes Rates Tuition '!$E$3:$J$61,4,FALSE),0)</f>
        <v>0</v>
      </c>
      <c r="X37" s="7"/>
      <c r="Y37" s="6">
        <f t="shared" si="7"/>
        <v>0</v>
      </c>
      <c r="Z37" s="6">
        <f t="shared" si="8"/>
        <v>14</v>
      </c>
    </row>
    <row r="38" spans="1:26" x14ac:dyDescent="0.5">
      <c r="A38" s="22">
        <v>11</v>
      </c>
      <c r="B38" s="22">
        <v>8</v>
      </c>
      <c r="C38" s="22">
        <v>11</v>
      </c>
      <c r="D38" s="22">
        <v>155</v>
      </c>
      <c r="E38" s="22">
        <v>1</v>
      </c>
      <c r="F38" s="70" t="s">
        <v>549</v>
      </c>
      <c r="G38" s="71" t="s">
        <v>3</v>
      </c>
      <c r="H38" s="71" t="s">
        <v>7</v>
      </c>
      <c r="I38" s="71" t="s">
        <v>1</v>
      </c>
      <c r="J38" s="71" t="s">
        <v>0</v>
      </c>
      <c r="K38" s="71" t="s">
        <v>4</v>
      </c>
      <c r="L38" s="71" t="s">
        <v>0</v>
      </c>
      <c r="M38" s="7" t="str">
        <f t="shared" si="0"/>
        <v>0110811</v>
      </c>
      <c r="N38" s="7">
        <f t="shared" si="1"/>
        <v>0</v>
      </c>
      <c r="O38" s="7">
        <f t="shared" si="2"/>
        <v>1</v>
      </c>
      <c r="P38" s="7">
        <f t="shared" si="3"/>
        <v>0</v>
      </c>
      <c r="Q38" s="6">
        <f t="shared" si="4"/>
        <v>1</v>
      </c>
      <c r="R38" s="50">
        <f>(IF(Q38=1,VLOOKUP(D38,'Sending Dist Weighted Fund PP'!$A$3:$E$171,5),0))</f>
        <v>12694.97</v>
      </c>
      <c r="S38" s="50">
        <f>IF(Q38=1,(VLOOKUP(M38,'Codes Rates Tuition '!$E$3:$I$61,5,FALSE)),0)</f>
        <v>13315</v>
      </c>
      <c r="T38" s="50">
        <f>IF(OR(H38="PK",H38="P3"),0,(IF(Q38=1,VLOOKUP(M38,'[3]Codes Rates Tuition'!$E$2:$J$60,6,FALSE),0)))</f>
        <v>0</v>
      </c>
      <c r="U38" s="50">
        <f t="shared" si="5"/>
        <v>13315</v>
      </c>
      <c r="V38" s="50">
        <f t="shared" si="6"/>
        <v>13315</v>
      </c>
      <c r="W38" s="50">
        <f>E38*IF(Q38=0,VLOOKUP(M38,'Codes Rates Tuition '!$E$3:$J$61,4,FALSE),0)</f>
        <v>0</v>
      </c>
      <c r="X38" s="7"/>
      <c r="Y38" s="6">
        <f t="shared" si="7"/>
        <v>0</v>
      </c>
      <c r="Z38" s="6">
        <f t="shared" si="8"/>
        <v>1</v>
      </c>
    </row>
    <row r="39" spans="1:26" x14ac:dyDescent="0.5">
      <c r="A39" s="22">
        <v>11</v>
      </c>
      <c r="B39" s="22">
        <v>8</v>
      </c>
      <c r="C39" s="22">
        <v>11</v>
      </c>
      <c r="D39" s="22">
        <v>155</v>
      </c>
      <c r="E39" s="22">
        <v>16</v>
      </c>
      <c r="F39" s="70" t="s">
        <v>549</v>
      </c>
      <c r="G39" s="71" t="s">
        <v>3</v>
      </c>
      <c r="H39" s="71" t="s">
        <v>7</v>
      </c>
      <c r="I39" s="71" t="s">
        <v>1</v>
      </c>
      <c r="J39" s="71" t="s">
        <v>0</v>
      </c>
      <c r="K39" s="71" t="s">
        <v>0</v>
      </c>
      <c r="L39" s="71" t="s">
        <v>0</v>
      </c>
      <c r="M39" s="7" t="str">
        <f t="shared" si="0"/>
        <v>0110811</v>
      </c>
      <c r="N39" s="7">
        <f t="shared" si="1"/>
        <v>0</v>
      </c>
      <c r="O39" s="7">
        <f t="shared" si="2"/>
        <v>0</v>
      </c>
      <c r="P39" s="7">
        <f t="shared" si="3"/>
        <v>0</v>
      </c>
      <c r="Q39" s="6">
        <f t="shared" si="4"/>
        <v>1</v>
      </c>
      <c r="R39" s="50">
        <f>(IF(Q39=1,VLOOKUP(D39,'Sending Dist Weighted Fund PP'!$A$3:$E$171,5),0))</f>
        <v>12694.97</v>
      </c>
      <c r="S39" s="50">
        <f>IF(Q39=1,(VLOOKUP(M39,'Codes Rates Tuition '!$E$3:$I$61,5,FALSE)),0)</f>
        <v>13315</v>
      </c>
      <c r="T39" s="50">
        <f>IF(OR(H39="PK",H39="P3"),0,(IF(Q39=1,VLOOKUP(M39,'[3]Codes Rates Tuition'!$E$2:$J$60,6,FALSE),0)))</f>
        <v>0</v>
      </c>
      <c r="U39" s="50">
        <f t="shared" si="5"/>
        <v>13315</v>
      </c>
      <c r="V39" s="50">
        <f t="shared" si="6"/>
        <v>213040</v>
      </c>
      <c r="W39" s="50">
        <f>E39*IF(Q39=0,VLOOKUP(M39,'Codes Rates Tuition '!$E$3:$J$61,4,FALSE),0)</f>
        <v>0</v>
      </c>
      <c r="X39" s="7"/>
      <c r="Y39" s="6">
        <f t="shared" si="7"/>
        <v>0</v>
      </c>
      <c r="Z39" s="6">
        <f t="shared" si="8"/>
        <v>16</v>
      </c>
    </row>
    <row r="40" spans="1:26" x14ac:dyDescent="0.5">
      <c r="A40" s="22">
        <v>11</v>
      </c>
      <c r="B40" s="22">
        <v>8</v>
      </c>
      <c r="C40" s="22">
        <v>11</v>
      </c>
      <c r="D40" s="22">
        <v>155</v>
      </c>
      <c r="E40" s="22">
        <v>1</v>
      </c>
      <c r="F40" s="70" t="s">
        <v>549</v>
      </c>
      <c r="G40" s="71" t="s">
        <v>3</v>
      </c>
      <c r="H40" s="71" t="s">
        <v>7</v>
      </c>
      <c r="I40" s="71" t="s">
        <v>1</v>
      </c>
      <c r="J40" s="71" t="s">
        <v>0</v>
      </c>
      <c r="K40" s="71" t="s">
        <v>6</v>
      </c>
      <c r="L40" s="71" t="s">
        <v>0</v>
      </c>
      <c r="M40" s="7" t="str">
        <f t="shared" si="0"/>
        <v>0110811</v>
      </c>
      <c r="N40" s="7">
        <f t="shared" si="1"/>
        <v>0</v>
      </c>
      <c r="O40" s="7">
        <f t="shared" si="2"/>
        <v>1</v>
      </c>
      <c r="P40" s="7">
        <f t="shared" si="3"/>
        <v>0</v>
      </c>
      <c r="Q40" s="6">
        <f t="shared" si="4"/>
        <v>1</v>
      </c>
      <c r="R40" s="50">
        <f>(IF(Q40=1,VLOOKUP(D40,'Sending Dist Weighted Fund PP'!$A$3:$E$171,5),0))</f>
        <v>12694.97</v>
      </c>
      <c r="S40" s="50">
        <f>IF(Q40=1,(VLOOKUP(M40,'Codes Rates Tuition '!$E$3:$I$61,5,FALSE)),0)</f>
        <v>13315</v>
      </c>
      <c r="T40" s="50">
        <f>IF(OR(H40="PK",H40="P3"),0,(IF(Q40=1,VLOOKUP(M40,'[3]Codes Rates Tuition'!$E$2:$J$60,6,FALSE),0)))</f>
        <v>0</v>
      </c>
      <c r="U40" s="50">
        <f t="shared" si="5"/>
        <v>13315</v>
      </c>
      <c r="V40" s="50">
        <f t="shared" si="6"/>
        <v>13315</v>
      </c>
      <c r="W40" s="50">
        <f>E40*IF(Q40=0,VLOOKUP(M40,'Codes Rates Tuition '!$E$3:$J$61,4,FALSE),0)</f>
        <v>0</v>
      </c>
      <c r="X40" s="7"/>
      <c r="Y40" s="6">
        <f t="shared" si="7"/>
        <v>0</v>
      </c>
      <c r="Z40" s="6">
        <f t="shared" si="8"/>
        <v>1</v>
      </c>
    </row>
    <row r="41" spans="1:26" x14ac:dyDescent="0.5">
      <c r="A41" s="22">
        <v>11</v>
      </c>
      <c r="B41" s="22">
        <v>8</v>
      </c>
      <c r="C41" s="22">
        <v>11</v>
      </c>
      <c r="D41" s="22">
        <v>155</v>
      </c>
      <c r="E41" s="22">
        <v>1</v>
      </c>
      <c r="F41" s="70" t="s">
        <v>549</v>
      </c>
      <c r="G41" s="71" t="s">
        <v>3</v>
      </c>
      <c r="H41" s="71" t="s">
        <v>2</v>
      </c>
      <c r="I41" s="71" t="s">
        <v>1</v>
      </c>
      <c r="J41" s="71" t="s">
        <v>0</v>
      </c>
      <c r="K41" s="71" t="s">
        <v>4</v>
      </c>
      <c r="L41" s="71" t="s">
        <v>0</v>
      </c>
      <c r="M41" s="7" t="str">
        <f t="shared" si="0"/>
        <v>0110811</v>
      </c>
      <c r="N41" s="7">
        <f t="shared" si="1"/>
        <v>0</v>
      </c>
      <c r="O41" s="7">
        <f t="shared" si="2"/>
        <v>1</v>
      </c>
      <c r="P41" s="7">
        <f t="shared" si="3"/>
        <v>0</v>
      </c>
      <c r="Q41" s="6">
        <f t="shared" si="4"/>
        <v>1</v>
      </c>
      <c r="R41" s="50">
        <f>(IF(Q41=1,VLOOKUP(D41,'Sending Dist Weighted Fund PP'!$A$3:$E$171,5),0))</f>
        <v>12694.97</v>
      </c>
      <c r="S41" s="50">
        <f>IF(Q41=1,(VLOOKUP(M41,'Codes Rates Tuition '!$E$3:$I$61,5,FALSE)),0)</f>
        <v>13315</v>
      </c>
      <c r="T41" s="50">
        <f>IF(OR(H41="PK",H41="P3"),0,(IF(Q41=1,VLOOKUP(M41,'[3]Codes Rates Tuition'!$E$2:$J$60,6,FALSE),0)))</f>
        <v>0</v>
      </c>
      <c r="U41" s="50">
        <f t="shared" si="5"/>
        <v>13315</v>
      </c>
      <c r="V41" s="50">
        <f t="shared" si="6"/>
        <v>13315</v>
      </c>
      <c r="W41" s="50">
        <f>E41*IF(Q41=0,VLOOKUP(M41,'Codes Rates Tuition '!$E$3:$J$61,4,FALSE),0)</f>
        <v>0</v>
      </c>
      <c r="X41" s="7"/>
      <c r="Y41" s="6">
        <f t="shared" si="7"/>
        <v>0</v>
      </c>
      <c r="Z41" s="6">
        <f t="shared" si="8"/>
        <v>1</v>
      </c>
    </row>
    <row r="42" spans="1:26" x14ac:dyDescent="0.5">
      <c r="A42" s="22">
        <v>11</v>
      </c>
      <c r="B42" s="22">
        <v>8</v>
      </c>
      <c r="C42" s="22">
        <v>11</v>
      </c>
      <c r="D42" s="22">
        <v>155</v>
      </c>
      <c r="E42" s="22">
        <v>31</v>
      </c>
      <c r="F42" s="70" t="s">
        <v>549</v>
      </c>
      <c r="G42" s="71" t="s">
        <v>3</v>
      </c>
      <c r="H42" s="71" t="s">
        <v>2</v>
      </c>
      <c r="I42" s="71" t="s">
        <v>1</v>
      </c>
      <c r="J42" s="71" t="s">
        <v>0</v>
      </c>
      <c r="K42" s="71" t="s">
        <v>0</v>
      </c>
      <c r="L42" s="71" t="s">
        <v>0</v>
      </c>
      <c r="M42" s="7" t="str">
        <f t="shared" si="0"/>
        <v>0110811</v>
      </c>
      <c r="N42" s="7">
        <f t="shared" si="1"/>
        <v>0</v>
      </c>
      <c r="O42" s="7">
        <f t="shared" si="2"/>
        <v>0</v>
      </c>
      <c r="P42" s="7">
        <f t="shared" si="3"/>
        <v>0</v>
      </c>
      <c r="Q42" s="6">
        <f t="shared" si="4"/>
        <v>1</v>
      </c>
      <c r="R42" s="50">
        <f>(IF(Q42=1,VLOOKUP(D42,'Sending Dist Weighted Fund PP'!$A$3:$E$171,5),0))</f>
        <v>12694.97</v>
      </c>
      <c r="S42" s="50">
        <f>IF(Q42=1,(VLOOKUP(M42,'Codes Rates Tuition '!$E$3:$I$61,5,FALSE)),0)</f>
        <v>13315</v>
      </c>
      <c r="T42" s="50">
        <f>IF(OR(H42="PK",H42="P3"),0,(IF(Q42=1,VLOOKUP(M42,'[3]Codes Rates Tuition'!$E$2:$J$60,6,FALSE),0)))</f>
        <v>0</v>
      </c>
      <c r="U42" s="50">
        <f t="shared" si="5"/>
        <v>13315</v>
      </c>
      <c r="V42" s="50">
        <f t="shared" si="6"/>
        <v>412765</v>
      </c>
      <c r="W42" s="50">
        <f>E42*IF(Q42=0,VLOOKUP(M42,'Codes Rates Tuition '!$E$3:$J$61,4,FALSE),0)</f>
        <v>0</v>
      </c>
      <c r="X42" s="7"/>
      <c r="Y42" s="6">
        <f t="shared" si="7"/>
        <v>0</v>
      </c>
      <c r="Z42" s="6">
        <f t="shared" si="8"/>
        <v>31</v>
      </c>
    </row>
    <row r="43" spans="1:26" x14ac:dyDescent="0.5">
      <c r="A43" s="22">
        <v>11</v>
      </c>
      <c r="B43" s="22">
        <v>8</v>
      </c>
      <c r="C43" s="22">
        <v>11</v>
      </c>
      <c r="D43" s="22">
        <v>155</v>
      </c>
      <c r="E43" s="22">
        <v>1</v>
      </c>
      <c r="F43" s="70" t="s">
        <v>549</v>
      </c>
      <c r="G43" s="71" t="s">
        <v>3</v>
      </c>
      <c r="H43" s="71" t="s">
        <v>2</v>
      </c>
      <c r="I43" s="71" t="s">
        <v>1</v>
      </c>
      <c r="J43" s="71" t="s">
        <v>5</v>
      </c>
      <c r="K43" s="71" t="s">
        <v>4</v>
      </c>
      <c r="L43" s="71" t="s">
        <v>0</v>
      </c>
      <c r="M43" s="7" t="str">
        <f t="shared" si="0"/>
        <v>0110811</v>
      </c>
      <c r="N43" s="7">
        <f t="shared" si="1"/>
        <v>0</v>
      </c>
      <c r="O43" s="7">
        <f t="shared" si="2"/>
        <v>1</v>
      </c>
      <c r="P43" s="7">
        <f t="shared" si="3"/>
        <v>1</v>
      </c>
      <c r="Q43" s="6">
        <f t="shared" si="4"/>
        <v>1</v>
      </c>
      <c r="R43" s="50">
        <f>(IF(Q43=1,VLOOKUP(D43,'Sending Dist Weighted Fund PP'!$A$3:$E$171,5),0))</f>
        <v>12694.97</v>
      </c>
      <c r="S43" s="50">
        <f>IF(Q43=1,(VLOOKUP(M43,'Codes Rates Tuition '!$E$3:$I$61,5,FALSE)),0)</f>
        <v>13315</v>
      </c>
      <c r="T43" s="50">
        <f>IF(OR(H43="PK",H43="P3"),0,(IF(Q43=1,VLOOKUP(M43,'[3]Codes Rates Tuition'!$E$2:$J$60,6,FALSE),0)))</f>
        <v>0</v>
      </c>
      <c r="U43" s="50">
        <f t="shared" si="5"/>
        <v>13315</v>
      </c>
      <c r="V43" s="50">
        <f t="shared" si="6"/>
        <v>13315</v>
      </c>
      <c r="W43" s="50">
        <f>E43*IF(Q43=0,VLOOKUP(M43,'Codes Rates Tuition '!$E$3:$J$61,4,FALSE),0)</f>
        <v>0</v>
      </c>
      <c r="X43" s="7"/>
      <c r="Y43" s="6">
        <f t="shared" si="7"/>
        <v>0</v>
      </c>
      <c r="Z43" s="6">
        <f t="shared" si="8"/>
        <v>1</v>
      </c>
    </row>
    <row r="44" spans="1:26" x14ac:dyDescent="0.5">
      <c r="A44" s="22">
        <v>11</v>
      </c>
      <c r="B44" s="22">
        <v>8</v>
      </c>
      <c r="C44" s="22">
        <v>11</v>
      </c>
      <c r="D44" s="22">
        <v>155</v>
      </c>
      <c r="E44" s="22">
        <v>1</v>
      </c>
      <c r="F44" s="70" t="s">
        <v>549</v>
      </c>
      <c r="G44" s="71" t="s">
        <v>3</v>
      </c>
      <c r="H44" s="71" t="s">
        <v>2</v>
      </c>
      <c r="I44" s="71" t="s">
        <v>1</v>
      </c>
      <c r="J44" s="71" t="s">
        <v>5</v>
      </c>
      <c r="K44" s="71" t="s">
        <v>0</v>
      </c>
      <c r="L44" s="71" t="s">
        <v>0</v>
      </c>
      <c r="M44" s="7" t="str">
        <f t="shared" si="0"/>
        <v>0110811</v>
      </c>
      <c r="N44" s="7">
        <f t="shared" si="1"/>
        <v>0</v>
      </c>
      <c r="O44" s="7">
        <f t="shared" si="2"/>
        <v>0</v>
      </c>
      <c r="P44" s="7">
        <f t="shared" si="3"/>
        <v>1</v>
      </c>
      <c r="Q44" s="6">
        <f t="shared" si="4"/>
        <v>1</v>
      </c>
      <c r="R44" s="50">
        <f>(IF(Q44=1,VLOOKUP(D44,'Sending Dist Weighted Fund PP'!$A$3:$E$171,5),0))</f>
        <v>12694.97</v>
      </c>
      <c r="S44" s="50">
        <f>IF(Q44=1,(VLOOKUP(M44,'Codes Rates Tuition '!$E$3:$I$61,5,FALSE)),0)</f>
        <v>13315</v>
      </c>
      <c r="T44" s="50">
        <f>IF(OR(H44="PK",H44="P3"),0,(IF(Q44=1,VLOOKUP(M44,'[3]Codes Rates Tuition'!$E$2:$J$60,6,FALSE),0)))</f>
        <v>0</v>
      </c>
      <c r="U44" s="50">
        <f t="shared" si="5"/>
        <v>13315</v>
      </c>
      <c r="V44" s="50">
        <f t="shared" si="6"/>
        <v>13315</v>
      </c>
      <c r="W44" s="50">
        <f>E44*IF(Q44=0,VLOOKUP(M44,'Codes Rates Tuition '!$E$3:$J$61,4,FALSE),0)</f>
        <v>0</v>
      </c>
      <c r="X44" s="7"/>
      <c r="Y44" s="6">
        <f t="shared" si="7"/>
        <v>0</v>
      </c>
      <c r="Z44" s="6">
        <f t="shared" si="8"/>
        <v>1</v>
      </c>
    </row>
    <row r="45" spans="1:26" x14ac:dyDescent="0.5">
      <c r="A45" s="22">
        <v>11</v>
      </c>
      <c r="B45" s="22">
        <v>8</v>
      </c>
      <c r="C45" s="22">
        <v>11</v>
      </c>
      <c r="D45" s="22">
        <v>159</v>
      </c>
      <c r="E45" s="22">
        <v>1</v>
      </c>
      <c r="F45" s="70" t="s">
        <v>549</v>
      </c>
      <c r="G45" s="71" t="s">
        <v>3</v>
      </c>
      <c r="H45" s="71" t="s">
        <v>2</v>
      </c>
      <c r="I45" s="71" t="s">
        <v>1</v>
      </c>
      <c r="J45" s="71" t="s">
        <v>0</v>
      </c>
      <c r="K45" s="71" t="s">
        <v>0</v>
      </c>
      <c r="L45" s="71" t="s">
        <v>0</v>
      </c>
      <c r="M45" s="7" t="str">
        <f t="shared" si="0"/>
        <v>0110811</v>
      </c>
      <c r="N45" s="7">
        <f t="shared" si="1"/>
        <v>0</v>
      </c>
      <c r="O45" s="7">
        <f t="shared" si="2"/>
        <v>0</v>
      </c>
      <c r="P45" s="7">
        <f t="shared" si="3"/>
        <v>0</v>
      </c>
      <c r="Q45" s="6">
        <f t="shared" si="4"/>
        <v>1</v>
      </c>
      <c r="R45" s="50">
        <f>(IF(Q45=1,VLOOKUP(D45,'Sending Dist Weighted Fund PP'!$A$3:$E$171,5),0))</f>
        <v>12743.75</v>
      </c>
      <c r="S45" s="50">
        <f>IF(Q45=1,(VLOOKUP(M45,'Codes Rates Tuition '!$E$3:$I$61,5,FALSE)),0)</f>
        <v>13315</v>
      </c>
      <c r="T45" s="50">
        <f>IF(OR(H45="PK",H45="P3"),0,(IF(Q45=1,VLOOKUP(M45,'[3]Codes Rates Tuition'!$E$2:$J$60,6,FALSE),0)))</f>
        <v>0</v>
      </c>
      <c r="U45" s="50">
        <f t="shared" si="5"/>
        <v>13315</v>
      </c>
      <c r="V45" s="50">
        <f t="shared" si="6"/>
        <v>13315</v>
      </c>
      <c r="W45" s="50">
        <f>E45*IF(Q45=0,VLOOKUP(M45,'Codes Rates Tuition '!$E$3:$J$61,4,FALSE),0)</f>
        <v>0</v>
      </c>
      <c r="X45" s="7"/>
      <c r="Y45" s="6">
        <f t="shared" si="7"/>
        <v>0</v>
      </c>
      <c r="Z45" s="6">
        <f t="shared" si="8"/>
        <v>1</v>
      </c>
    </row>
    <row r="46" spans="1:26" x14ac:dyDescent="0.5">
      <c r="A46" s="22">
        <v>11</v>
      </c>
      <c r="B46" s="22">
        <v>8</v>
      </c>
      <c r="C46" s="22">
        <v>11</v>
      </c>
      <c r="D46" s="22">
        <v>164</v>
      </c>
      <c r="E46" s="22">
        <v>1</v>
      </c>
      <c r="F46" s="70" t="s">
        <v>549</v>
      </c>
      <c r="G46" s="71" t="s">
        <v>3</v>
      </c>
      <c r="H46" s="71" t="s">
        <v>2</v>
      </c>
      <c r="I46" s="71" t="s">
        <v>1</v>
      </c>
      <c r="J46" s="71" t="s">
        <v>0</v>
      </c>
      <c r="K46" s="71" t="s">
        <v>4</v>
      </c>
      <c r="L46" s="71" t="s">
        <v>0</v>
      </c>
      <c r="M46" s="7" t="str">
        <f t="shared" si="0"/>
        <v>0110811</v>
      </c>
      <c r="N46" s="7">
        <f t="shared" si="1"/>
        <v>0</v>
      </c>
      <c r="O46" s="7">
        <f t="shared" si="2"/>
        <v>1</v>
      </c>
      <c r="P46" s="7">
        <f t="shared" si="3"/>
        <v>0</v>
      </c>
      <c r="Q46" s="6">
        <f t="shared" si="4"/>
        <v>1</v>
      </c>
      <c r="R46" s="50">
        <f>(IF(Q46=1,VLOOKUP(D46,'Sending Dist Weighted Fund PP'!$A$3:$E$171,5),0))</f>
        <v>13399</v>
      </c>
      <c r="S46" s="50">
        <f>IF(Q46=1,(VLOOKUP(M46,'Codes Rates Tuition '!$E$3:$I$61,5,FALSE)),0)</f>
        <v>13315</v>
      </c>
      <c r="T46" s="50">
        <f>IF(OR(H46="PK",H46="P3"),0,(IF(Q46=1,VLOOKUP(M46,'[3]Codes Rates Tuition'!$E$2:$J$60,6,FALSE),0)))</f>
        <v>0</v>
      </c>
      <c r="U46" s="50">
        <f t="shared" si="5"/>
        <v>13399</v>
      </c>
      <c r="V46" s="50">
        <f t="shared" si="6"/>
        <v>13399</v>
      </c>
      <c r="W46" s="50">
        <f>E46*IF(Q46=0,VLOOKUP(M46,'Codes Rates Tuition '!$E$3:$J$61,4,FALSE),0)</f>
        <v>0</v>
      </c>
      <c r="X46" s="7"/>
      <c r="Y46" s="6">
        <f t="shared" si="7"/>
        <v>0</v>
      </c>
      <c r="Z46" s="6">
        <f t="shared" si="8"/>
        <v>1</v>
      </c>
    </row>
    <row r="47" spans="1:26" x14ac:dyDescent="0.5">
      <c r="A47" s="22">
        <v>11</v>
      </c>
      <c r="B47" s="22">
        <v>8</v>
      </c>
      <c r="C47" s="22">
        <v>11</v>
      </c>
      <c r="D47" s="22">
        <v>164</v>
      </c>
      <c r="E47" s="22">
        <v>1</v>
      </c>
      <c r="F47" s="70" t="s">
        <v>549</v>
      </c>
      <c r="G47" s="71" t="s">
        <v>3</v>
      </c>
      <c r="H47" s="71" t="s">
        <v>2</v>
      </c>
      <c r="I47" s="71" t="s">
        <v>1</v>
      </c>
      <c r="J47" s="71" t="s">
        <v>0</v>
      </c>
      <c r="K47" s="71" t="s">
        <v>0</v>
      </c>
      <c r="L47" s="71" t="s">
        <v>0</v>
      </c>
      <c r="M47" s="7" t="str">
        <f t="shared" si="0"/>
        <v>0110811</v>
      </c>
      <c r="N47" s="7">
        <f t="shared" si="1"/>
        <v>0</v>
      </c>
      <c r="O47" s="7">
        <f t="shared" si="2"/>
        <v>0</v>
      </c>
      <c r="P47" s="7">
        <f t="shared" si="3"/>
        <v>0</v>
      </c>
      <c r="Q47" s="6">
        <f t="shared" si="4"/>
        <v>1</v>
      </c>
      <c r="R47" s="50">
        <f>(IF(Q47=1,VLOOKUP(D47,'Sending Dist Weighted Fund PP'!$A$3:$E$171,5),0))</f>
        <v>13399</v>
      </c>
      <c r="S47" s="50">
        <f>IF(Q47=1,(VLOOKUP(M47,'Codes Rates Tuition '!$E$3:$I$61,5,FALSE)),0)</f>
        <v>13315</v>
      </c>
      <c r="T47" s="50">
        <f>IF(OR(H47="PK",H47="P3"),0,(IF(Q47=1,VLOOKUP(M47,'Codes Rates Tuition '!$E$3:$J$61,6,FALSE),0)))</f>
        <v>0</v>
      </c>
      <c r="U47" s="50">
        <f t="shared" si="5"/>
        <v>13399</v>
      </c>
      <c r="V47" s="50">
        <f t="shared" si="6"/>
        <v>13399</v>
      </c>
      <c r="W47" s="50">
        <f>E47*IF(Q47=0,VLOOKUP(M47,'Codes Rates Tuition '!$E$3:$J$61,4,FALSE),0)</f>
        <v>0</v>
      </c>
      <c r="X47" s="7"/>
      <c r="Y47" s="6">
        <f t="shared" si="7"/>
        <v>0</v>
      </c>
      <c r="Z47" s="6">
        <f t="shared" si="8"/>
        <v>1</v>
      </c>
    </row>
    <row r="48" spans="1:26" x14ac:dyDescent="0.5">
      <c r="R48" s="50"/>
      <c r="S48" s="50"/>
      <c r="T48" s="50"/>
      <c r="U48" s="50"/>
      <c r="V48" s="50">
        <f>SUM(V3:V47)</f>
        <v>2997347</v>
      </c>
      <c r="W48" s="50"/>
      <c r="Y48" s="6">
        <f>SUM(Y3:Y47)</f>
        <v>67</v>
      </c>
      <c r="Z48" s="6">
        <f>SUM(Z3:Z47)</f>
        <v>212</v>
      </c>
    </row>
    <row r="49" spans="1:26" ht="16.149999999999999" thickBot="1" x14ac:dyDescent="0.55000000000000004">
      <c r="R49" s="50"/>
      <c r="S49" s="50"/>
      <c r="T49" s="50"/>
      <c r="U49" s="50"/>
      <c r="V49" s="50"/>
      <c r="W49" s="50"/>
    </row>
    <row r="50" spans="1:26" x14ac:dyDescent="0.5">
      <c r="A50" s="23">
        <v>34</v>
      </c>
      <c r="B50" s="82">
        <v>19</v>
      </c>
      <c r="C50" s="23">
        <v>34</v>
      </c>
      <c r="D50" s="24">
        <v>9</v>
      </c>
      <c r="E50" s="24">
        <v>1</v>
      </c>
      <c r="F50" s="85" t="s">
        <v>550</v>
      </c>
      <c r="G50" s="72" t="s">
        <v>3</v>
      </c>
      <c r="H50" s="72" t="s">
        <v>541</v>
      </c>
      <c r="I50" s="72" t="s">
        <v>1</v>
      </c>
      <c r="J50" s="72" t="s">
        <v>0</v>
      </c>
      <c r="K50" s="72" t="s">
        <v>4</v>
      </c>
      <c r="L50" s="72" t="s">
        <v>0</v>
      </c>
      <c r="M50" s="73" t="str">
        <f t="shared" ref="M50:M113" si="9">IF(G50="0000000",F50,G50)</f>
        <v>0341911</v>
      </c>
      <c r="N50" s="73">
        <f t="shared" ref="N50:N113" si="10">IF(L50="Y",E50,0)</f>
        <v>0</v>
      </c>
      <c r="O50" s="73">
        <f t="shared" ref="O50:O113" si="11">IF(K50="N",0,E50)</f>
        <v>1</v>
      </c>
      <c r="P50" s="73">
        <f t="shared" ref="P50:P113" si="12">IF(J50="N",0,E50)</f>
        <v>0</v>
      </c>
      <c r="Q50" s="74">
        <f t="shared" ref="Q50:Q113" si="13">IF(C50=D50,0,1)</f>
        <v>1</v>
      </c>
      <c r="R50" s="52">
        <f>(IF(Q50=1,VLOOKUP(D50,'[3]Sending Dist Weighted Fund PP'!$A$2:$E$170,5),0))</f>
        <v>13070.76</v>
      </c>
      <c r="S50" s="52">
        <f>IF(Q50=1,(VLOOKUP(M50,'Codes Rates Tuition '!$E$3:$I$61,5,FALSE)),0)</f>
        <v>7227</v>
      </c>
      <c r="T50" s="52">
        <f>IF(OR(H50="PK",H50="P3"),0,(IF(Q50=1,VLOOKUP(M50,'Codes Rates Tuition '!$E$3:$J$61,4,FALSE),0)))</f>
        <v>3060</v>
      </c>
      <c r="U50" s="52">
        <f t="shared" ref="U50:U111" si="14">MAX(R50,S50+T50)</f>
        <v>13070.76</v>
      </c>
      <c r="V50" s="52">
        <f>ROUND(U50*E50,0)</f>
        <v>13071</v>
      </c>
      <c r="W50" s="52">
        <f>E50*IF(Q50=0,VLOOKUP(M50,'Codes Rates Tuition '!$E$3:$J$61,4,FALSE),0)</f>
        <v>0</v>
      </c>
      <c r="X50" s="73"/>
      <c r="Y50" s="74">
        <f t="shared" ref="Y50:Y113" si="15">IF(Q50=0,E50,0)</f>
        <v>0</v>
      </c>
      <c r="Z50" s="79">
        <f t="shared" ref="Z50:Z113" si="16">IF(Q50=1,E50,0)</f>
        <v>1</v>
      </c>
    </row>
    <row r="51" spans="1:26" x14ac:dyDescent="0.5">
      <c r="A51" s="25">
        <v>34</v>
      </c>
      <c r="B51" s="83">
        <v>19</v>
      </c>
      <c r="C51" s="25">
        <v>34</v>
      </c>
      <c r="D51" s="22">
        <v>9</v>
      </c>
      <c r="E51" s="22">
        <v>1</v>
      </c>
      <c r="F51" s="70" t="s">
        <v>550</v>
      </c>
      <c r="G51" s="71" t="s">
        <v>3</v>
      </c>
      <c r="H51" s="71" t="s">
        <v>541</v>
      </c>
      <c r="I51" s="71" t="s">
        <v>1</v>
      </c>
      <c r="J51" s="71" t="s">
        <v>0</v>
      </c>
      <c r="K51" s="71" t="s">
        <v>0</v>
      </c>
      <c r="L51" s="71" t="s">
        <v>0</v>
      </c>
      <c r="M51" s="7" t="str">
        <f t="shared" si="9"/>
        <v>0341911</v>
      </c>
      <c r="N51" s="7">
        <f t="shared" si="10"/>
        <v>0</v>
      </c>
      <c r="O51" s="7">
        <f t="shared" si="11"/>
        <v>0</v>
      </c>
      <c r="P51" s="7">
        <f t="shared" si="12"/>
        <v>0</v>
      </c>
      <c r="Q51" s="6">
        <f t="shared" si="13"/>
        <v>1</v>
      </c>
      <c r="R51" s="53">
        <f>(IF(Q51=1,VLOOKUP(D51,'[3]Sending Dist Weighted Fund PP'!$A$2:$E$170,5),0))</f>
        <v>13070.76</v>
      </c>
      <c r="S51" s="53">
        <f>IF(Q51=1,(VLOOKUP(M51,'Codes Rates Tuition '!$E$3:$I$61,5,FALSE)),0)</f>
        <v>7227</v>
      </c>
      <c r="T51" s="53">
        <f>IF(OR(H51="PK",H51="P3"),0,(IF(Q51=1,VLOOKUP(M51,'Codes Rates Tuition '!$E$3:$J$61,4,FALSE),0)))</f>
        <v>3060</v>
      </c>
      <c r="U51" s="53">
        <f t="shared" si="14"/>
        <v>13070.76</v>
      </c>
      <c r="V51" s="53">
        <f t="shared" ref="V51:V113" si="17">ROUND(U51*E51,0)</f>
        <v>13071</v>
      </c>
      <c r="W51" s="53">
        <f>E51*IF(Q51=0,VLOOKUP(M51,'Codes Rates Tuition '!$E$3:$J$61,4,FALSE),0)</f>
        <v>0</v>
      </c>
      <c r="X51" s="7"/>
      <c r="Y51" s="6">
        <f t="shared" si="15"/>
        <v>0</v>
      </c>
      <c r="Z51" s="80">
        <f t="shared" si="16"/>
        <v>1</v>
      </c>
    </row>
    <row r="52" spans="1:26" x14ac:dyDescent="0.5">
      <c r="A52" s="25">
        <v>34</v>
      </c>
      <c r="B52" s="83">
        <v>19</v>
      </c>
      <c r="C52" s="25">
        <v>34</v>
      </c>
      <c r="D52" s="22">
        <v>9</v>
      </c>
      <c r="E52" s="22">
        <v>1</v>
      </c>
      <c r="F52" s="70" t="s">
        <v>550</v>
      </c>
      <c r="G52" s="71" t="s">
        <v>3</v>
      </c>
      <c r="H52" s="71" t="s">
        <v>542</v>
      </c>
      <c r="I52" s="71" t="s">
        <v>1</v>
      </c>
      <c r="J52" s="71" t="s">
        <v>0</v>
      </c>
      <c r="K52" s="71" t="s">
        <v>4</v>
      </c>
      <c r="L52" s="71" t="s">
        <v>0</v>
      </c>
      <c r="M52" s="7" t="str">
        <f t="shared" si="9"/>
        <v>0341911</v>
      </c>
      <c r="N52" s="7">
        <f t="shared" si="10"/>
        <v>0</v>
      </c>
      <c r="O52" s="7">
        <f t="shared" si="11"/>
        <v>1</v>
      </c>
      <c r="P52" s="7">
        <f t="shared" si="12"/>
        <v>0</v>
      </c>
      <c r="Q52" s="6">
        <f t="shared" si="13"/>
        <v>1</v>
      </c>
      <c r="R52" s="53">
        <f>(IF(Q52=1,VLOOKUP(D52,'[3]Sending Dist Weighted Fund PP'!$A$2:$E$170,5),0))</f>
        <v>13070.76</v>
      </c>
      <c r="S52" s="53">
        <f>IF(Q52=1,(VLOOKUP(M52,'Codes Rates Tuition '!$E$3:$I$61,5,FALSE)),0)</f>
        <v>7227</v>
      </c>
      <c r="T52" s="53">
        <f>IF(OR(H52="PK",H52="P3"),0,(IF(Q52=1,VLOOKUP(M52,'Codes Rates Tuition '!$E$3:$J$61,4,FALSE),0)))</f>
        <v>3060</v>
      </c>
      <c r="U52" s="53">
        <f t="shared" si="14"/>
        <v>13070.76</v>
      </c>
      <c r="V52" s="53">
        <f t="shared" si="17"/>
        <v>13071</v>
      </c>
      <c r="W52" s="53">
        <f>E52*IF(Q52=0,VLOOKUP(M52,'Codes Rates Tuition '!$E$3:$J$61,4,FALSE),0)</f>
        <v>0</v>
      </c>
      <c r="X52" s="7"/>
      <c r="Y52" s="6">
        <f t="shared" si="15"/>
        <v>0</v>
      </c>
      <c r="Z52" s="80">
        <f t="shared" si="16"/>
        <v>1</v>
      </c>
    </row>
    <row r="53" spans="1:26" x14ac:dyDescent="0.5">
      <c r="A53" s="25">
        <v>34</v>
      </c>
      <c r="B53" s="83">
        <v>19</v>
      </c>
      <c r="C53" s="25">
        <v>34</v>
      </c>
      <c r="D53" s="22">
        <v>9</v>
      </c>
      <c r="E53" s="22">
        <v>1</v>
      </c>
      <c r="F53" s="70" t="s">
        <v>550</v>
      </c>
      <c r="G53" s="71" t="s">
        <v>3</v>
      </c>
      <c r="H53" s="71" t="s">
        <v>542</v>
      </c>
      <c r="I53" s="71" t="s">
        <v>1</v>
      </c>
      <c r="J53" s="71" t="s">
        <v>0</v>
      </c>
      <c r="K53" s="71" t="s">
        <v>4</v>
      </c>
      <c r="L53" s="71" t="s">
        <v>5</v>
      </c>
      <c r="M53" s="7" t="str">
        <f t="shared" si="9"/>
        <v>0341911</v>
      </c>
      <c r="N53" s="7">
        <f t="shared" si="10"/>
        <v>1</v>
      </c>
      <c r="O53" s="7">
        <f t="shared" si="11"/>
        <v>1</v>
      </c>
      <c r="P53" s="7">
        <f t="shared" si="12"/>
        <v>0</v>
      </c>
      <c r="Q53" s="6">
        <f t="shared" si="13"/>
        <v>1</v>
      </c>
      <c r="R53" s="53">
        <f>(IF(Q53=1,VLOOKUP(D53,'[3]Sending Dist Weighted Fund PP'!$A$2:$E$170,5),0))</f>
        <v>13070.76</v>
      </c>
      <c r="S53" s="53">
        <f>IF(Q53=1,(VLOOKUP(M53,'Codes Rates Tuition '!$E$3:$I$61,5,FALSE)),0)</f>
        <v>7227</v>
      </c>
      <c r="T53" s="53">
        <f>IF(OR(H53="PK",H53="P3"),0,(IF(Q53=1,VLOOKUP(M53,'Codes Rates Tuition '!$E$3:$J$61,4,FALSE),0)))</f>
        <v>3060</v>
      </c>
      <c r="U53" s="53">
        <f t="shared" si="14"/>
        <v>13070.76</v>
      </c>
      <c r="V53" s="53">
        <f t="shared" si="17"/>
        <v>13071</v>
      </c>
      <c r="W53" s="53">
        <f>E53*IF(Q53=0,VLOOKUP(M53,'Codes Rates Tuition '!$E$3:$J$61,4,FALSE),0)</f>
        <v>0</v>
      </c>
      <c r="X53" s="7"/>
      <c r="Y53" s="6">
        <f t="shared" si="15"/>
        <v>0</v>
      </c>
      <c r="Z53" s="80">
        <f t="shared" si="16"/>
        <v>1</v>
      </c>
    </row>
    <row r="54" spans="1:26" x14ac:dyDescent="0.5">
      <c r="A54" s="25">
        <v>34</v>
      </c>
      <c r="B54" s="83">
        <v>19</v>
      </c>
      <c r="C54" s="25">
        <v>34</v>
      </c>
      <c r="D54" s="22">
        <v>9</v>
      </c>
      <c r="E54" s="22">
        <v>1</v>
      </c>
      <c r="F54" s="70" t="s">
        <v>550</v>
      </c>
      <c r="G54" s="71" t="s">
        <v>3</v>
      </c>
      <c r="H54" s="71" t="s">
        <v>1</v>
      </c>
      <c r="I54" s="71" t="s">
        <v>1</v>
      </c>
      <c r="J54" s="71" t="s">
        <v>0</v>
      </c>
      <c r="K54" s="71" t="s">
        <v>4</v>
      </c>
      <c r="L54" s="71" t="s">
        <v>0</v>
      </c>
      <c r="M54" s="7" t="str">
        <f t="shared" si="9"/>
        <v>0341911</v>
      </c>
      <c r="N54" s="7">
        <f t="shared" si="10"/>
        <v>0</v>
      </c>
      <c r="O54" s="7">
        <f t="shared" si="11"/>
        <v>1</v>
      </c>
      <c r="P54" s="7">
        <f t="shared" si="12"/>
        <v>0</v>
      </c>
      <c r="Q54" s="6">
        <f t="shared" si="13"/>
        <v>1</v>
      </c>
      <c r="R54" s="53">
        <f>(IF(Q54=1,VLOOKUP(D54,'[3]Sending Dist Weighted Fund PP'!$A$2:$E$170,5),0))</f>
        <v>13070.76</v>
      </c>
      <c r="S54" s="53">
        <f>IF(Q54=1,(VLOOKUP(M54,'Codes Rates Tuition '!$E$3:$I$61,5,FALSE)),0)</f>
        <v>7227</v>
      </c>
      <c r="T54" s="53">
        <f>IF(OR(H54="PK",H54="P3"),0,(IF(Q54=1,VLOOKUP(M54,'Codes Rates Tuition '!$E$3:$J$61,4,FALSE),0)))</f>
        <v>3060</v>
      </c>
      <c r="U54" s="53">
        <f t="shared" si="14"/>
        <v>13070.76</v>
      </c>
      <c r="V54" s="53">
        <f t="shared" si="17"/>
        <v>13071</v>
      </c>
      <c r="W54" s="53">
        <f>E54*IF(Q54=0,VLOOKUP(M54,'Codes Rates Tuition '!$E$3:$J$61,4,FALSE),0)</f>
        <v>0</v>
      </c>
      <c r="X54" s="7"/>
      <c r="Y54" s="6">
        <f t="shared" si="15"/>
        <v>0</v>
      </c>
      <c r="Z54" s="80">
        <f t="shared" si="16"/>
        <v>1</v>
      </c>
    </row>
    <row r="55" spans="1:26" x14ac:dyDescent="0.5">
      <c r="A55" s="25">
        <v>34</v>
      </c>
      <c r="B55" s="83">
        <v>19</v>
      </c>
      <c r="C55" s="25">
        <v>34</v>
      </c>
      <c r="D55" s="22">
        <v>9</v>
      </c>
      <c r="E55" s="22">
        <v>2</v>
      </c>
      <c r="F55" s="70" t="s">
        <v>550</v>
      </c>
      <c r="G55" s="71" t="s">
        <v>3</v>
      </c>
      <c r="H55" s="71" t="s">
        <v>543</v>
      </c>
      <c r="I55" s="71" t="s">
        <v>1</v>
      </c>
      <c r="J55" s="71" t="s">
        <v>0</v>
      </c>
      <c r="K55" s="71" t="s">
        <v>4</v>
      </c>
      <c r="L55" s="71" t="s">
        <v>0</v>
      </c>
      <c r="M55" s="7" t="str">
        <f t="shared" si="9"/>
        <v>0341911</v>
      </c>
      <c r="N55" s="7">
        <f t="shared" si="10"/>
        <v>0</v>
      </c>
      <c r="O55" s="7">
        <f t="shared" si="11"/>
        <v>2</v>
      </c>
      <c r="P55" s="7">
        <f t="shared" si="12"/>
        <v>0</v>
      </c>
      <c r="Q55" s="6">
        <f t="shared" si="13"/>
        <v>1</v>
      </c>
      <c r="R55" s="53">
        <f>(IF(Q55=1,VLOOKUP(D55,'[3]Sending Dist Weighted Fund PP'!$A$2:$E$170,5),0))</f>
        <v>13070.76</v>
      </c>
      <c r="S55" s="53">
        <f>IF(Q55=1,(VLOOKUP(M55,'Codes Rates Tuition '!$E$3:$I$61,5,FALSE)),0)</f>
        <v>7227</v>
      </c>
      <c r="T55" s="53">
        <f>IF(OR(H55="PK",H55="P3"),0,(IF(Q55=1,VLOOKUP(M55,'Codes Rates Tuition '!$E$3:$J$61,4,FALSE),0)))</f>
        <v>3060</v>
      </c>
      <c r="U55" s="53">
        <f t="shared" si="14"/>
        <v>13070.76</v>
      </c>
      <c r="V55" s="53">
        <f t="shared" si="17"/>
        <v>26142</v>
      </c>
      <c r="W55" s="53">
        <f>E55*IF(Q55=0,VLOOKUP(M55,'Codes Rates Tuition '!$E$3:$J$61,4,FALSE),0)</f>
        <v>0</v>
      </c>
      <c r="X55" s="7"/>
      <c r="Y55" s="6">
        <f t="shared" si="15"/>
        <v>0</v>
      </c>
      <c r="Z55" s="80">
        <f t="shared" si="16"/>
        <v>2</v>
      </c>
    </row>
    <row r="56" spans="1:26" x14ac:dyDescent="0.5">
      <c r="A56" s="25">
        <v>34</v>
      </c>
      <c r="B56" s="83">
        <v>19</v>
      </c>
      <c r="C56" s="25">
        <v>34</v>
      </c>
      <c r="D56" s="22">
        <v>9</v>
      </c>
      <c r="E56" s="22">
        <v>1</v>
      </c>
      <c r="F56" s="70" t="s">
        <v>550</v>
      </c>
      <c r="G56" s="71" t="s">
        <v>3</v>
      </c>
      <c r="H56" s="71" t="s">
        <v>543</v>
      </c>
      <c r="I56" s="71" t="s">
        <v>1</v>
      </c>
      <c r="J56" s="71" t="s">
        <v>0</v>
      </c>
      <c r="K56" s="71" t="s">
        <v>6</v>
      </c>
      <c r="L56" s="71" t="s">
        <v>0</v>
      </c>
      <c r="M56" s="7" t="str">
        <f t="shared" si="9"/>
        <v>0341911</v>
      </c>
      <c r="N56" s="7">
        <f t="shared" si="10"/>
        <v>0</v>
      </c>
      <c r="O56" s="7">
        <f t="shared" si="11"/>
        <v>1</v>
      </c>
      <c r="P56" s="7">
        <f t="shared" si="12"/>
        <v>0</v>
      </c>
      <c r="Q56" s="6">
        <f t="shared" si="13"/>
        <v>1</v>
      </c>
      <c r="R56" s="53">
        <f>(IF(Q56=1,VLOOKUP(D56,'[3]Sending Dist Weighted Fund PP'!$A$2:$E$170,5),0))</f>
        <v>13070.76</v>
      </c>
      <c r="S56" s="53">
        <f>IF(Q56=1,(VLOOKUP(M56,'Codes Rates Tuition '!$E$3:$I$61,5,FALSE)),0)</f>
        <v>7227</v>
      </c>
      <c r="T56" s="53">
        <f>IF(OR(H56="PK",H56="P3"),0,(IF(Q56=1,VLOOKUP(M56,'Codes Rates Tuition '!$E$3:$J$61,4,FALSE),0)))</f>
        <v>3060</v>
      </c>
      <c r="U56" s="53">
        <f t="shared" si="14"/>
        <v>13070.76</v>
      </c>
      <c r="V56" s="53">
        <f t="shared" si="17"/>
        <v>13071</v>
      </c>
      <c r="W56" s="53">
        <f>E56*IF(Q56=0,VLOOKUP(M56,'Codes Rates Tuition '!$E$3:$J$61,4,FALSE),0)</f>
        <v>0</v>
      </c>
      <c r="X56" s="7"/>
      <c r="Y56" s="6">
        <f t="shared" si="15"/>
        <v>0</v>
      </c>
      <c r="Z56" s="80">
        <f t="shared" si="16"/>
        <v>1</v>
      </c>
    </row>
    <row r="57" spans="1:26" x14ac:dyDescent="0.5">
      <c r="A57" s="25">
        <v>34</v>
      </c>
      <c r="B57" s="83">
        <v>19</v>
      </c>
      <c r="C57" s="25">
        <v>34</v>
      </c>
      <c r="D57" s="22">
        <v>9</v>
      </c>
      <c r="E57" s="22">
        <v>3</v>
      </c>
      <c r="F57" s="70" t="s">
        <v>550</v>
      </c>
      <c r="G57" s="71" t="s">
        <v>3</v>
      </c>
      <c r="H57" s="71" t="s">
        <v>544</v>
      </c>
      <c r="I57" s="71" t="s">
        <v>1</v>
      </c>
      <c r="J57" s="71" t="s">
        <v>0</v>
      </c>
      <c r="K57" s="71" t="s">
        <v>0</v>
      </c>
      <c r="L57" s="71" t="s">
        <v>0</v>
      </c>
      <c r="M57" s="7" t="str">
        <f t="shared" si="9"/>
        <v>0341911</v>
      </c>
      <c r="N57" s="7">
        <f t="shared" si="10"/>
        <v>0</v>
      </c>
      <c r="O57" s="7">
        <f t="shared" si="11"/>
        <v>0</v>
      </c>
      <c r="P57" s="7">
        <f t="shared" si="12"/>
        <v>0</v>
      </c>
      <c r="Q57" s="6">
        <f t="shared" si="13"/>
        <v>1</v>
      </c>
      <c r="R57" s="53">
        <f>(IF(Q57=1,VLOOKUP(D57,'[3]Sending Dist Weighted Fund PP'!$A$2:$E$170,5),0))</f>
        <v>13070.76</v>
      </c>
      <c r="S57" s="53">
        <f>IF(Q57=1,(VLOOKUP(M57,'Codes Rates Tuition '!$E$3:$I$61,5,FALSE)),0)</f>
        <v>7227</v>
      </c>
      <c r="T57" s="53">
        <f>IF(OR(H57="PK",H57="P3"),0,(IF(Q57=1,VLOOKUP(M57,'Codes Rates Tuition '!$E$3:$J$61,4,FALSE),0)))</f>
        <v>3060</v>
      </c>
      <c r="U57" s="53">
        <f t="shared" si="14"/>
        <v>13070.76</v>
      </c>
      <c r="V57" s="53">
        <f t="shared" si="17"/>
        <v>39212</v>
      </c>
      <c r="W57" s="53">
        <f>E57*IF(Q57=0,VLOOKUP(M57,'Codes Rates Tuition '!$E$3:$J$61,4,FALSE),0)</f>
        <v>0</v>
      </c>
      <c r="X57" s="7"/>
      <c r="Y57" s="6">
        <f t="shared" si="15"/>
        <v>0</v>
      </c>
      <c r="Z57" s="80">
        <f t="shared" si="16"/>
        <v>3</v>
      </c>
    </row>
    <row r="58" spans="1:26" x14ac:dyDescent="0.5">
      <c r="A58" s="25">
        <v>34</v>
      </c>
      <c r="B58" s="83">
        <v>19</v>
      </c>
      <c r="C58" s="25">
        <v>34</v>
      </c>
      <c r="D58" s="22">
        <v>9</v>
      </c>
      <c r="E58" s="22">
        <v>2</v>
      </c>
      <c r="F58" s="70" t="s">
        <v>550</v>
      </c>
      <c r="G58" s="71" t="s">
        <v>3</v>
      </c>
      <c r="H58" s="71" t="s">
        <v>545</v>
      </c>
      <c r="I58" s="71" t="s">
        <v>1</v>
      </c>
      <c r="J58" s="71" t="s">
        <v>0</v>
      </c>
      <c r="K58" s="71" t="s">
        <v>4</v>
      </c>
      <c r="L58" s="71" t="s">
        <v>0</v>
      </c>
      <c r="M58" s="7" t="str">
        <f t="shared" si="9"/>
        <v>0341911</v>
      </c>
      <c r="N58" s="7">
        <f t="shared" si="10"/>
        <v>0</v>
      </c>
      <c r="O58" s="7">
        <f t="shared" si="11"/>
        <v>2</v>
      </c>
      <c r="P58" s="7">
        <f t="shared" si="12"/>
        <v>0</v>
      </c>
      <c r="Q58" s="6">
        <f t="shared" si="13"/>
        <v>1</v>
      </c>
      <c r="R58" s="53">
        <f>(IF(Q58=1,VLOOKUP(D58,'[3]Sending Dist Weighted Fund PP'!$A$2:$E$170,5),0))</f>
        <v>13070.76</v>
      </c>
      <c r="S58" s="53">
        <f>IF(Q58=1,(VLOOKUP(M58,'Codes Rates Tuition '!$E$3:$I$61,5,FALSE)),0)</f>
        <v>7227</v>
      </c>
      <c r="T58" s="53">
        <f>IF(OR(H58="PK",H58="P3"),0,(IF(Q58=1,VLOOKUP(M58,'Codes Rates Tuition '!$E$3:$J$61,4,FALSE),0)))</f>
        <v>3060</v>
      </c>
      <c r="U58" s="53">
        <f t="shared" si="14"/>
        <v>13070.76</v>
      </c>
      <c r="V58" s="53">
        <f t="shared" si="17"/>
        <v>26142</v>
      </c>
      <c r="W58" s="53">
        <f>E58*IF(Q58=0,VLOOKUP(M58,'Codes Rates Tuition '!$E$3:$J$61,4,FALSE),0)</f>
        <v>0</v>
      </c>
      <c r="X58" s="7"/>
      <c r="Y58" s="6">
        <f t="shared" si="15"/>
        <v>0</v>
      </c>
      <c r="Z58" s="80">
        <f t="shared" si="16"/>
        <v>2</v>
      </c>
    </row>
    <row r="59" spans="1:26" x14ac:dyDescent="0.5">
      <c r="A59" s="25">
        <v>34</v>
      </c>
      <c r="B59" s="83">
        <v>19</v>
      </c>
      <c r="C59" s="25">
        <v>34</v>
      </c>
      <c r="D59" s="22">
        <v>9</v>
      </c>
      <c r="E59" s="22">
        <v>1</v>
      </c>
      <c r="F59" s="70" t="s">
        <v>550</v>
      </c>
      <c r="G59" s="71" t="s">
        <v>3</v>
      </c>
      <c r="H59" s="71" t="s">
        <v>545</v>
      </c>
      <c r="I59" s="71" t="s">
        <v>1</v>
      </c>
      <c r="J59" s="71" t="s">
        <v>0</v>
      </c>
      <c r="K59" s="71" t="s">
        <v>0</v>
      </c>
      <c r="L59" s="71" t="s">
        <v>0</v>
      </c>
      <c r="M59" s="7" t="str">
        <f t="shared" si="9"/>
        <v>0341911</v>
      </c>
      <c r="N59" s="7">
        <f t="shared" si="10"/>
        <v>0</v>
      </c>
      <c r="O59" s="7">
        <f t="shared" si="11"/>
        <v>0</v>
      </c>
      <c r="P59" s="7">
        <f t="shared" si="12"/>
        <v>0</v>
      </c>
      <c r="Q59" s="6">
        <f t="shared" si="13"/>
        <v>1</v>
      </c>
      <c r="R59" s="53">
        <f>(IF(Q59=1,VLOOKUP(D59,'[3]Sending Dist Weighted Fund PP'!$A$2:$E$170,5),0))</f>
        <v>13070.76</v>
      </c>
      <c r="S59" s="53">
        <f>IF(Q59=1,(VLOOKUP(M59,'Codes Rates Tuition '!$E$3:$I$61,5,FALSE)),0)</f>
        <v>7227</v>
      </c>
      <c r="T59" s="53">
        <f>IF(OR(H59="PK",H59="P3"),0,(IF(Q59=1,VLOOKUP(M59,'Codes Rates Tuition '!$E$3:$J$61,4,FALSE),0)))</f>
        <v>3060</v>
      </c>
      <c r="U59" s="53">
        <f t="shared" si="14"/>
        <v>13070.76</v>
      </c>
      <c r="V59" s="53">
        <f t="shared" si="17"/>
        <v>13071</v>
      </c>
      <c r="W59" s="53">
        <f>E59*IF(Q59=0,VLOOKUP(M59,'Codes Rates Tuition '!$E$3:$J$61,4,FALSE),0)</f>
        <v>0</v>
      </c>
      <c r="X59" s="7"/>
      <c r="Y59" s="6">
        <f t="shared" si="15"/>
        <v>0</v>
      </c>
      <c r="Z59" s="80">
        <f t="shared" si="16"/>
        <v>1</v>
      </c>
    </row>
    <row r="60" spans="1:26" x14ac:dyDescent="0.5">
      <c r="A60" s="25">
        <v>34</v>
      </c>
      <c r="B60" s="83">
        <v>19</v>
      </c>
      <c r="C60" s="25">
        <v>34</v>
      </c>
      <c r="D60" s="22">
        <v>18</v>
      </c>
      <c r="E60" s="22">
        <v>2</v>
      </c>
      <c r="F60" s="70" t="s">
        <v>550</v>
      </c>
      <c r="G60" s="71" t="s">
        <v>3</v>
      </c>
      <c r="H60" s="71" t="s">
        <v>541</v>
      </c>
      <c r="I60" s="71" t="s">
        <v>1</v>
      </c>
      <c r="J60" s="71" t="s">
        <v>0</v>
      </c>
      <c r="K60" s="71" t="s">
        <v>0</v>
      </c>
      <c r="L60" s="71" t="s">
        <v>0</v>
      </c>
      <c r="M60" s="7" t="str">
        <f t="shared" si="9"/>
        <v>0341911</v>
      </c>
      <c r="N60" s="7">
        <f t="shared" si="10"/>
        <v>0</v>
      </c>
      <c r="O60" s="7">
        <f t="shared" si="11"/>
        <v>0</v>
      </c>
      <c r="P60" s="7">
        <f t="shared" si="12"/>
        <v>0</v>
      </c>
      <c r="Q60" s="6">
        <f t="shared" si="13"/>
        <v>1</v>
      </c>
      <c r="R60" s="53">
        <f>(IF(Q60=1,VLOOKUP(D60,'[3]Sending Dist Weighted Fund PP'!$A$2:$E$170,5),0))</f>
        <v>12501.47</v>
      </c>
      <c r="S60" s="53">
        <f>IF(Q60=1,(VLOOKUP(M60,'Codes Rates Tuition '!$E$3:$I$61,5,FALSE)),0)</f>
        <v>7227</v>
      </c>
      <c r="T60" s="53">
        <f>IF(OR(H60="PK",H60="P3"),0,(IF(Q60=1,VLOOKUP(M60,'Codes Rates Tuition '!$E$3:$J$61,4,FALSE),0)))</f>
        <v>3060</v>
      </c>
      <c r="U60" s="53">
        <f t="shared" si="14"/>
        <v>12501.47</v>
      </c>
      <c r="V60" s="53">
        <f t="shared" si="17"/>
        <v>25003</v>
      </c>
      <c r="W60" s="53">
        <f>E60*IF(Q60=0,VLOOKUP(M60,'Codes Rates Tuition '!$E$3:$J$61,4,FALSE),0)</f>
        <v>0</v>
      </c>
      <c r="X60" s="7"/>
      <c r="Y60" s="6">
        <f t="shared" si="15"/>
        <v>0</v>
      </c>
      <c r="Z60" s="80">
        <f t="shared" si="16"/>
        <v>2</v>
      </c>
    </row>
    <row r="61" spans="1:26" x14ac:dyDescent="0.5">
      <c r="A61" s="25">
        <v>34</v>
      </c>
      <c r="B61" s="83">
        <v>19</v>
      </c>
      <c r="C61" s="25">
        <v>34</v>
      </c>
      <c r="D61" s="22">
        <v>18</v>
      </c>
      <c r="E61" s="22">
        <v>1</v>
      </c>
      <c r="F61" s="70" t="s">
        <v>550</v>
      </c>
      <c r="G61" s="71" t="s">
        <v>3</v>
      </c>
      <c r="H61" s="71" t="s">
        <v>542</v>
      </c>
      <c r="I61" s="71" t="s">
        <v>1</v>
      </c>
      <c r="J61" s="71" t="s">
        <v>0</v>
      </c>
      <c r="K61" s="71" t="s">
        <v>4</v>
      </c>
      <c r="L61" s="71" t="s">
        <v>0</v>
      </c>
      <c r="M61" s="7" t="str">
        <f t="shared" si="9"/>
        <v>0341911</v>
      </c>
      <c r="N61" s="7">
        <f t="shared" si="10"/>
        <v>0</v>
      </c>
      <c r="O61" s="7">
        <f t="shared" si="11"/>
        <v>1</v>
      </c>
      <c r="P61" s="7">
        <f t="shared" si="12"/>
        <v>0</v>
      </c>
      <c r="Q61" s="6">
        <f t="shared" si="13"/>
        <v>1</v>
      </c>
      <c r="R61" s="53">
        <f>(IF(Q61=1,VLOOKUP(D61,'[3]Sending Dist Weighted Fund PP'!$A$2:$E$170,5),0))</f>
        <v>12501.47</v>
      </c>
      <c r="S61" s="53">
        <f>IF(Q61=1,(VLOOKUP(M61,'Codes Rates Tuition '!$E$3:$I$61,5,FALSE)),0)</f>
        <v>7227</v>
      </c>
      <c r="T61" s="53">
        <f>IF(OR(H61="PK",H61="P3"),0,(IF(Q61=1,VLOOKUP(M61,'Codes Rates Tuition '!$E$3:$J$61,4,FALSE),0)))</f>
        <v>3060</v>
      </c>
      <c r="U61" s="53">
        <f t="shared" si="14"/>
        <v>12501.47</v>
      </c>
      <c r="V61" s="53">
        <f t="shared" si="17"/>
        <v>12501</v>
      </c>
      <c r="W61" s="53">
        <f>E61*IF(Q61=0,VLOOKUP(M61,'Codes Rates Tuition '!$E$3:$J$61,4,FALSE),0)</f>
        <v>0</v>
      </c>
      <c r="X61" s="7"/>
      <c r="Y61" s="6">
        <f t="shared" si="15"/>
        <v>0</v>
      </c>
      <c r="Z61" s="80">
        <f t="shared" si="16"/>
        <v>1</v>
      </c>
    </row>
    <row r="62" spans="1:26" x14ac:dyDescent="0.5">
      <c r="A62" s="25">
        <v>34</v>
      </c>
      <c r="B62" s="83">
        <v>19</v>
      </c>
      <c r="C62" s="25">
        <v>34</v>
      </c>
      <c r="D62" s="22">
        <v>18</v>
      </c>
      <c r="E62" s="22">
        <v>4</v>
      </c>
      <c r="F62" s="70" t="s">
        <v>550</v>
      </c>
      <c r="G62" s="71" t="s">
        <v>3</v>
      </c>
      <c r="H62" s="71" t="s">
        <v>542</v>
      </c>
      <c r="I62" s="71" t="s">
        <v>1</v>
      </c>
      <c r="J62" s="71" t="s">
        <v>0</v>
      </c>
      <c r="K62" s="71" t="s">
        <v>0</v>
      </c>
      <c r="L62" s="71" t="s">
        <v>0</v>
      </c>
      <c r="M62" s="7" t="str">
        <f t="shared" si="9"/>
        <v>0341911</v>
      </c>
      <c r="N62" s="7">
        <f t="shared" si="10"/>
        <v>0</v>
      </c>
      <c r="O62" s="7">
        <f t="shared" si="11"/>
        <v>0</v>
      </c>
      <c r="P62" s="7">
        <f t="shared" si="12"/>
        <v>0</v>
      </c>
      <c r="Q62" s="6">
        <f t="shared" si="13"/>
        <v>1</v>
      </c>
      <c r="R62" s="53">
        <f>(IF(Q62=1,VLOOKUP(D62,'[3]Sending Dist Weighted Fund PP'!$A$2:$E$170,5),0))</f>
        <v>12501.47</v>
      </c>
      <c r="S62" s="53">
        <f>IF(Q62=1,(VLOOKUP(M62,'Codes Rates Tuition '!$E$3:$I$61,5,FALSE)),0)</f>
        <v>7227</v>
      </c>
      <c r="T62" s="53">
        <f>IF(OR(H62="PK",H62="P3"),0,(IF(Q62=1,VLOOKUP(M62,'Codes Rates Tuition '!$E$3:$J$61,4,FALSE),0)))</f>
        <v>3060</v>
      </c>
      <c r="U62" s="53">
        <f t="shared" si="14"/>
        <v>12501.47</v>
      </c>
      <c r="V62" s="53">
        <f t="shared" si="17"/>
        <v>50006</v>
      </c>
      <c r="W62" s="53">
        <f>E62*IF(Q62=0,VLOOKUP(M62,'Codes Rates Tuition '!$E$3:$J$61,4,FALSE),0)</f>
        <v>0</v>
      </c>
      <c r="X62" s="7"/>
      <c r="Y62" s="6">
        <f t="shared" si="15"/>
        <v>0</v>
      </c>
      <c r="Z62" s="80">
        <f t="shared" si="16"/>
        <v>4</v>
      </c>
    </row>
    <row r="63" spans="1:26" x14ac:dyDescent="0.5">
      <c r="A63" s="25">
        <v>34</v>
      </c>
      <c r="B63" s="83">
        <v>19</v>
      </c>
      <c r="C63" s="25">
        <v>34</v>
      </c>
      <c r="D63" s="22">
        <v>18</v>
      </c>
      <c r="E63" s="22">
        <v>1</v>
      </c>
      <c r="F63" s="70" t="s">
        <v>550</v>
      </c>
      <c r="G63" s="71" t="s">
        <v>3</v>
      </c>
      <c r="H63" s="71" t="s">
        <v>1</v>
      </c>
      <c r="I63" s="71" t="s">
        <v>1</v>
      </c>
      <c r="J63" s="71" t="s">
        <v>0</v>
      </c>
      <c r="K63" s="71" t="s">
        <v>0</v>
      </c>
      <c r="L63" s="71" t="s">
        <v>0</v>
      </c>
      <c r="M63" s="7" t="str">
        <f t="shared" si="9"/>
        <v>0341911</v>
      </c>
      <c r="N63" s="7">
        <f t="shared" si="10"/>
        <v>0</v>
      </c>
      <c r="O63" s="7">
        <f t="shared" si="11"/>
        <v>0</v>
      </c>
      <c r="P63" s="7">
        <f t="shared" si="12"/>
        <v>0</v>
      </c>
      <c r="Q63" s="6">
        <f t="shared" si="13"/>
        <v>1</v>
      </c>
      <c r="R63" s="53">
        <f>(IF(Q63=1,VLOOKUP(D63,'[3]Sending Dist Weighted Fund PP'!$A$2:$E$170,5),0))</f>
        <v>12501.47</v>
      </c>
      <c r="S63" s="53">
        <f>IF(Q63=1,(VLOOKUP(M63,'Codes Rates Tuition '!$E$3:$I$61,5,FALSE)),0)</f>
        <v>7227</v>
      </c>
      <c r="T63" s="53">
        <f>IF(OR(H63="PK",H63="P3"),0,(IF(Q63=1,VLOOKUP(M63,'Codes Rates Tuition '!$E$3:$J$61,4,FALSE),0)))</f>
        <v>3060</v>
      </c>
      <c r="U63" s="53">
        <f t="shared" si="14"/>
        <v>12501.47</v>
      </c>
      <c r="V63" s="53">
        <f t="shared" si="17"/>
        <v>12501</v>
      </c>
      <c r="W63" s="53">
        <f>E63*IF(Q63=0,VLOOKUP(M63,'Codes Rates Tuition '!$E$3:$J$61,4,FALSE),0)</f>
        <v>0</v>
      </c>
      <c r="X63" s="7"/>
      <c r="Y63" s="6">
        <f t="shared" si="15"/>
        <v>0</v>
      </c>
      <c r="Z63" s="80">
        <f t="shared" si="16"/>
        <v>1</v>
      </c>
    </row>
    <row r="64" spans="1:26" x14ac:dyDescent="0.5">
      <c r="A64" s="25">
        <v>34</v>
      </c>
      <c r="B64" s="83">
        <v>19</v>
      </c>
      <c r="C64" s="25">
        <v>34</v>
      </c>
      <c r="D64" s="22">
        <v>18</v>
      </c>
      <c r="E64" s="22">
        <v>3</v>
      </c>
      <c r="F64" s="70" t="s">
        <v>550</v>
      </c>
      <c r="G64" s="71" t="s">
        <v>3</v>
      </c>
      <c r="H64" s="71" t="s">
        <v>543</v>
      </c>
      <c r="I64" s="71" t="s">
        <v>1</v>
      </c>
      <c r="J64" s="71" t="s">
        <v>0</v>
      </c>
      <c r="K64" s="71" t="s">
        <v>0</v>
      </c>
      <c r="L64" s="71" t="s">
        <v>0</v>
      </c>
      <c r="M64" s="7" t="str">
        <f t="shared" si="9"/>
        <v>0341911</v>
      </c>
      <c r="N64" s="7">
        <f t="shared" si="10"/>
        <v>0</v>
      </c>
      <c r="O64" s="7">
        <f t="shared" si="11"/>
        <v>0</v>
      </c>
      <c r="P64" s="7">
        <f t="shared" si="12"/>
        <v>0</v>
      </c>
      <c r="Q64" s="6">
        <f t="shared" si="13"/>
        <v>1</v>
      </c>
      <c r="R64" s="53">
        <f>(IF(Q64=1,VLOOKUP(D64,'[3]Sending Dist Weighted Fund PP'!$A$2:$E$170,5),0))</f>
        <v>12501.47</v>
      </c>
      <c r="S64" s="53">
        <f>IF(Q64=1,(VLOOKUP(M64,'Codes Rates Tuition '!$E$3:$I$61,5,FALSE)),0)</f>
        <v>7227</v>
      </c>
      <c r="T64" s="53">
        <f>IF(OR(H64="PK",H64="P3"),0,(IF(Q64=1,VLOOKUP(M64,'Codes Rates Tuition '!$E$3:$J$61,4,FALSE),0)))</f>
        <v>3060</v>
      </c>
      <c r="U64" s="53">
        <f t="shared" si="14"/>
        <v>12501.47</v>
      </c>
      <c r="V64" s="53">
        <f t="shared" si="17"/>
        <v>37504</v>
      </c>
      <c r="W64" s="53">
        <f>E64*IF(Q64=0,VLOOKUP(M64,'Codes Rates Tuition '!$E$3:$J$61,4,FALSE),0)</f>
        <v>0</v>
      </c>
      <c r="X64" s="7"/>
      <c r="Y64" s="6">
        <f t="shared" si="15"/>
        <v>0</v>
      </c>
      <c r="Z64" s="80">
        <f t="shared" si="16"/>
        <v>3</v>
      </c>
    </row>
    <row r="65" spans="1:26" x14ac:dyDescent="0.5">
      <c r="A65" s="25">
        <v>34</v>
      </c>
      <c r="B65" s="83">
        <v>19</v>
      </c>
      <c r="C65" s="25">
        <v>34</v>
      </c>
      <c r="D65" s="22">
        <v>18</v>
      </c>
      <c r="E65" s="22">
        <v>2</v>
      </c>
      <c r="F65" s="70" t="s">
        <v>550</v>
      </c>
      <c r="G65" s="71" t="s">
        <v>3</v>
      </c>
      <c r="H65" s="71" t="s">
        <v>544</v>
      </c>
      <c r="I65" s="71" t="s">
        <v>1</v>
      </c>
      <c r="J65" s="71" t="s">
        <v>0</v>
      </c>
      <c r="K65" s="71" t="s">
        <v>0</v>
      </c>
      <c r="L65" s="71" t="s">
        <v>0</v>
      </c>
      <c r="M65" s="7" t="str">
        <f t="shared" si="9"/>
        <v>0341911</v>
      </c>
      <c r="N65" s="7">
        <f t="shared" si="10"/>
        <v>0</v>
      </c>
      <c r="O65" s="7">
        <f t="shared" si="11"/>
        <v>0</v>
      </c>
      <c r="P65" s="7">
        <f t="shared" si="12"/>
        <v>0</v>
      </c>
      <c r="Q65" s="6">
        <f t="shared" si="13"/>
        <v>1</v>
      </c>
      <c r="R65" s="53">
        <f>(IF(Q65=1,VLOOKUP(D65,'[3]Sending Dist Weighted Fund PP'!$A$2:$E$170,5),0))</f>
        <v>12501.47</v>
      </c>
      <c r="S65" s="53">
        <f>IF(Q65=1,(VLOOKUP(M65,'Codes Rates Tuition '!$E$3:$I$61,5,FALSE)),0)</f>
        <v>7227</v>
      </c>
      <c r="T65" s="53">
        <f>IF(OR(H65="PK",H65="P3"),0,(IF(Q65=1,VLOOKUP(M65,'Codes Rates Tuition '!$E$3:$J$61,4,FALSE),0)))</f>
        <v>3060</v>
      </c>
      <c r="U65" s="53">
        <f t="shared" si="14"/>
        <v>12501.47</v>
      </c>
      <c r="V65" s="53">
        <f t="shared" si="17"/>
        <v>25003</v>
      </c>
      <c r="W65" s="53">
        <f>E65*IF(Q65=0,VLOOKUP(M65,'Codes Rates Tuition '!$E$3:$J$61,4,FALSE),0)</f>
        <v>0</v>
      </c>
      <c r="X65" s="7"/>
      <c r="Y65" s="6">
        <f t="shared" si="15"/>
        <v>0</v>
      </c>
      <c r="Z65" s="80">
        <f t="shared" si="16"/>
        <v>2</v>
      </c>
    </row>
    <row r="66" spans="1:26" x14ac:dyDescent="0.5">
      <c r="A66" s="25">
        <v>34</v>
      </c>
      <c r="B66" s="83">
        <v>19</v>
      </c>
      <c r="C66" s="25">
        <v>34</v>
      </c>
      <c r="D66" s="22">
        <v>18</v>
      </c>
      <c r="E66" s="22">
        <v>1</v>
      </c>
      <c r="F66" s="70" t="s">
        <v>550</v>
      </c>
      <c r="G66" s="71" t="s">
        <v>3</v>
      </c>
      <c r="H66" s="71" t="s">
        <v>544</v>
      </c>
      <c r="I66" s="71" t="s">
        <v>1</v>
      </c>
      <c r="J66" s="71" t="s">
        <v>0</v>
      </c>
      <c r="K66" s="71" t="s">
        <v>6</v>
      </c>
      <c r="L66" s="71" t="s">
        <v>0</v>
      </c>
      <c r="M66" s="7" t="str">
        <f t="shared" si="9"/>
        <v>0341911</v>
      </c>
      <c r="N66" s="7">
        <f t="shared" si="10"/>
        <v>0</v>
      </c>
      <c r="O66" s="7">
        <f t="shared" si="11"/>
        <v>1</v>
      </c>
      <c r="P66" s="7">
        <f t="shared" si="12"/>
        <v>0</v>
      </c>
      <c r="Q66" s="6">
        <f t="shared" si="13"/>
        <v>1</v>
      </c>
      <c r="R66" s="53">
        <f>(IF(Q66=1,VLOOKUP(D66,'[3]Sending Dist Weighted Fund PP'!$A$2:$E$170,5),0))</f>
        <v>12501.47</v>
      </c>
      <c r="S66" s="53">
        <f>IF(Q66=1,(VLOOKUP(M66,'Codes Rates Tuition '!$E$3:$I$61,5,FALSE)),0)</f>
        <v>7227</v>
      </c>
      <c r="T66" s="53">
        <f>IF(OR(H66="PK",H66="P3"),0,(IF(Q66=1,VLOOKUP(M66,'Codes Rates Tuition '!$E$3:$J$61,4,FALSE),0)))</f>
        <v>3060</v>
      </c>
      <c r="U66" s="53">
        <f t="shared" si="14"/>
        <v>12501.47</v>
      </c>
      <c r="V66" s="53">
        <f t="shared" si="17"/>
        <v>12501</v>
      </c>
      <c r="W66" s="53">
        <f>E66*IF(Q66=0,VLOOKUP(M66,'Codes Rates Tuition '!$E$3:$J$61,4,FALSE),0)</f>
        <v>0</v>
      </c>
      <c r="X66" s="7"/>
      <c r="Y66" s="6">
        <f t="shared" si="15"/>
        <v>0</v>
      </c>
      <c r="Z66" s="80">
        <f t="shared" si="16"/>
        <v>1</v>
      </c>
    </row>
    <row r="67" spans="1:26" x14ac:dyDescent="0.5">
      <c r="A67" s="25">
        <v>34</v>
      </c>
      <c r="B67" s="83">
        <v>19</v>
      </c>
      <c r="C67" s="25">
        <v>34</v>
      </c>
      <c r="D67" s="22">
        <v>18</v>
      </c>
      <c r="E67" s="22">
        <v>1</v>
      </c>
      <c r="F67" s="70" t="s">
        <v>550</v>
      </c>
      <c r="G67" s="71" t="s">
        <v>3</v>
      </c>
      <c r="H67" s="71" t="s">
        <v>544</v>
      </c>
      <c r="I67" s="71" t="s">
        <v>1</v>
      </c>
      <c r="J67" s="71" t="s">
        <v>5</v>
      </c>
      <c r="K67" s="71" t="s">
        <v>0</v>
      </c>
      <c r="L67" s="71" t="s">
        <v>0</v>
      </c>
      <c r="M67" s="7" t="str">
        <f t="shared" si="9"/>
        <v>0341911</v>
      </c>
      <c r="N67" s="7">
        <f t="shared" si="10"/>
        <v>0</v>
      </c>
      <c r="O67" s="7">
        <f t="shared" si="11"/>
        <v>0</v>
      </c>
      <c r="P67" s="7">
        <f t="shared" si="12"/>
        <v>1</v>
      </c>
      <c r="Q67" s="6">
        <f t="shared" si="13"/>
        <v>1</v>
      </c>
      <c r="R67" s="53">
        <f>(IF(Q67=1,VLOOKUP(D67,'[3]Sending Dist Weighted Fund PP'!$A$2:$E$170,5),0))</f>
        <v>12501.47</v>
      </c>
      <c r="S67" s="53">
        <f>IF(Q67=1,(VLOOKUP(M67,'Codes Rates Tuition '!$E$3:$I$61,5,FALSE)),0)</f>
        <v>7227</v>
      </c>
      <c r="T67" s="53">
        <f>IF(OR(H67="PK",H67="P3"),0,(IF(Q67=1,VLOOKUP(M67,'Codes Rates Tuition '!$E$3:$J$61,4,FALSE),0)))</f>
        <v>3060</v>
      </c>
      <c r="U67" s="53">
        <f t="shared" si="14"/>
        <v>12501.47</v>
      </c>
      <c r="V67" s="53">
        <f t="shared" si="17"/>
        <v>12501</v>
      </c>
      <c r="W67" s="53">
        <f>E67*IF(Q67=0,VLOOKUP(M67,'Codes Rates Tuition '!$E$3:$J$61,4,FALSE),0)</f>
        <v>0</v>
      </c>
      <c r="X67" s="7"/>
      <c r="Y67" s="6">
        <f t="shared" si="15"/>
        <v>0</v>
      </c>
      <c r="Z67" s="80">
        <f t="shared" si="16"/>
        <v>1</v>
      </c>
    </row>
    <row r="68" spans="1:26" x14ac:dyDescent="0.5">
      <c r="A68" s="25">
        <v>34</v>
      </c>
      <c r="B68" s="83">
        <v>19</v>
      </c>
      <c r="C68" s="25">
        <v>34</v>
      </c>
      <c r="D68" s="22">
        <v>18</v>
      </c>
      <c r="E68" s="22">
        <v>2</v>
      </c>
      <c r="F68" s="70" t="s">
        <v>550</v>
      </c>
      <c r="G68" s="71" t="s">
        <v>3</v>
      </c>
      <c r="H68" s="71" t="s">
        <v>545</v>
      </c>
      <c r="I68" s="71" t="s">
        <v>1</v>
      </c>
      <c r="J68" s="71" t="s">
        <v>0</v>
      </c>
      <c r="K68" s="71" t="s">
        <v>0</v>
      </c>
      <c r="L68" s="71" t="s">
        <v>0</v>
      </c>
      <c r="M68" s="7" t="str">
        <f t="shared" si="9"/>
        <v>0341911</v>
      </c>
      <c r="N68" s="7">
        <f t="shared" si="10"/>
        <v>0</v>
      </c>
      <c r="O68" s="7">
        <f t="shared" si="11"/>
        <v>0</v>
      </c>
      <c r="P68" s="7">
        <f t="shared" si="12"/>
        <v>0</v>
      </c>
      <c r="Q68" s="6">
        <f t="shared" si="13"/>
        <v>1</v>
      </c>
      <c r="R68" s="53">
        <f>(IF(Q68=1,VLOOKUP(D68,'[3]Sending Dist Weighted Fund PP'!$A$2:$E$170,5),0))</f>
        <v>12501.47</v>
      </c>
      <c r="S68" s="53">
        <f>IF(Q68=1,(VLOOKUP(M68,'Codes Rates Tuition '!$E$3:$I$61,5,FALSE)),0)</f>
        <v>7227</v>
      </c>
      <c r="T68" s="53">
        <f>IF(OR(H68="PK",H68="P3"),0,(IF(Q68=1,VLOOKUP(M68,'Codes Rates Tuition '!$E$3:$J$61,4,FALSE),0)))</f>
        <v>3060</v>
      </c>
      <c r="U68" s="53">
        <f t="shared" si="14"/>
        <v>12501.47</v>
      </c>
      <c r="V68" s="53">
        <f t="shared" si="17"/>
        <v>25003</v>
      </c>
      <c r="W68" s="53">
        <f>E68*IF(Q68=0,VLOOKUP(M68,'Codes Rates Tuition '!$E$3:$J$61,4,FALSE),0)</f>
        <v>0</v>
      </c>
      <c r="X68" s="7"/>
      <c r="Y68" s="6">
        <f t="shared" si="15"/>
        <v>0</v>
      </c>
      <c r="Z68" s="80">
        <f t="shared" si="16"/>
        <v>2</v>
      </c>
    </row>
    <row r="69" spans="1:26" x14ac:dyDescent="0.5">
      <c r="A69" s="25">
        <v>34</v>
      </c>
      <c r="B69" s="83">
        <v>19</v>
      </c>
      <c r="C69" s="25">
        <v>34</v>
      </c>
      <c r="D69" s="22">
        <v>34</v>
      </c>
      <c r="E69" s="22">
        <v>8</v>
      </c>
      <c r="F69" s="70" t="s">
        <v>550</v>
      </c>
      <c r="G69" s="71" t="s">
        <v>3</v>
      </c>
      <c r="H69" s="71" t="s">
        <v>541</v>
      </c>
      <c r="I69" s="71" t="s">
        <v>1</v>
      </c>
      <c r="J69" s="71" t="s">
        <v>0</v>
      </c>
      <c r="K69" s="71" t="s">
        <v>4</v>
      </c>
      <c r="L69" s="71" t="s">
        <v>0</v>
      </c>
      <c r="M69" s="7" t="str">
        <f t="shared" si="9"/>
        <v>0341911</v>
      </c>
      <c r="N69" s="7">
        <f t="shared" si="10"/>
        <v>0</v>
      </c>
      <c r="O69" s="7">
        <f t="shared" si="11"/>
        <v>8</v>
      </c>
      <c r="P69" s="7">
        <f t="shared" si="12"/>
        <v>0</v>
      </c>
      <c r="Q69" s="6">
        <f t="shared" si="13"/>
        <v>0</v>
      </c>
      <c r="R69" s="53">
        <f>(IF(Q69=1,VLOOKUP(D69,'[3]Sending Dist Weighted Fund PP'!$A$2:$E$170,5),0))</f>
        <v>0</v>
      </c>
      <c r="S69" s="53">
        <f>IF(Q69=1,(VLOOKUP(M69,'Codes Rates Tuition '!$E$3:$I$61,5,FALSE)),0)</f>
        <v>0</v>
      </c>
      <c r="T69" s="53">
        <f>IF(OR(H69="PK",H69="P3"),0,(IF(Q69=1,VLOOKUP(M69,'Codes Rates Tuition '!$E$3:$J$61,4,FALSE),0)))</f>
        <v>0</v>
      </c>
      <c r="U69" s="53">
        <f t="shared" si="14"/>
        <v>0</v>
      </c>
      <c r="V69" s="53">
        <f t="shared" si="17"/>
        <v>0</v>
      </c>
      <c r="W69" s="53">
        <f>E69*IF(Q69=0,VLOOKUP(M69,'Codes Rates Tuition '!$E$3:$J$61,4,FALSE),0)</f>
        <v>24480</v>
      </c>
      <c r="X69" s="7"/>
      <c r="Y69" s="6">
        <f t="shared" si="15"/>
        <v>8</v>
      </c>
      <c r="Z69" s="80">
        <f t="shared" si="16"/>
        <v>0</v>
      </c>
    </row>
    <row r="70" spans="1:26" x14ac:dyDescent="0.5">
      <c r="A70" s="25">
        <v>34</v>
      </c>
      <c r="B70" s="83">
        <v>19</v>
      </c>
      <c r="C70" s="25">
        <v>34</v>
      </c>
      <c r="D70" s="22">
        <v>34</v>
      </c>
      <c r="E70" s="22">
        <v>8</v>
      </c>
      <c r="F70" s="70" t="s">
        <v>550</v>
      </c>
      <c r="G70" s="71" t="s">
        <v>3</v>
      </c>
      <c r="H70" s="71" t="s">
        <v>541</v>
      </c>
      <c r="I70" s="71" t="s">
        <v>1</v>
      </c>
      <c r="J70" s="71" t="s">
        <v>0</v>
      </c>
      <c r="K70" s="71" t="s">
        <v>4</v>
      </c>
      <c r="L70" s="71" t="s">
        <v>5</v>
      </c>
      <c r="M70" s="7" t="str">
        <f t="shared" si="9"/>
        <v>0341911</v>
      </c>
      <c r="N70" s="7">
        <f t="shared" si="10"/>
        <v>8</v>
      </c>
      <c r="O70" s="7">
        <f t="shared" si="11"/>
        <v>8</v>
      </c>
      <c r="P70" s="7">
        <f t="shared" si="12"/>
        <v>0</v>
      </c>
      <c r="Q70" s="6">
        <f t="shared" si="13"/>
        <v>0</v>
      </c>
      <c r="R70" s="53">
        <f>(IF(Q70=1,VLOOKUP(D70,'[3]Sending Dist Weighted Fund PP'!$A$2:$E$170,5),0))</f>
        <v>0</v>
      </c>
      <c r="S70" s="53">
        <f>IF(Q70=1,(VLOOKUP(M70,'Codes Rates Tuition '!$E$3:$I$61,5,FALSE)),0)</f>
        <v>0</v>
      </c>
      <c r="T70" s="53">
        <f>IF(OR(H70="PK",H70="P3"),0,(IF(Q70=1,VLOOKUP(M70,'Codes Rates Tuition '!$E$3:$J$61,4,FALSE),0)))</f>
        <v>0</v>
      </c>
      <c r="U70" s="53">
        <f t="shared" si="14"/>
        <v>0</v>
      </c>
      <c r="V70" s="53">
        <f t="shared" si="17"/>
        <v>0</v>
      </c>
      <c r="W70" s="53">
        <f>E70*IF(Q70=0,VLOOKUP(M70,'Codes Rates Tuition '!$E$3:$J$61,4,FALSE),0)</f>
        <v>24480</v>
      </c>
      <c r="X70" s="7"/>
      <c r="Y70" s="6">
        <f t="shared" si="15"/>
        <v>8</v>
      </c>
      <c r="Z70" s="80">
        <f t="shared" si="16"/>
        <v>0</v>
      </c>
    </row>
    <row r="71" spans="1:26" x14ac:dyDescent="0.5">
      <c r="A71" s="25">
        <v>34</v>
      </c>
      <c r="B71" s="83">
        <v>19</v>
      </c>
      <c r="C71" s="25">
        <v>34</v>
      </c>
      <c r="D71" s="22">
        <v>34</v>
      </c>
      <c r="E71" s="22">
        <v>16</v>
      </c>
      <c r="F71" s="70" t="s">
        <v>550</v>
      </c>
      <c r="G71" s="71" t="s">
        <v>3</v>
      </c>
      <c r="H71" s="71" t="s">
        <v>541</v>
      </c>
      <c r="I71" s="71" t="s">
        <v>1</v>
      </c>
      <c r="J71" s="71" t="s">
        <v>0</v>
      </c>
      <c r="K71" s="71" t="s">
        <v>0</v>
      </c>
      <c r="L71" s="71" t="s">
        <v>0</v>
      </c>
      <c r="M71" s="7" t="str">
        <f t="shared" si="9"/>
        <v>0341911</v>
      </c>
      <c r="N71" s="7">
        <f t="shared" si="10"/>
        <v>0</v>
      </c>
      <c r="O71" s="7">
        <f t="shared" si="11"/>
        <v>0</v>
      </c>
      <c r="P71" s="7">
        <f t="shared" si="12"/>
        <v>0</v>
      </c>
      <c r="Q71" s="6">
        <f t="shared" si="13"/>
        <v>0</v>
      </c>
      <c r="R71" s="53">
        <f>(IF(Q71=1,VLOOKUP(D71,'[3]Sending Dist Weighted Fund PP'!$A$2:$E$170,5),0))</f>
        <v>0</v>
      </c>
      <c r="S71" s="53">
        <f>IF(Q71=1,(VLOOKUP(M71,'Codes Rates Tuition '!$E$3:$I$61,5,FALSE)),0)</f>
        <v>0</v>
      </c>
      <c r="T71" s="53">
        <f>IF(OR(H71="PK",H71="P3"),0,(IF(Q71=1,VLOOKUP(M71,'Codes Rates Tuition '!$E$3:$J$61,4,FALSE),0)))</f>
        <v>0</v>
      </c>
      <c r="U71" s="53">
        <f t="shared" si="14"/>
        <v>0</v>
      </c>
      <c r="V71" s="53">
        <f t="shared" si="17"/>
        <v>0</v>
      </c>
      <c r="W71" s="53">
        <f>E71*IF(Q71=0,VLOOKUP(M71,'Codes Rates Tuition '!$E$3:$J$61,4,FALSE),0)</f>
        <v>48960</v>
      </c>
      <c r="X71" s="7"/>
      <c r="Y71" s="6">
        <f t="shared" si="15"/>
        <v>16</v>
      </c>
      <c r="Z71" s="80">
        <f t="shared" si="16"/>
        <v>0</v>
      </c>
    </row>
    <row r="72" spans="1:26" x14ac:dyDescent="0.5">
      <c r="A72" s="25">
        <v>34</v>
      </c>
      <c r="B72" s="83">
        <v>19</v>
      </c>
      <c r="C72" s="25">
        <v>34</v>
      </c>
      <c r="D72" s="22">
        <v>34</v>
      </c>
      <c r="E72" s="22">
        <v>2</v>
      </c>
      <c r="F72" s="70" t="s">
        <v>550</v>
      </c>
      <c r="G72" s="71" t="s">
        <v>3</v>
      </c>
      <c r="H72" s="71" t="s">
        <v>541</v>
      </c>
      <c r="I72" s="71" t="s">
        <v>1</v>
      </c>
      <c r="J72" s="71" t="s">
        <v>0</v>
      </c>
      <c r="K72" s="71" t="s">
        <v>0</v>
      </c>
      <c r="L72" s="71" t="s">
        <v>5</v>
      </c>
      <c r="M72" s="7" t="str">
        <f t="shared" si="9"/>
        <v>0341911</v>
      </c>
      <c r="N72" s="7">
        <f t="shared" si="10"/>
        <v>2</v>
      </c>
      <c r="O72" s="7">
        <f t="shared" si="11"/>
        <v>0</v>
      </c>
      <c r="P72" s="7">
        <f t="shared" si="12"/>
        <v>0</v>
      </c>
      <c r="Q72" s="6">
        <f t="shared" si="13"/>
        <v>0</v>
      </c>
      <c r="R72" s="53">
        <f>(IF(Q72=1,VLOOKUP(D72,'[3]Sending Dist Weighted Fund PP'!$A$2:$E$170,5),0))</f>
        <v>0</v>
      </c>
      <c r="S72" s="53">
        <f>IF(Q72=1,(VLOOKUP(M72,'Codes Rates Tuition '!$E$3:$I$61,5,FALSE)),0)</f>
        <v>0</v>
      </c>
      <c r="T72" s="53">
        <f>IF(OR(H72="PK",H72="P3"),0,(IF(Q72=1,VLOOKUP(M72,'Codes Rates Tuition '!$E$3:$J$61,4,FALSE),0)))</f>
        <v>0</v>
      </c>
      <c r="U72" s="53">
        <f t="shared" si="14"/>
        <v>0</v>
      </c>
      <c r="V72" s="53">
        <f t="shared" si="17"/>
        <v>0</v>
      </c>
      <c r="W72" s="53">
        <f>E72*IF(Q72=0,VLOOKUP(M72,'Codes Rates Tuition '!$E$3:$J$61,4,FALSE),0)</f>
        <v>6120</v>
      </c>
      <c r="X72" s="7"/>
      <c r="Y72" s="6">
        <f t="shared" si="15"/>
        <v>2</v>
      </c>
      <c r="Z72" s="80">
        <f t="shared" si="16"/>
        <v>0</v>
      </c>
    </row>
    <row r="73" spans="1:26" x14ac:dyDescent="0.5">
      <c r="A73" s="25">
        <v>34</v>
      </c>
      <c r="B73" s="83">
        <v>19</v>
      </c>
      <c r="C73" s="25">
        <v>34</v>
      </c>
      <c r="D73" s="22">
        <v>34</v>
      </c>
      <c r="E73" s="22">
        <v>1</v>
      </c>
      <c r="F73" s="70" t="s">
        <v>550</v>
      </c>
      <c r="G73" s="71" t="s">
        <v>3</v>
      </c>
      <c r="H73" s="71" t="s">
        <v>541</v>
      </c>
      <c r="I73" s="71" t="s">
        <v>1</v>
      </c>
      <c r="J73" s="71" t="s">
        <v>0</v>
      </c>
      <c r="K73" s="71" t="s">
        <v>6</v>
      </c>
      <c r="L73" s="71" t="s">
        <v>0</v>
      </c>
      <c r="M73" s="7" t="str">
        <f t="shared" si="9"/>
        <v>0341911</v>
      </c>
      <c r="N73" s="7">
        <f t="shared" si="10"/>
        <v>0</v>
      </c>
      <c r="O73" s="7">
        <f t="shared" si="11"/>
        <v>1</v>
      </c>
      <c r="P73" s="7">
        <f t="shared" si="12"/>
        <v>0</v>
      </c>
      <c r="Q73" s="6">
        <f t="shared" si="13"/>
        <v>0</v>
      </c>
      <c r="R73" s="53">
        <f>(IF(Q73=1,VLOOKUP(D73,'[3]Sending Dist Weighted Fund PP'!$A$2:$E$170,5),0))</f>
        <v>0</v>
      </c>
      <c r="S73" s="53">
        <f>IF(Q73=1,(VLOOKUP(M73,'Codes Rates Tuition '!$E$3:$I$61,5,FALSE)),0)</f>
        <v>0</v>
      </c>
      <c r="T73" s="53">
        <f>IF(OR(H73="PK",H73="P3"),0,(IF(Q73=1,VLOOKUP(M73,'Codes Rates Tuition '!$E$3:$J$61,4,FALSE),0)))</f>
        <v>0</v>
      </c>
      <c r="U73" s="53">
        <f t="shared" si="14"/>
        <v>0</v>
      </c>
      <c r="V73" s="53">
        <f t="shared" si="17"/>
        <v>0</v>
      </c>
      <c r="W73" s="53">
        <f>E73*IF(Q73=0,VLOOKUP(M73,'Codes Rates Tuition '!$E$3:$J$61,4,FALSE),0)</f>
        <v>3060</v>
      </c>
      <c r="X73" s="7"/>
      <c r="Y73" s="6">
        <f t="shared" si="15"/>
        <v>1</v>
      </c>
      <c r="Z73" s="80">
        <f t="shared" si="16"/>
        <v>0</v>
      </c>
    </row>
    <row r="74" spans="1:26" x14ac:dyDescent="0.5">
      <c r="A74" s="25">
        <v>34</v>
      </c>
      <c r="B74" s="83">
        <v>19</v>
      </c>
      <c r="C74" s="25">
        <v>34</v>
      </c>
      <c r="D74" s="22">
        <v>34</v>
      </c>
      <c r="E74" s="22">
        <v>1</v>
      </c>
      <c r="F74" s="70" t="s">
        <v>550</v>
      </c>
      <c r="G74" s="71" t="s">
        <v>3</v>
      </c>
      <c r="H74" s="71" t="s">
        <v>541</v>
      </c>
      <c r="I74" s="71" t="s">
        <v>1</v>
      </c>
      <c r="J74" s="71" t="s">
        <v>0</v>
      </c>
      <c r="K74" s="71" t="s">
        <v>6</v>
      </c>
      <c r="L74" s="71" t="s">
        <v>5</v>
      </c>
      <c r="M74" s="7" t="str">
        <f t="shared" si="9"/>
        <v>0341911</v>
      </c>
      <c r="N74" s="7">
        <f t="shared" si="10"/>
        <v>1</v>
      </c>
      <c r="O74" s="7">
        <f t="shared" si="11"/>
        <v>1</v>
      </c>
      <c r="P74" s="7">
        <f t="shared" si="12"/>
        <v>0</v>
      </c>
      <c r="Q74" s="6">
        <f t="shared" si="13"/>
        <v>0</v>
      </c>
      <c r="R74" s="53">
        <f>(IF(Q74=1,VLOOKUP(D74,'[3]Sending Dist Weighted Fund PP'!$A$2:$E$170,5),0))</f>
        <v>0</v>
      </c>
      <c r="S74" s="53">
        <f>IF(Q74=1,(VLOOKUP(M74,'Codes Rates Tuition '!$E$3:$I$61,5,FALSE)),0)</f>
        <v>0</v>
      </c>
      <c r="T74" s="53">
        <f>IF(OR(H74="PK",H74="P3"),0,(IF(Q74=1,VLOOKUP(M74,'Codes Rates Tuition '!$E$3:$J$61,4,FALSE),0)))</f>
        <v>0</v>
      </c>
      <c r="U74" s="53">
        <f t="shared" si="14"/>
        <v>0</v>
      </c>
      <c r="V74" s="53">
        <f t="shared" si="17"/>
        <v>0</v>
      </c>
      <c r="W74" s="53">
        <f>E74*IF(Q74=0,VLOOKUP(M74,'Codes Rates Tuition '!$E$3:$J$61,4,FALSE),0)</f>
        <v>3060</v>
      </c>
      <c r="X74" s="7"/>
      <c r="Y74" s="6">
        <f t="shared" si="15"/>
        <v>1</v>
      </c>
      <c r="Z74" s="80">
        <f t="shared" si="16"/>
        <v>0</v>
      </c>
    </row>
    <row r="75" spans="1:26" x14ac:dyDescent="0.5">
      <c r="A75" s="25">
        <v>34</v>
      </c>
      <c r="B75" s="83">
        <v>19</v>
      </c>
      <c r="C75" s="25">
        <v>34</v>
      </c>
      <c r="D75" s="22">
        <v>34</v>
      </c>
      <c r="E75" s="22">
        <v>1</v>
      </c>
      <c r="F75" s="70" t="s">
        <v>550</v>
      </c>
      <c r="G75" s="71" t="s">
        <v>3</v>
      </c>
      <c r="H75" s="71" t="s">
        <v>541</v>
      </c>
      <c r="I75" s="71" t="s">
        <v>1</v>
      </c>
      <c r="J75" s="71" t="s">
        <v>5</v>
      </c>
      <c r="K75" s="71" t="s">
        <v>4</v>
      </c>
      <c r="L75" s="71" t="s">
        <v>5</v>
      </c>
      <c r="M75" s="7" t="str">
        <f t="shared" si="9"/>
        <v>0341911</v>
      </c>
      <c r="N75" s="7">
        <f t="shared" si="10"/>
        <v>1</v>
      </c>
      <c r="O75" s="7">
        <f t="shared" si="11"/>
        <v>1</v>
      </c>
      <c r="P75" s="7">
        <f t="shared" si="12"/>
        <v>1</v>
      </c>
      <c r="Q75" s="6">
        <f t="shared" si="13"/>
        <v>0</v>
      </c>
      <c r="R75" s="53">
        <f>(IF(Q75=1,VLOOKUP(D75,'[3]Sending Dist Weighted Fund PP'!$A$2:$E$170,5),0))</f>
        <v>0</v>
      </c>
      <c r="S75" s="53">
        <f>IF(Q75=1,(VLOOKUP(M75,'Codes Rates Tuition '!$E$3:$I$61,5,FALSE)),0)</f>
        <v>0</v>
      </c>
      <c r="T75" s="53">
        <f>IF(OR(H75="PK",H75="P3"),0,(IF(Q75=1,VLOOKUP(M75,'Codes Rates Tuition '!$E$3:$J$61,4,FALSE),0)))</f>
        <v>0</v>
      </c>
      <c r="U75" s="53">
        <f t="shared" si="14"/>
        <v>0</v>
      </c>
      <c r="V75" s="53">
        <f t="shared" si="17"/>
        <v>0</v>
      </c>
      <c r="W75" s="53">
        <f>E75*IF(Q75=0,VLOOKUP(M75,'Codes Rates Tuition '!$E$3:$J$61,4,FALSE),0)</f>
        <v>3060</v>
      </c>
      <c r="X75" s="7"/>
      <c r="Y75" s="6">
        <f t="shared" si="15"/>
        <v>1</v>
      </c>
      <c r="Z75" s="80">
        <f t="shared" si="16"/>
        <v>0</v>
      </c>
    </row>
    <row r="76" spans="1:26" x14ac:dyDescent="0.5">
      <c r="A76" s="25">
        <v>34</v>
      </c>
      <c r="B76" s="83">
        <v>19</v>
      </c>
      <c r="C76" s="25">
        <v>34</v>
      </c>
      <c r="D76" s="22">
        <v>34</v>
      </c>
      <c r="E76" s="22">
        <v>2</v>
      </c>
      <c r="F76" s="70" t="s">
        <v>550</v>
      </c>
      <c r="G76" s="71" t="s">
        <v>3</v>
      </c>
      <c r="H76" s="71" t="s">
        <v>541</v>
      </c>
      <c r="I76" s="71" t="s">
        <v>1</v>
      </c>
      <c r="J76" s="71" t="s">
        <v>5</v>
      </c>
      <c r="K76" s="71" t="s">
        <v>0</v>
      </c>
      <c r="L76" s="71" t="s">
        <v>0</v>
      </c>
      <c r="M76" s="7" t="str">
        <f t="shared" si="9"/>
        <v>0341911</v>
      </c>
      <c r="N76" s="7">
        <f t="shared" si="10"/>
        <v>0</v>
      </c>
      <c r="O76" s="7">
        <f t="shared" si="11"/>
        <v>0</v>
      </c>
      <c r="P76" s="7">
        <f t="shared" si="12"/>
        <v>2</v>
      </c>
      <c r="Q76" s="6">
        <f t="shared" si="13"/>
        <v>0</v>
      </c>
      <c r="R76" s="53">
        <f>(IF(Q76=1,VLOOKUP(D76,'[3]Sending Dist Weighted Fund PP'!$A$2:$E$170,5),0))</f>
        <v>0</v>
      </c>
      <c r="S76" s="53">
        <f>IF(Q76=1,(VLOOKUP(M76,'Codes Rates Tuition '!$E$3:$I$61,5,FALSE)),0)</f>
        <v>0</v>
      </c>
      <c r="T76" s="53">
        <f>IF(OR(H76="PK",H76="P3"),0,(IF(Q76=1,VLOOKUP(M76,'Codes Rates Tuition '!$E$3:$J$61,4,FALSE),0)))</f>
        <v>0</v>
      </c>
      <c r="U76" s="53">
        <f t="shared" si="14"/>
        <v>0</v>
      </c>
      <c r="V76" s="53">
        <f t="shared" si="17"/>
        <v>0</v>
      </c>
      <c r="W76" s="53">
        <f>E76*IF(Q76=0,VLOOKUP(M76,'Codes Rates Tuition '!$E$3:$J$61,4,FALSE),0)</f>
        <v>6120</v>
      </c>
      <c r="X76" s="7"/>
      <c r="Y76" s="6">
        <f t="shared" si="15"/>
        <v>2</v>
      </c>
      <c r="Z76" s="80">
        <f t="shared" si="16"/>
        <v>0</v>
      </c>
    </row>
    <row r="77" spans="1:26" x14ac:dyDescent="0.5">
      <c r="A77" s="25">
        <v>34</v>
      </c>
      <c r="B77" s="83">
        <v>19</v>
      </c>
      <c r="C77" s="25">
        <v>34</v>
      </c>
      <c r="D77" s="22">
        <v>34</v>
      </c>
      <c r="E77" s="22">
        <v>1</v>
      </c>
      <c r="F77" s="70" t="s">
        <v>550</v>
      </c>
      <c r="G77" s="71" t="s">
        <v>3</v>
      </c>
      <c r="H77" s="71" t="s">
        <v>541</v>
      </c>
      <c r="I77" s="71" t="s">
        <v>1</v>
      </c>
      <c r="J77" s="71" t="s">
        <v>5</v>
      </c>
      <c r="K77" s="71" t="s">
        <v>6</v>
      </c>
      <c r="L77" s="71" t="s">
        <v>5</v>
      </c>
      <c r="M77" s="7" t="str">
        <f t="shared" si="9"/>
        <v>0341911</v>
      </c>
      <c r="N77" s="7">
        <f t="shared" si="10"/>
        <v>1</v>
      </c>
      <c r="O77" s="7">
        <f t="shared" si="11"/>
        <v>1</v>
      </c>
      <c r="P77" s="7">
        <f t="shared" si="12"/>
        <v>1</v>
      </c>
      <c r="Q77" s="6">
        <f t="shared" si="13"/>
        <v>0</v>
      </c>
      <c r="R77" s="53">
        <f>(IF(Q77=1,VLOOKUP(D77,'[3]Sending Dist Weighted Fund PP'!$A$2:$E$170,5),0))</f>
        <v>0</v>
      </c>
      <c r="S77" s="53">
        <f>IF(Q77=1,(VLOOKUP(M77,'Codes Rates Tuition '!$E$3:$I$61,5,FALSE)),0)</f>
        <v>0</v>
      </c>
      <c r="T77" s="53">
        <f>IF(OR(H77="PK",H77="P3"),0,(IF(Q77=1,VLOOKUP(M77,'Codes Rates Tuition '!$E$3:$J$61,4,FALSE),0)))</f>
        <v>0</v>
      </c>
      <c r="U77" s="53">
        <f t="shared" si="14"/>
        <v>0</v>
      </c>
      <c r="V77" s="53">
        <f t="shared" si="17"/>
        <v>0</v>
      </c>
      <c r="W77" s="53">
        <f>E77*IF(Q77=0,VLOOKUP(M77,'Codes Rates Tuition '!$E$3:$J$61,4,FALSE),0)</f>
        <v>3060</v>
      </c>
      <c r="X77" s="7"/>
      <c r="Y77" s="6">
        <f t="shared" si="15"/>
        <v>1</v>
      </c>
      <c r="Z77" s="80">
        <f t="shared" si="16"/>
        <v>0</v>
      </c>
    </row>
    <row r="78" spans="1:26" x14ac:dyDescent="0.5">
      <c r="A78" s="25">
        <v>34</v>
      </c>
      <c r="B78" s="83">
        <v>19</v>
      </c>
      <c r="C78" s="25">
        <v>34</v>
      </c>
      <c r="D78" s="22">
        <v>34</v>
      </c>
      <c r="E78" s="22">
        <v>8</v>
      </c>
      <c r="F78" s="70" t="s">
        <v>550</v>
      </c>
      <c r="G78" s="71" t="s">
        <v>3</v>
      </c>
      <c r="H78" s="71" t="s">
        <v>542</v>
      </c>
      <c r="I78" s="71" t="s">
        <v>1</v>
      </c>
      <c r="J78" s="71" t="s">
        <v>0</v>
      </c>
      <c r="K78" s="71" t="s">
        <v>4</v>
      </c>
      <c r="L78" s="71" t="s">
        <v>0</v>
      </c>
      <c r="M78" s="7" t="str">
        <f t="shared" si="9"/>
        <v>0341911</v>
      </c>
      <c r="N78" s="7">
        <f t="shared" si="10"/>
        <v>0</v>
      </c>
      <c r="O78" s="7">
        <f t="shared" si="11"/>
        <v>8</v>
      </c>
      <c r="P78" s="7">
        <f t="shared" si="12"/>
        <v>0</v>
      </c>
      <c r="Q78" s="6">
        <f t="shared" si="13"/>
        <v>0</v>
      </c>
      <c r="R78" s="53">
        <f>(IF(Q78=1,VLOOKUP(D78,'[3]Sending Dist Weighted Fund PP'!$A$2:$E$170,5),0))</f>
        <v>0</v>
      </c>
      <c r="S78" s="53">
        <f>IF(Q78=1,(VLOOKUP(M78,'Codes Rates Tuition '!$E$3:$I$61,5,FALSE)),0)</f>
        <v>0</v>
      </c>
      <c r="T78" s="53">
        <f>IF(OR(H78="PK",H78="P3"),0,(IF(Q78=1,VLOOKUP(M78,'Codes Rates Tuition '!$E$3:$J$61,4,FALSE),0)))</f>
        <v>0</v>
      </c>
      <c r="U78" s="53">
        <f t="shared" si="14"/>
        <v>0</v>
      </c>
      <c r="V78" s="53">
        <f t="shared" si="17"/>
        <v>0</v>
      </c>
      <c r="W78" s="53">
        <f>E78*IF(Q78=0,VLOOKUP(M78,'Codes Rates Tuition '!$E$3:$J$61,4,FALSE),0)</f>
        <v>24480</v>
      </c>
      <c r="X78" s="7"/>
      <c r="Y78" s="6">
        <f t="shared" si="15"/>
        <v>8</v>
      </c>
      <c r="Z78" s="80">
        <f t="shared" si="16"/>
        <v>0</v>
      </c>
    </row>
    <row r="79" spans="1:26" x14ac:dyDescent="0.5">
      <c r="A79" s="25">
        <v>34</v>
      </c>
      <c r="B79" s="83">
        <v>19</v>
      </c>
      <c r="C79" s="25">
        <v>34</v>
      </c>
      <c r="D79" s="22">
        <v>34</v>
      </c>
      <c r="E79" s="22">
        <v>3</v>
      </c>
      <c r="F79" s="70" t="s">
        <v>550</v>
      </c>
      <c r="G79" s="71" t="s">
        <v>3</v>
      </c>
      <c r="H79" s="71" t="s">
        <v>542</v>
      </c>
      <c r="I79" s="71" t="s">
        <v>1</v>
      </c>
      <c r="J79" s="71" t="s">
        <v>0</v>
      </c>
      <c r="K79" s="71" t="s">
        <v>4</v>
      </c>
      <c r="L79" s="71" t="s">
        <v>5</v>
      </c>
      <c r="M79" s="7" t="str">
        <f t="shared" si="9"/>
        <v>0341911</v>
      </c>
      <c r="N79" s="7">
        <f t="shared" si="10"/>
        <v>3</v>
      </c>
      <c r="O79" s="7">
        <f t="shared" si="11"/>
        <v>3</v>
      </c>
      <c r="P79" s="7">
        <f t="shared" si="12"/>
        <v>0</v>
      </c>
      <c r="Q79" s="6">
        <f t="shared" si="13"/>
        <v>0</v>
      </c>
      <c r="R79" s="53">
        <f>(IF(Q79=1,VLOOKUP(D79,'[3]Sending Dist Weighted Fund PP'!$A$2:$E$170,5),0))</f>
        <v>0</v>
      </c>
      <c r="S79" s="53">
        <f>IF(Q79=1,(VLOOKUP(M79,'Codes Rates Tuition '!$E$3:$I$61,5,FALSE)),0)</f>
        <v>0</v>
      </c>
      <c r="T79" s="53">
        <f>IF(OR(H79="PK",H79="P3"),0,(IF(Q79=1,VLOOKUP(M79,'Codes Rates Tuition '!$E$3:$J$61,4,FALSE),0)))</f>
        <v>0</v>
      </c>
      <c r="U79" s="53">
        <f t="shared" si="14"/>
        <v>0</v>
      </c>
      <c r="V79" s="53">
        <f t="shared" si="17"/>
        <v>0</v>
      </c>
      <c r="W79" s="53">
        <f>E79*IF(Q79=0,VLOOKUP(M79,'Codes Rates Tuition '!$E$3:$J$61,4,FALSE),0)</f>
        <v>9180</v>
      </c>
      <c r="X79" s="7"/>
      <c r="Y79" s="6">
        <f t="shared" si="15"/>
        <v>3</v>
      </c>
      <c r="Z79" s="80">
        <f t="shared" si="16"/>
        <v>0</v>
      </c>
    </row>
    <row r="80" spans="1:26" x14ac:dyDescent="0.5">
      <c r="A80" s="25">
        <v>34</v>
      </c>
      <c r="B80" s="83">
        <v>19</v>
      </c>
      <c r="C80" s="25">
        <v>34</v>
      </c>
      <c r="D80" s="22">
        <v>34</v>
      </c>
      <c r="E80" s="22">
        <v>23</v>
      </c>
      <c r="F80" s="70" t="s">
        <v>550</v>
      </c>
      <c r="G80" s="71" t="s">
        <v>3</v>
      </c>
      <c r="H80" s="71" t="s">
        <v>542</v>
      </c>
      <c r="I80" s="71" t="s">
        <v>1</v>
      </c>
      <c r="J80" s="71" t="s">
        <v>0</v>
      </c>
      <c r="K80" s="71" t="s">
        <v>0</v>
      </c>
      <c r="L80" s="71" t="s">
        <v>0</v>
      </c>
      <c r="M80" s="7" t="str">
        <f t="shared" si="9"/>
        <v>0341911</v>
      </c>
      <c r="N80" s="7">
        <f t="shared" si="10"/>
        <v>0</v>
      </c>
      <c r="O80" s="7">
        <f t="shared" si="11"/>
        <v>0</v>
      </c>
      <c r="P80" s="7">
        <f t="shared" si="12"/>
        <v>0</v>
      </c>
      <c r="Q80" s="6">
        <f t="shared" si="13"/>
        <v>0</v>
      </c>
      <c r="R80" s="53">
        <f>(IF(Q80=1,VLOOKUP(D80,'[3]Sending Dist Weighted Fund PP'!$A$2:$E$170,5),0))</f>
        <v>0</v>
      </c>
      <c r="S80" s="53">
        <f>IF(Q80=1,(VLOOKUP(M80,'Codes Rates Tuition '!$E$3:$I$61,5,FALSE)),0)</f>
        <v>0</v>
      </c>
      <c r="T80" s="53">
        <f>IF(OR(H80="PK",H80="P3"),0,(IF(Q80=1,VLOOKUP(M80,'Codes Rates Tuition '!$E$3:$J$61,4,FALSE),0)))</f>
        <v>0</v>
      </c>
      <c r="U80" s="53">
        <f t="shared" si="14"/>
        <v>0</v>
      </c>
      <c r="V80" s="53">
        <f t="shared" si="17"/>
        <v>0</v>
      </c>
      <c r="W80" s="53">
        <f>E80*IF(Q80=0,VLOOKUP(M80,'Codes Rates Tuition '!$E$3:$J$61,4,FALSE),0)</f>
        <v>70380</v>
      </c>
      <c r="X80" s="7"/>
      <c r="Y80" s="6">
        <f t="shared" si="15"/>
        <v>23</v>
      </c>
      <c r="Z80" s="80">
        <f t="shared" si="16"/>
        <v>0</v>
      </c>
    </row>
    <row r="81" spans="1:26" x14ac:dyDescent="0.5">
      <c r="A81" s="25">
        <v>34</v>
      </c>
      <c r="B81" s="83">
        <v>19</v>
      </c>
      <c r="C81" s="25">
        <v>34</v>
      </c>
      <c r="D81" s="22">
        <v>34</v>
      </c>
      <c r="E81" s="22">
        <v>1</v>
      </c>
      <c r="F81" s="70" t="s">
        <v>550</v>
      </c>
      <c r="G81" s="71" t="s">
        <v>3</v>
      </c>
      <c r="H81" s="71" t="s">
        <v>542</v>
      </c>
      <c r="I81" s="71" t="s">
        <v>1</v>
      </c>
      <c r="J81" s="71" t="s">
        <v>0</v>
      </c>
      <c r="K81" s="71" t="s">
        <v>0</v>
      </c>
      <c r="L81" s="71" t="s">
        <v>5</v>
      </c>
      <c r="M81" s="7" t="str">
        <f t="shared" si="9"/>
        <v>0341911</v>
      </c>
      <c r="N81" s="7">
        <f t="shared" si="10"/>
        <v>1</v>
      </c>
      <c r="O81" s="7">
        <f t="shared" si="11"/>
        <v>0</v>
      </c>
      <c r="P81" s="7">
        <f t="shared" si="12"/>
        <v>0</v>
      </c>
      <c r="Q81" s="6">
        <f t="shared" si="13"/>
        <v>0</v>
      </c>
      <c r="R81" s="53">
        <f>(IF(Q81=1,VLOOKUP(D81,'[3]Sending Dist Weighted Fund PP'!$A$2:$E$170,5),0))</f>
        <v>0</v>
      </c>
      <c r="S81" s="53">
        <f>IF(Q81=1,(VLOOKUP(M81,'Codes Rates Tuition '!$E$3:$I$61,5,FALSE)),0)</f>
        <v>0</v>
      </c>
      <c r="T81" s="53">
        <f>IF(OR(H81="PK",H81="P3"),0,(IF(Q81=1,VLOOKUP(M81,'Codes Rates Tuition '!$E$3:$J$61,4,FALSE),0)))</f>
        <v>0</v>
      </c>
      <c r="U81" s="53">
        <f t="shared" si="14"/>
        <v>0</v>
      </c>
      <c r="V81" s="53">
        <f t="shared" si="17"/>
        <v>0</v>
      </c>
      <c r="W81" s="53">
        <f>E81*IF(Q81=0,VLOOKUP(M81,'Codes Rates Tuition '!$E$3:$J$61,4,FALSE),0)</f>
        <v>3060</v>
      </c>
      <c r="X81" s="7"/>
      <c r="Y81" s="6">
        <f t="shared" si="15"/>
        <v>1</v>
      </c>
      <c r="Z81" s="80">
        <f t="shared" si="16"/>
        <v>0</v>
      </c>
    </row>
    <row r="82" spans="1:26" x14ac:dyDescent="0.5">
      <c r="A82" s="25">
        <v>34</v>
      </c>
      <c r="B82" s="83">
        <v>19</v>
      </c>
      <c r="C82" s="25">
        <v>34</v>
      </c>
      <c r="D82" s="22">
        <v>34</v>
      </c>
      <c r="E82" s="22">
        <v>4</v>
      </c>
      <c r="F82" s="70" t="s">
        <v>550</v>
      </c>
      <c r="G82" s="71" t="s">
        <v>3</v>
      </c>
      <c r="H82" s="71" t="s">
        <v>542</v>
      </c>
      <c r="I82" s="71" t="s">
        <v>1</v>
      </c>
      <c r="J82" s="71" t="s">
        <v>0</v>
      </c>
      <c r="K82" s="71" t="s">
        <v>6</v>
      </c>
      <c r="L82" s="71" t="s">
        <v>0</v>
      </c>
      <c r="M82" s="7" t="str">
        <f t="shared" si="9"/>
        <v>0341911</v>
      </c>
      <c r="N82" s="7">
        <f t="shared" si="10"/>
        <v>0</v>
      </c>
      <c r="O82" s="7">
        <f t="shared" si="11"/>
        <v>4</v>
      </c>
      <c r="P82" s="7">
        <f t="shared" si="12"/>
        <v>0</v>
      </c>
      <c r="Q82" s="6">
        <f t="shared" si="13"/>
        <v>0</v>
      </c>
      <c r="R82" s="53">
        <f>(IF(Q82=1,VLOOKUP(D82,'[3]Sending Dist Weighted Fund PP'!$A$2:$E$170,5),0))</f>
        <v>0</v>
      </c>
      <c r="S82" s="53">
        <f>IF(Q82=1,(VLOOKUP(M82,'Codes Rates Tuition '!$E$3:$I$61,5,FALSE)),0)</f>
        <v>0</v>
      </c>
      <c r="T82" s="53">
        <f>IF(OR(H82="PK",H82="P3"),0,(IF(Q82=1,VLOOKUP(M82,'Codes Rates Tuition '!$E$3:$J$61,4,FALSE),0)))</f>
        <v>0</v>
      </c>
      <c r="U82" s="53">
        <f t="shared" si="14"/>
        <v>0</v>
      </c>
      <c r="V82" s="53">
        <f t="shared" si="17"/>
        <v>0</v>
      </c>
      <c r="W82" s="53">
        <f>E82*IF(Q82=0,VLOOKUP(M82,'Codes Rates Tuition '!$E$3:$J$61,4,FALSE),0)</f>
        <v>12240</v>
      </c>
      <c r="X82" s="7"/>
      <c r="Y82" s="6">
        <f t="shared" si="15"/>
        <v>4</v>
      </c>
      <c r="Z82" s="80">
        <f t="shared" si="16"/>
        <v>0</v>
      </c>
    </row>
    <row r="83" spans="1:26" x14ac:dyDescent="0.5">
      <c r="A83" s="25">
        <v>34</v>
      </c>
      <c r="B83" s="83">
        <v>19</v>
      </c>
      <c r="C83" s="25">
        <v>34</v>
      </c>
      <c r="D83" s="22">
        <v>34</v>
      </c>
      <c r="E83" s="22">
        <v>2</v>
      </c>
      <c r="F83" s="70" t="s">
        <v>550</v>
      </c>
      <c r="G83" s="71" t="s">
        <v>3</v>
      </c>
      <c r="H83" s="71" t="s">
        <v>542</v>
      </c>
      <c r="I83" s="71" t="s">
        <v>1</v>
      </c>
      <c r="J83" s="71" t="s">
        <v>5</v>
      </c>
      <c r="K83" s="71" t="s">
        <v>4</v>
      </c>
      <c r="L83" s="71" t="s">
        <v>0</v>
      </c>
      <c r="M83" s="7" t="str">
        <f t="shared" si="9"/>
        <v>0341911</v>
      </c>
      <c r="N83" s="7">
        <f t="shared" si="10"/>
        <v>0</v>
      </c>
      <c r="O83" s="7">
        <f t="shared" si="11"/>
        <v>2</v>
      </c>
      <c r="P83" s="7">
        <f t="shared" si="12"/>
        <v>2</v>
      </c>
      <c r="Q83" s="6">
        <f t="shared" si="13"/>
        <v>0</v>
      </c>
      <c r="R83" s="53">
        <f>(IF(Q83=1,VLOOKUP(D83,'[3]Sending Dist Weighted Fund PP'!$A$2:$E$170,5),0))</f>
        <v>0</v>
      </c>
      <c r="S83" s="53">
        <f>IF(Q83=1,(VLOOKUP(M83,'Codes Rates Tuition '!$E$3:$I$61,5,FALSE)),0)</f>
        <v>0</v>
      </c>
      <c r="T83" s="53">
        <f>IF(OR(H83="PK",H83="P3"),0,(IF(Q83=1,VLOOKUP(M83,'Codes Rates Tuition '!$E$3:$J$61,4,FALSE),0)))</f>
        <v>0</v>
      </c>
      <c r="U83" s="53">
        <f t="shared" si="14"/>
        <v>0</v>
      </c>
      <c r="V83" s="53">
        <f t="shared" si="17"/>
        <v>0</v>
      </c>
      <c r="W83" s="53">
        <f>E83*IF(Q83=0,VLOOKUP(M83,'Codes Rates Tuition '!$E$3:$J$61,4,FALSE),0)</f>
        <v>6120</v>
      </c>
      <c r="X83" s="7"/>
      <c r="Y83" s="6">
        <f t="shared" si="15"/>
        <v>2</v>
      </c>
      <c r="Z83" s="80">
        <f t="shared" si="16"/>
        <v>0</v>
      </c>
    </row>
    <row r="84" spans="1:26" x14ac:dyDescent="0.5">
      <c r="A84" s="25">
        <v>34</v>
      </c>
      <c r="B84" s="83">
        <v>19</v>
      </c>
      <c r="C84" s="25">
        <v>34</v>
      </c>
      <c r="D84" s="22">
        <v>34</v>
      </c>
      <c r="E84" s="22">
        <v>1</v>
      </c>
      <c r="F84" s="70" t="s">
        <v>550</v>
      </c>
      <c r="G84" s="71" t="s">
        <v>3</v>
      </c>
      <c r="H84" s="71" t="s">
        <v>542</v>
      </c>
      <c r="I84" s="71" t="s">
        <v>1</v>
      </c>
      <c r="J84" s="71" t="s">
        <v>5</v>
      </c>
      <c r="K84" s="71" t="s">
        <v>4</v>
      </c>
      <c r="L84" s="71" t="s">
        <v>5</v>
      </c>
      <c r="M84" s="7" t="str">
        <f t="shared" si="9"/>
        <v>0341911</v>
      </c>
      <c r="N84" s="7">
        <f t="shared" si="10"/>
        <v>1</v>
      </c>
      <c r="O84" s="7">
        <f t="shared" si="11"/>
        <v>1</v>
      </c>
      <c r="P84" s="7">
        <f t="shared" si="12"/>
        <v>1</v>
      </c>
      <c r="Q84" s="6">
        <f t="shared" si="13"/>
        <v>0</v>
      </c>
      <c r="R84" s="53">
        <f>(IF(Q84=1,VLOOKUP(D84,'[3]Sending Dist Weighted Fund PP'!$A$2:$E$170,5),0))</f>
        <v>0</v>
      </c>
      <c r="S84" s="53">
        <f>IF(Q84=1,(VLOOKUP(M84,'Codes Rates Tuition '!$E$3:$I$61,5,FALSE)),0)</f>
        <v>0</v>
      </c>
      <c r="T84" s="53">
        <f>IF(OR(H84="PK",H84="P3"),0,(IF(Q84=1,VLOOKUP(M84,'Codes Rates Tuition '!$E$3:$J$61,4,FALSE),0)))</f>
        <v>0</v>
      </c>
      <c r="U84" s="53">
        <f t="shared" si="14"/>
        <v>0</v>
      </c>
      <c r="V84" s="53">
        <f t="shared" si="17"/>
        <v>0</v>
      </c>
      <c r="W84" s="53">
        <f>E84*IF(Q84=0,VLOOKUP(M84,'Codes Rates Tuition '!$E$3:$J$61,4,FALSE),0)</f>
        <v>3060</v>
      </c>
      <c r="X84" s="7"/>
      <c r="Y84" s="6">
        <f t="shared" si="15"/>
        <v>1</v>
      </c>
      <c r="Z84" s="80">
        <f t="shared" si="16"/>
        <v>0</v>
      </c>
    </row>
    <row r="85" spans="1:26" x14ac:dyDescent="0.5">
      <c r="A85" s="25">
        <v>34</v>
      </c>
      <c r="B85" s="83">
        <v>19</v>
      </c>
      <c r="C85" s="25">
        <v>34</v>
      </c>
      <c r="D85" s="22">
        <v>34</v>
      </c>
      <c r="E85" s="22">
        <v>1</v>
      </c>
      <c r="F85" s="70" t="s">
        <v>550</v>
      </c>
      <c r="G85" s="71" t="s">
        <v>3</v>
      </c>
      <c r="H85" s="71" t="s">
        <v>542</v>
      </c>
      <c r="I85" s="71" t="s">
        <v>1</v>
      </c>
      <c r="J85" s="71" t="s">
        <v>5</v>
      </c>
      <c r="K85" s="71" t="s">
        <v>0</v>
      </c>
      <c r="L85" s="71" t="s">
        <v>0</v>
      </c>
      <c r="M85" s="7" t="str">
        <f t="shared" si="9"/>
        <v>0341911</v>
      </c>
      <c r="N85" s="7">
        <f t="shared" si="10"/>
        <v>0</v>
      </c>
      <c r="O85" s="7">
        <f t="shared" si="11"/>
        <v>0</v>
      </c>
      <c r="P85" s="7">
        <f t="shared" si="12"/>
        <v>1</v>
      </c>
      <c r="Q85" s="6">
        <f t="shared" si="13"/>
        <v>0</v>
      </c>
      <c r="R85" s="53">
        <f>(IF(Q85=1,VLOOKUP(D85,'[3]Sending Dist Weighted Fund PP'!$A$2:$E$170,5),0))</f>
        <v>0</v>
      </c>
      <c r="S85" s="53">
        <f>IF(Q85=1,(VLOOKUP(M85,'Codes Rates Tuition '!$E$3:$I$61,5,FALSE)),0)</f>
        <v>0</v>
      </c>
      <c r="T85" s="53">
        <f>IF(OR(H85="PK",H85="P3"),0,(IF(Q85=1,VLOOKUP(M85,'Codes Rates Tuition '!$E$3:$J$61,4,FALSE),0)))</f>
        <v>0</v>
      </c>
      <c r="U85" s="53">
        <f t="shared" si="14"/>
        <v>0</v>
      </c>
      <c r="V85" s="53">
        <f t="shared" si="17"/>
        <v>0</v>
      </c>
      <c r="W85" s="53">
        <f>E85*IF(Q85=0,VLOOKUP(M85,'Codes Rates Tuition '!$E$3:$J$61,4,FALSE),0)</f>
        <v>3060</v>
      </c>
      <c r="X85" s="7"/>
      <c r="Y85" s="6">
        <f t="shared" si="15"/>
        <v>1</v>
      </c>
      <c r="Z85" s="80">
        <f t="shared" si="16"/>
        <v>0</v>
      </c>
    </row>
    <row r="86" spans="1:26" x14ac:dyDescent="0.5">
      <c r="A86" s="25">
        <v>34</v>
      </c>
      <c r="B86" s="83">
        <v>19</v>
      </c>
      <c r="C86" s="25">
        <v>34</v>
      </c>
      <c r="D86" s="22">
        <v>34</v>
      </c>
      <c r="E86" s="22">
        <v>1</v>
      </c>
      <c r="F86" s="70" t="s">
        <v>550</v>
      </c>
      <c r="G86" s="71" t="s">
        <v>3</v>
      </c>
      <c r="H86" s="71" t="s">
        <v>542</v>
      </c>
      <c r="I86" s="71" t="s">
        <v>1</v>
      </c>
      <c r="J86" s="71" t="s">
        <v>5</v>
      </c>
      <c r="K86" s="71" t="s">
        <v>0</v>
      </c>
      <c r="L86" s="71" t="s">
        <v>5</v>
      </c>
      <c r="M86" s="7" t="str">
        <f t="shared" si="9"/>
        <v>0341911</v>
      </c>
      <c r="N86" s="7">
        <f t="shared" si="10"/>
        <v>1</v>
      </c>
      <c r="O86" s="7">
        <f t="shared" si="11"/>
        <v>0</v>
      </c>
      <c r="P86" s="7">
        <f t="shared" si="12"/>
        <v>1</v>
      </c>
      <c r="Q86" s="6">
        <f t="shared" si="13"/>
        <v>0</v>
      </c>
      <c r="R86" s="53">
        <f>(IF(Q86=1,VLOOKUP(D86,'[3]Sending Dist Weighted Fund PP'!$A$2:$E$170,5),0))</f>
        <v>0</v>
      </c>
      <c r="S86" s="53">
        <f>IF(Q86=1,(VLOOKUP(M86,'Codes Rates Tuition '!$E$3:$I$61,5,FALSE)),0)</f>
        <v>0</v>
      </c>
      <c r="T86" s="53">
        <f>IF(OR(H86="PK",H86="P3"),0,(IF(Q86=1,VLOOKUP(M86,'Codes Rates Tuition '!$E$3:$J$61,4,FALSE),0)))</f>
        <v>0</v>
      </c>
      <c r="U86" s="53">
        <f t="shared" si="14"/>
        <v>0</v>
      </c>
      <c r="V86" s="53">
        <f t="shared" si="17"/>
        <v>0</v>
      </c>
      <c r="W86" s="53">
        <f>E86*IF(Q86=0,VLOOKUP(M86,'Codes Rates Tuition '!$E$3:$J$61,4,FALSE),0)</f>
        <v>3060</v>
      </c>
      <c r="X86" s="7"/>
      <c r="Y86" s="6">
        <f t="shared" si="15"/>
        <v>1</v>
      </c>
      <c r="Z86" s="80">
        <f t="shared" si="16"/>
        <v>0</v>
      </c>
    </row>
    <row r="87" spans="1:26" x14ac:dyDescent="0.5">
      <c r="A87" s="25">
        <v>34</v>
      </c>
      <c r="B87" s="83">
        <v>19</v>
      </c>
      <c r="C87" s="25">
        <v>34</v>
      </c>
      <c r="D87" s="22">
        <v>34</v>
      </c>
      <c r="E87" s="22">
        <v>14</v>
      </c>
      <c r="F87" s="70" t="s">
        <v>550</v>
      </c>
      <c r="G87" s="71" t="s">
        <v>3</v>
      </c>
      <c r="H87" s="71" t="s">
        <v>1</v>
      </c>
      <c r="I87" s="71" t="s">
        <v>1</v>
      </c>
      <c r="J87" s="71" t="s">
        <v>0</v>
      </c>
      <c r="K87" s="71" t="s">
        <v>4</v>
      </c>
      <c r="L87" s="71" t="s">
        <v>0</v>
      </c>
      <c r="M87" s="7" t="str">
        <f t="shared" si="9"/>
        <v>0341911</v>
      </c>
      <c r="N87" s="7">
        <f t="shared" si="10"/>
        <v>0</v>
      </c>
      <c r="O87" s="7">
        <f t="shared" si="11"/>
        <v>14</v>
      </c>
      <c r="P87" s="7">
        <f t="shared" si="12"/>
        <v>0</v>
      </c>
      <c r="Q87" s="6">
        <f t="shared" si="13"/>
        <v>0</v>
      </c>
      <c r="R87" s="53">
        <f>(IF(Q87=1,VLOOKUP(D87,'[3]Sending Dist Weighted Fund PP'!$A$2:$E$170,5),0))</f>
        <v>0</v>
      </c>
      <c r="S87" s="53">
        <f>IF(Q87=1,(VLOOKUP(M87,'Codes Rates Tuition '!$E$3:$I$61,5,FALSE)),0)</f>
        <v>0</v>
      </c>
      <c r="T87" s="53">
        <f>IF(OR(H87="PK",H87="P3"),0,(IF(Q87=1,VLOOKUP(M87,'Codes Rates Tuition '!$E$3:$J$61,4,FALSE),0)))</f>
        <v>0</v>
      </c>
      <c r="U87" s="53">
        <f t="shared" si="14"/>
        <v>0</v>
      </c>
      <c r="V87" s="53">
        <f t="shared" si="17"/>
        <v>0</v>
      </c>
      <c r="W87" s="53">
        <f>E87*IF(Q87=0,VLOOKUP(M87,'Codes Rates Tuition '!$E$3:$J$61,4,FALSE),0)</f>
        <v>42840</v>
      </c>
      <c r="X87" s="7"/>
      <c r="Y87" s="6">
        <f t="shared" si="15"/>
        <v>14</v>
      </c>
      <c r="Z87" s="80">
        <f t="shared" si="16"/>
        <v>0</v>
      </c>
    </row>
    <row r="88" spans="1:26" x14ac:dyDescent="0.5">
      <c r="A88" s="25">
        <v>34</v>
      </c>
      <c r="B88" s="83">
        <v>19</v>
      </c>
      <c r="C88" s="25">
        <v>34</v>
      </c>
      <c r="D88" s="22">
        <v>34</v>
      </c>
      <c r="E88" s="22">
        <v>6</v>
      </c>
      <c r="F88" s="70" t="s">
        <v>550</v>
      </c>
      <c r="G88" s="71" t="s">
        <v>3</v>
      </c>
      <c r="H88" s="71" t="s">
        <v>1</v>
      </c>
      <c r="I88" s="71" t="s">
        <v>1</v>
      </c>
      <c r="J88" s="71" t="s">
        <v>0</v>
      </c>
      <c r="K88" s="71" t="s">
        <v>4</v>
      </c>
      <c r="L88" s="71" t="s">
        <v>5</v>
      </c>
      <c r="M88" s="7" t="str">
        <f t="shared" si="9"/>
        <v>0341911</v>
      </c>
      <c r="N88" s="7">
        <f t="shared" si="10"/>
        <v>6</v>
      </c>
      <c r="O88" s="7">
        <f t="shared" si="11"/>
        <v>6</v>
      </c>
      <c r="P88" s="7">
        <f t="shared" si="12"/>
        <v>0</v>
      </c>
      <c r="Q88" s="6">
        <f t="shared" si="13"/>
        <v>0</v>
      </c>
      <c r="R88" s="53">
        <f>(IF(Q88=1,VLOOKUP(D88,'[3]Sending Dist Weighted Fund PP'!$A$2:$E$170,5),0))</f>
        <v>0</v>
      </c>
      <c r="S88" s="53">
        <f>IF(Q88=1,(VLOOKUP(M88,'Codes Rates Tuition '!$E$3:$I$61,5,FALSE)),0)</f>
        <v>0</v>
      </c>
      <c r="T88" s="53">
        <f>IF(OR(H88="PK",H88="P3"),0,(IF(Q88=1,VLOOKUP(M88,'Codes Rates Tuition '!$E$3:$J$61,4,FALSE),0)))</f>
        <v>0</v>
      </c>
      <c r="U88" s="53">
        <f t="shared" si="14"/>
        <v>0</v>
      </c>
      <c r="V88" s="53">
        <f t="shared" si="17"/>
        <v>0</v>
      </c>
      <c r="W88" s="53">
        <f>E88*IF(Q88=0,VLOOKUP(M88,'Codes Rates Tuition '!$E$3:$J$61,4,FALSE),0)</f>
        <v>18360</v>
      </c>
      <c r="X88" s="7"/>
      <c r="Y88" s="6">
        <f t="shared" si="15"/>
        <v>6</v>
      </c>
      <c r="Z88" s="80">
        <f t="shared" si="16"/>
        <v>0</v>
      </c>
    </row>
    <row r="89" spans="1:26" x14ac:dyDescent="0.5">
      <c r="A89" s="25">
        <v>34</v>
      </c>
      <c r="B89" s="83">
        <v>19</v>
      </c>
      <c r="C89" s="25">
        <v>34</v>
      </c>
      <c r="D89" s="22">
        <v>34</v>
      </c>
      <c r="E89" s="22">
        <v>16</v>
      </c>
      <c r="F89" s="70" t="s">
        <v>550</v>
      </c>
      <c r="G89" s="71" t="s">
        <v>3</v>
      </c>
      <c r="H89" s="71" t="s">
        <v>1</v>
      </c>
      <c r="I89" s="71" t="s">
        <v>1</v>
      </c>
      <c r="J89" s="71" t="s">
        <v>0</v>
      </c>
      <c r="K89" s="71" t="s">
        <v>0</v>
      </c>
      <c r="L89" s="71" t="s">
        <v>0</v>
      </c>
      <c r="M89" s="7" t="str">
        <f t="shared" si="9"/>
        <v>0341911</v>
      </c>
      <c r="N89" s="7">
        <f t="shared" si="10"/>
        <v>0</v>
      </c>
      <c r="O89" s="7">
        <f t="shared" si="11"/>
        <v>0</v>
      </c>
      <c r="P89" s="7">
        <f t="shared" si="12"/>
        <v>0</v>
      </c>
      <c r="Q89" s="6">
        <f t="shared" si="13"/>
        <v>0</v>
      </c>
      <c r="R89" s="53">
        <f>(IF(Q89=1,VLOOKUP(D89,'[3]Sending Dist Weighted Fund PP'!$A$2:$E$170,5),0))</f>
        <v>0</v>
      </c>
      <c r="S89" s="53">
        <f>IF(Q89=1,(VLOOKUP(M89,'Codes Rates Tuition '!$E$3:$I$61,5,FALSE)),0)</f>
        <v>0</v>
      </c>
      <c r="T89" s="53">
        <f>IF(OR(H89="PK",H89="P3"),0,(IF(Q89=1,VLOOKUP(M89,'Codes Rates Tuition '!$E$3:$J$61,4,FALSE),0)))</f>
        <v>0</v>
      </c>
      <c r="U89" s="53">
        <f t="shared" si="14"/>
        <v>0</v>
      </c>
      <c r="V89" s="53">
        <f t="shared" si="17"/>
        <v>0</v>
      </c>
      <c r="W89" s="53">
        <f>E89*IF(Q89=0,VLOOKUP(M89,'Codes Rates Tuition '!$E$3:$J$61,4,FALSE),0)</f>
        <v>48960</v>
      </c>
      <c r="X89" s="7"/>
      <c r="Y89" s="6">
        <f t="shared" si="15"/>
        <v>16</v>
      </c>
      <c r="Z89" s="80">
        <f t="shared" si="16"/>
        <v>0</v>
      </c>
    </row>
    <row r="90" spans="1:26" x14ac:dyDescent="0.5">
      <c r="A90" s="25">
        <v>34</v>
      </c>
      <c r="B90" s="83">
        <v>19</v>
      </c>
      <c r="C90" s="25">
        <v>34</v>
      </c>
      <c r="D90" s="22">
        <v>34</v>
      </c>
      <c r="E90" s="22">
        <v>1</v>
      </c>
      <c r="F90" s="70" t="s">
        <v>550</v>
      </c>
      <c r="G90" s="71" t="s">
        <v>3</v>
      </c>
      <c r="H90" s="71" t="s">
        <v>1</v>
      </c>
      <c r="I90" s="71" t="s">
        <v>1</v>
      </c>
      <c r="J90" s="71" t="s">
        <v>0</v>
      </c>
      <c r="K90" s="71" t="s">
        <v>0</v>
      </c>
      <c r="L90" s="71" t="s">
        <v>5</v>
      </c>
      <c r="M90" s="7" t="str">
        <f t="shared" si="9"/>
        <v>0341911</v>
      </c>
      <c r="N90" s="7">
        <f t="shared" si="10"/>
        <v>1</v>
      </c>
      <c r="O90" s="7">
        <f t="shared" si="11"/>
        <v>0</v>
      </c>
      <c r="P90" s="7">
        <f t="shared" si="12"/>
        <v>0</v>
      </c>
      <c r="Q90" s="6">
        <f t="shared" si="13"/>
        <v>0</v>
      </c>
      <c r="R90" s="53">
        <f>(IF(Q90=1,VLOOKUP(D90,'[3]Sending Dist Weighted Fund PP'!$A$2:$E$170,5),0))</f>
        <v>0</v>
      </c>
      <c r="S90" s="53">
        <f>IF(Q90=1,(VLOOKUP(M90,'Codes Rates Tuition '!$E$3:$I$61,5,FALSE)),0)</f>
        <v>0</v>
      </c>
      <c r="T90" s="53">
        <f>IF(OR(H90="PK",H90="P3"),0,(IF(Q90=1,VLOOKUP(M90,'Codes Rates Tuition '!$E$3:$J$61,4,FALSE),0)))</f>
        <v>0</v>
      </c>
      <c r="U90" s="53">
        <f t="shared" si="14"/>
        <v>0</v>
      </c>
      <c r="V90" s="53">
        <f t="shared" si="17"/>
        <v>0</v>
      </c>
      <c r="W90" s="53">
        <f>E90*IF(Q90=0,VLOOKUP(M90,'Codes Rates Tuition '!$E$3:$J$61,4,FALSE),0)</f>
        <v>3060</v>
      </c>
      <c r="X90" s="7"/>
      <c r="Y90" s="6">
        <f t="shared" si="15"/>
        <v>1</v>
      </c>
      <c r="Z90" s="80">
        <f t="shared" si="16"/>
        <v>0</v>
      </c>
    </row>
    <row r="91" spans="1:26" x14ac:dyDescent="0.5">
      <c r="A91" s="25">
        <v>34</v>
      </c>
      <c r="B91" s="83">
        <v>19</v>
      </c>
      <c r="C91" s="25">
        <v>34</v>
      </c>
      <c r="D91" s="22">
        <v>34</v>
      </c>
      <c r="E91" s="22">
        <v>3</v>
      </c>
      <c r="F91" s="70" t="s">
        <v>550</v>
      </c>
      <c r="G91" s="71" t="s">
        <v>3</v>
      </c>
      <c r="H91" s="71" t="s">
        <v>1</v>
      </c>
      <c r="I91" s="71" t="s">
        <v>1</v>
      </c>
      <c r="J91" s="71" t="s">
        <v>0</v>
      </c>
      <c r="K91" s="71" t="s">
        <v>6</v>
      </c>
      <c r="L91" s="71" t="s">
        <v>0</v>
      </c>
      <c r="M91" s="7" t="str">
        <f t="shared" si="9"/>
        <v>0341911</v>
      </c>
      <c r="N91" s="7">
        <f t="shared" si="10"/>
        <v>0</v>
      </c>
      <c r="O91" s="7">
        <f t="shared" si="11"/>
        <v>3</v>
      </c>
      <c r="P91" s="7">
        <f t="shared" si="12"/>
        <v>0</v>
      </c>
      <c r="Q91" s="6">
        <f t="shared" si="13"/>
        <v>0</v>
      </c>
      <c r="R91" s="53">
        <f>(IF(Q91=1,VLOOKUP(D91,'[3]Sending Dist Weighted Fund PP'!$A$2:$E$170,5),0))</f>
        <v>0</v>
      </c>
      <c r="S91" s="53">
        <f>IF(Q91=1,(VLOOKUP(M91,'Codes Rates Tuition '!$E$3:$I$61,5,FALSE)),0)</f>
        <v>0</v>
      </c>
      <c r="T91" s="53">
        <f>IF(OR(H91="PK",H91="P3"),0,(IF(Q91=1,VLOOKUP(M91,'Codes Rates Tuition '!$E$3:$J$61,4,FALSE),0)))</f>
        <v>0</v>
      </c>
      <c r="U91" s="53">
        <f t="shared" si="14"/>
        <v>0</v>
      </c>
      <c r="V91" s="53">
        <f t="shared" si="17"/>
        <v>0</v>
      </c>
      <c r="W91" s="53">
        <f>E91*IF(Q91=0,VLOOKUP(M91,'Codes Rates Tuition '!$E$3:$J$61,4,FALSE),0)</f>
        <v>9180</v>
      </c>
      <c r="X91" s="7"/>
      <c r="Y91" s="6">
        <f t="shared" si="15"/>
        <v>3</v>
      </c>
      <c r="Z91" s="80">
        <f t="shared" si="16"/>
        <v>0</v>
      </c>
    </row>
    <row r="92" spans="1:26" x14ac:dyDescent="0.5">
      <c r="A92" s="25">
        <v>34</v>
      </c>
      <c r="B92" s="83">
        <v>19</v>
      </c>
      <c r="C92" s="25">
        <v>34</v>
      </c>
      <c r="D92" s="22">
        <v>34</v>
      </c>
      <c r="E92" s="22">
        <v>4</v>
      </c>
      <c r="F92" s="70" t="s">
        <v>550</v>
      </c>
      <c r="G92" s="71" t="s">
        <v>3</v>
      </c>
      <c r="H92" s="71" t="s">
        <v>1</v>
      </c>
      <c r="I92" s="71" t="s">
        <v>1</v>
      </c>
      <c r="J92" s="71" t="s">
        <v>0</v>
      </c>
      <c r="K92" s="71" t="s">
        <v>6</v>
      </c>
      <c r="L92" s="71" t="s">
        <v>5</v>
      </c>
      <c r="M92" s="7" t="str">
        <f t="shared" si="9"/>
        <v>0341911</v>
      </c>
      <c r="N92" s="7">
        <f t="shared" si="10"/>
        <v>4</v>
      </c>
      <c r="O92" s="7">
        <f t="shared" si="11"/>
        <v>4</v>
      </c>
      <c r="P92" s="7">
        <f t="shared" si="12"/>
        <v>0</v>
      </c>
      <c r="Q92" s="6">
        <f t="shared" si="13"/>
        <v>0</v>
      </c>
      <c r="R92" s="53">
        <f>(IF(Q92=1,VLOOKUP(D92,'[3]Sending Dist Weighted Fund PP'!$A$2:$E$170,5),0))</f>
        <v>0</v>
      </c>
      <c r="S92" s="53">
        <f>IF(Q92=1,(VLOOKUP(M92,'Codes Rates Tuition '!$E$3:$I$61,5,FALSE)),0)</f>
        <v>0</v>
      </c>
      <c r="T92" s="53">
        <f>IF(OR(H92="PK",H92="P3"),0,(IF(Q92=1,VLOOKUP(M92,'Codes Rates Tuition '!$E$3:$J$61,4,FALSE),0)))</f>
        <v>0</v>
      </c>
      <c r="U92" s="53">
        <f t="shared" si="14"/>
        <v>0</v>
      </c>
      <c r="V92" s="53">
        <f t="shared" si="17"/>
        <v>0</v>
      </c>
      <c r="W92" s="53">
        <f>E92*IF(Q92=0,VLOOKUP(M92,'Codes Rates Tuition '!$E$3:$J$61,4,FALSE),0)</f>
        <v>12240</v>
      </c>
      <c r="X92" s="7"/>
      <c r="Y92" s="6">
        <f t="shared" si="15"/>
        <v>4</v>
      </c>
      <c r="Z92" s="80">
        <f t="shared" si="16"/>
        <v>0</v>
      </c>
    </row>
    <row r="93" spans="1:26" x14ac:dyDescent="0.5">
      <c r="A93" s="25">
        <v>34</v>
      </c>
      <c r="B93" s="83">
        <v>19</v>
      </c>
      <c r="C93" s="25">
        <v>34</v>
      </c>
      <c r="D93" s="22">
        <v>34</v>
      </c>
      <c r="E93" s="22">
        <v>1</v>
      </c>
      <c r="F93" s="70" t="s">
        <v>550</v>
      </c>
      <c r="G93" s="71" t="s">
        <v>3</v>
      </c>
      <c r="H93" s="71" t="s">
        <v>1</v>
      </c>
      <c r="I93" s="71" t="s">
        <v>1</v>
      </c>
      <c r="J93" s="71" t="s">
        <v>5</v>
      </c>
      <c r="K93" s="71" t="s">
        <v>4</v>
      </c>
      <c r="L93" s="71" t="s">
        <v>0</v>
      </c>
      <c r="M93" s="7" t="str">
        <f t="shared" si="9"/>
        <v>0341911</v>
      </c>
      <c r="N93" s="7">
        <f t="shared" si="10"/>
        <v>0</v>
      </c>
      <c r="O93" s="7">
        <f t="shared" si="11"/>
        <v>1</v>
      </c>
      <c r="P93" s="7">
        <f t="shared" si="12"/>
        <v>1</v>
      </c>
      <c r="Q93" s="6">
        <f t="shared" si="13"/>
        <v>0</v>
      </c>
      <c r="R93" s="53">
        <f>(IF(Q93=1,VLOOKUP(D93,'[3]Sending Dist Weighted Fund PP'!$A$2:$E$170,5),0))</f>
        <v>0</v>
      </c>
      <c r="S93" s="53">
        <f>IF(Q93=1,(VLOOKUP(M93,'Codes Rates Tuition '!$E$3:$I$61,5,FALSE)),0)</f>
        <v>0</v>
      </c>
      <c r="T93" s="53">
        <f>IF(OR(H93="PK",H93="P3"),0,(IF(Q93=1,VLOOKUP(M93,'Codes Rates Tuition '!$E$3:$J$61,4,FALSE),0)))</f>
        <v>0</v>
      </c>
      <c r="U93" s="53">
        <f t="shared" si="14"/>
        <v>0</v>
      </c>
      <c r="V93" s="53">
        <f t="shared" si="17"/>
        <v>0</v>
      </c>
      <c r="W93" s="53">
        <f>E93*IF(Q93=0,VLOOKUP(M93,'Codes Rates Tuition '!$E$3:$J$61,4,FALSE),0)</f>
        <v>3060</v>
      </c>
      <c r="X93" s="7"/>
      <c r="Y93" s="6">
        <f t="shared" si="15"/>
        <v>1</v>
      </c>
      <c r="Z93" s="80">
        <f t="shared" si="16"/>
        <v>0</v>
      </c>
    </row>
    <row r="94" spans="1:26" x14ac:dyDescent="0.5">
      <c r="A94" s="25">
        <v>34</v>
      </c>
      <c r="B94" s="83">
        <v>19</v>
      </c>
      <c r="C94" s="25">
        <v>34</v>
      </c>
      <c r="D94" s="22">
        <v>34</v>
      </c>
      <c r="E94" s="22">
        <v>2</v>
      </c>
      <c r="F94" s="70" t="s">
        <v>550</v>
      </c>
      <c r="G94" s="71" t="s">
        <v>3</v>
      </c>
      <c r="H94" s="71" t="s">
        <v>1</v>
      </c>
      <c r="I94" s="71" t="s">
        <v>1</v>
      </c>
      <c r="J94" s="71" t="s">
        <v>5</v>
      </c>
      <c r="K94" s="71" t="s">
        <v>0</v>
      </c>
      <c r="L94" s="71" t="s">
        <v>0</v>
      </c>
      <c r="M94" s="7" t="str">
        <f t="shared" si="9"/>
        <v>0341911</v>
      </c>
      <c r="N94" s="7">
        <f t="shared" si="10"/>
        <v>0</v>
      </c>
      <c r="O94" s="7">
        <f t="shared" si="11"/>
        <v>0</v>
      </c>
      <c r="P94" s="7">
        <f t="shared" si="12"/>
        <v>2</v>
      </c>
      <c r="Q94" s="6">
        <f t="shared" si="13"/>
        <v>0</v>
      </c>
      <c r="R94" s="53">
        <f>(IF(Q94=1,VLOOKUP(D94,'[3]Sending Dist Weighted Fund PP'!$A$2:$E$170,5),0))</f>
        <v>0</v>
      </c>
      <c r="S94" s="53">
        <f>IF(Q94=1,(VLOOKUP(M94,'Codes Rates Tuition '!$E$3:$I$61,5,FALSE)),0)</f>
        <v>0</v>
      </c>
      <c r="T94" s="53">
        <f>IF(OR(H94="PK",H94="P3"),0,(IF(Q94=1,VLOOKUP(M94,'Codes Rates Tuition '!$E$3:$J$61,4,FALSE),0)))</f>
        <v>0</v>
      </c>
      <c r="U94" s="53">
        <f t="shared" si="14"/>
        <v>0</v>
      </c>
      <c r="V94" s="53">
        <f t="shared" si="17"/>
        <v>0</v>
      </c>
      <c r="W94" s="53">
        <f>E94*IF(Q94=0,VLOOKUP(M94,'Codes Rates Tuition '!$E$3:$J$61,4,FALSE),0)</f>
        <v>6120</v>
      </c>
      <c r="X94" s="7"/>
      <c r="Y94" s="6">
        <f t="shared" si="15"/>
        <v>2</v>
      </c>
      <c r="Z94" s="80">
        <f t="shared" si="16"/>
        <v>0</v>
      </c>
    </row>
    <row r="95" spans="1:26" x14ac:dyDescent="0.5">
      <c r="A95" s="25">
        <v>34</v>
      </c>
      <c r="B95" s="83">
        <v>19</v>
      </c>
      <c r="C95" s="25">
        <v>34</v>
      </c>
      <c r="D95" s="22">
        <v>34</v>
      </c>
      <c r="E95" s="22">
        <v>1</v>
      </c>
      <c r="F95" s="70" t="s">
        <v>550</v>
      </c>
      <c r="G95" s="71" t="s">
        <v>3</v>
      </c>
      <c r="H95" s="71" t="s">
        <v>1</v>
      </c>
      <c r="I95" s="71" t="s">
        <v>1</v>
      </c>
      <c r="J95" s="71" t="s">
        <v>5</v>
      </c>
      <c r="K95" s="71" t="s">
        <v>6</v>
      </c>
      <c r="L95" s="71" t="s">
        <v>0</v>
      </c>
      <c r="M95" s="7" t="str">
        <f t="shared" si="9"/>
        <v>0341911</v>
      </c>
      <c r="N95" s="7">
        <f t="shared" si="10"/>
        <v>0</v>
      </c>
      <c r="O95" s="7">
        <f t="shared" si="11"/>
        <v>1</v>
      </c>
      <c r="P95" s="7">
        <f t="shared" si="12"/>
        <v>1</v>
      </c>
      <c r="Q95" s="6">
        <f t="shared" si="13"/>
        <v>0</v>
      </c>
      <c r="R95" s="53">
        <f>(IF(Q95=1,VLOOKUP(D95,'[3]Sending Dist Weighted Fund PP'!$A$2:$E$170,5),0))</f>
        <v>0</v>
      </c>
      <c r="S95" s="53">
        <f>IF(Q95=1,(VLOOKUP(M95,'Codes Rates Tuition '!$E$3:$I$61,5,FALSE)),0)</f>
        <v>0</v>
      </c>
      <c r="T95" s="53">
        <f>IF(OR(H95="PK",H95="P3"),0,(IF(Q95=1,VLOOKUP(M95,'Codes Rates Tuition '!$E$3:$J$61,4,FALSE),0)))</f>
        <v>0</v>
      </c>
      <c r="U95" s="53">
        <f t="shared" si="14"/>
        <v>0</v>
      </c>
      <c r="V95" s="53">
        <f t="shared" si="17"/>
        <v>0</v>
      </c>
      <c r="W95" s="53">
        <f>E95*IF(Q95=0,VLOOKUP(M95,'Codes Rates Tuition '!$E$3:$J$61,4,FALSE),0)</f>
        <v>3060</v>
      </c>
      <c r="X95" s="7"/>
      <c r="Y95" s="6">
        <f t="shared" si="15"/>
        <v>1</v>
      </c>
      <c r="Z95" s="80">
        <f t="shared" si="16"/>
        <v>0</v>
      </c>
    </row>
    <row r="96" spans="1:26" x14ac:dyDescent="0.5">
      <c r="A96" s="25">
        <v>34</v>
      </c>
      <c r="B96" s="83">
        <v>19</v>
      </c>
      <c r="C96" s="25">
        <v>34</v>
      </c>
      <c r="D96" s="22">
        <v>34</v>
      </c>
      <c r="E96" s="22">
        <v>1</v>
      </c>
      <c r="F96" s="70" t="s">
        <v>550</v>
      </c>
      <c r="G96" s="71" t="s">
        <v>3</v>
      </c>
      <c r="H96" s="71" t="s">
        <v>1</v>
      </c>
      <c r="I96" s="71" t="s">
        <v>1</v>
      </c>
      <c r="J96" s="71" t="s">
        <v>5</v>
      </c>
      <c r="K96" s="71" t="s">
        <v>6</v>
      </c>
      <c r="L96" s="71" t="s">
        <v>5</v>
      </c>
      <c r="M96" s="7" t="str">
        <f t="shared" si="9"/>
        <v>0341911</v>
      </c>
      <c r="N96" s="7">
        <f t="shared" si="10"/>
        <v>1</v>
      </c>
      <c r="O96" s="7">
        <f t="shared" si="11"/>
        <v>1</v>
      </c>
      <c r="P96" s="7">
        <f t="shared" si="12"/>
        <v>1</v>
      </c>
      <c r="Q96" s="6">
        <f t="shared" si="13"/>
        <v>0</v>
      </c>
      <c r="R96" s="53">
        <f>(IF(Q96=1,VLOOKUP(D96,'[3]Sending Dist Weighted Fund PP'!$A$2:$E$170,5),0))</f>
        <v>0</v>
      </c>
      <c r="S96" s="53">
        <f>IF(Q96=1,(VLOOKUP(M96,'Codes Rates Tuition '!$E$3:$I$61,5,FALSE)),0)</f>
        <v>0</v>
      </c>
      <c r="T96" s="53">
        <f>IF(OR(H96="PK",H96="P3"),0,(IF(Q96=1,VLOOKUP(M96,'Codes Rates Tuition '!$E$3:$J$61,4,FALSE),0)))</f>
        <v>0</v>
      </c>
      <c r="U96" s="53">
        <f t="shared" si="14"/>
        <v>0</v>
      </c>
      <c r="V96" s="53">
        <f t="shared" si="17"/>
        <v>0</v>
      </c>
      <c r="W96" s="53">
        <f>E96*IF(Q96=0,VLOOKUP(M96,'Codes Rates Tuition '!$E$3:$J$61,4,FALSE),0)</f>
        <v>3060</v>
      </c>
      <c r="X96" s="7"/>
      <c r="Y96" s="6">
        <f t="shared" si="15"/>
        <v>1</v>
      </c>
      <c r="Z96" s="80">
        <f t="shared" si="16"/>
        <v>0</v>
      </c>
    </row>
    <row r="97" spans="1:26" x14ac:dyDescent="0.5">
      <c r="A97" s="25">
        <v>34</v>
      </c>
      <c r="B97" s="83">
        <v>19</v>
      </c>
      <c r="C97" s="25">
        <v>34</v>
      </c>
      <c r="D97" s="22">
        <v>34</v>
      </c>
      <c r="E97" s="22">
        <v>12</v>
      </c>
      <c r="F97" s="70" t="s">
        <v>550</v>
      </c>
      <c r="G97" s="71" t="s">
        <v>3</v>
      </c>
      <c r="H97" s="71" t="s">
        <v>543</v>
      </c>
      <c r="I97" s="71" t="s">
        <v>1</v>
      </c>
      <c r="J97" s="71" t="s">
        <v>0</v>
      </c>
      <c r="K97" s="71" t="s">
        <v>4</v>
      </c>
      <c r="L97" s="71" t="s">
        <v>0</v>
      </c>
      <c r="M97" s="7" t="str">
        <f t="shared" si="9"/>
        <v>0341911</v>
      </c>
      <c r="N97" s="7">
        <f t="shared" si="10"/>
        <v>0</v>
      </c>
      <c r="O97" s="7">
        <f t="shared" si="11"/>
        <v>12</v>
      </c>
      <c r="P97" s="7">
        <f t="shared" si="12"/>
        <v>0</v>
      </c>
      <c r="Q97" s="6">
        <f t="shared" si="13"/>
        <v>0</v>
      </c>
      <c r="R97" s="53">
        <f>(IF(Q97=1,VLOOKUP(D97,'[3]Sending Dist Weighted Fund PP'!$A$2:$E$170,5),0))</f>
        <v>0</v>
      </c>
      <c r="S97" s="53">
        <f>IF(Q97=1,(VLOOKUP(M97,'Codes Rates Tuition '!$E$3:$I$61,5,FALSE)),0)</f>
        <v>0</v>
      </c>
      <c r="T97" s="53">
        <f>IF(OR(H97="PK",H97="P3"),0,(IF(Q97=1,VLOOKUP(M97,'Codes Rates Tuition '!$E$3:$J$61,4,FALSE),0)))</f>
        <v>0</v>
      </c>
      <c r="U97" s="53">
        <f t="shared" si="14"/>
        <v>0</v>
      </c>
      <c r="V97" s="53">
        <f t="shared" si="17"/>
        <v>0</v>
      </c>
      <c r="W97" s="53">
        <f>E97*IF(Q97=0,VLOOKUP(M97,'Codes Rates Tuition '!$E$3:$J$61,4,FALSE),0)</f>
        <v>36720</v>
      </c>
      <c r="X97" s="7"/>
      <c r="Y97" s="6">
        <f t="shared" si="15"/>
        <v>12</v>
      </c>
      <c r="Z97" s="80">
        <f t="shared" si="16"/>
        <v>0</v>
      </c>
    </row>
    <row r="98" spans="1:26" x14ac:dyDescent="0.5">
      <c r="A98" s="25">
        <v>34</v>
      </c>
      <c r="B98" s="83">
        <v>19</v>
      </c>
      <c r="C98" s="25">
        <v>34</v>
      </c>
      <c r="D98" s="22">
        <v>34</v>
      </c>
      <c r="E98" s="22">
        <v>4</v>
      </c>
      <c r="F98" s="70" t="s">
        <v>550</v>
      </c>
      <c r="G98" s="71" t="s">
        <v>3</v>
      </c>
      <c r="H98" s="71" t="s">
        <v>543</v>
      </c>
      <c r="I98" s="71" t="s">
        <v>1</v>
      </c>
      <c r="J98" s="71" t="s">
        <v>0</v>
      </c>
      <c r="K98" s="71" t="s">
        <v>4</v>
      </c>
      <c r="L98" s="71" t="s">
        <v>5</v>
      </c>
      <c r="M98" s="7" t="str">
        <f t="shared" si="9"/>
        <v>0341911</v>
      </c>
      <c r="N98" s="7">
        <f t="shared" si="10"/>
        <v>4</v>
      </c>
      <c r="O98" s="7">
        <f t="shared" si="11"/>
        <v>4</v>
      </c>
      <c r="P98" s="7">
        <f t="shared" si="12"/>
        <v>0</v>
      </c>
      <c r="Q98" s="6">
        <f t="shared" si="13"/>
        <v>0</v>
      </c>
      <c r="R98" s="53">
        <f>(IF(Q98=1,VLOOKUP(D98,'[3]Sending Dist Weighted Fund PP'!$A$2:$E$170,5),0))</f>
        <v>0</v>
      </c>
      <c r="S98" s="53">
        <f>IF(Q98=1,(VLOOKUP(M98,'Codes Rates Tuition '!$E$3:$I$61,5,FALSE)),0)</f>
        <v>0</v>
      </c>
      <c r="T98" s="53">
        <f>IF(OR(H98="PK",H98="P3"),0,(IF(Q98=1,VLOOKUP(M98,'Codes Rates Tuition '!$E$3:$J$61,4,FALSE),0)))</f>
        <v>0</v>
      </c>
      <c r="U98" s="53">
        <f t="shared" si="14"/>
        <v>0</v>
      </c>
      <c r="V98" s="53">
        <f t="shared" si="17"/>
        <v>0</v>
      </c>
      <c r="W98" s="53">
        <f>E98*IF(Q98=0,VLOOKUP(M98,'Codes Rates Tuition '!$E$3:$J$61,4,FALSE),0)</f>
        <v>12240</v>
      </c>
      <c r="X98" s="7"/>
      <c r="Y98" s="6">
        <f t="shared" si="15"/>
        <v>4</v>
      </c>
      <c r="Z98" s="80">
        <f t="shared" si="16"/>
        <v>0</v>
      </c>
    </row>
    <row r="99" spans="1:26" x14ac:dyDescent="0.5">
      <c r="A99" s="25">
        <v>34</v>
      </c>
      <c r="B99" s="83">
        <v>19</v>
      </c>
      <c r="C99" s="25">
        <v>34</v>
      </c>
      <c r="D99" s="22">
        <v>34</v>
      </c>
      <c r="E99" s="22">
        <v>21</v>
      </c>
      <c r="F99" s="70" t="s">
        <v>550</v>
      </c>
      <c r="G99" s="71" t="s">
        <v>3</v>
      </c>
      <c r="H99" s="71" t="s">
        <v>543</v>
      </c>
      <c r="I99" s="71" t="s">
        <v>1</v>
      </c>
      <c r="J99" s="71" t="s">
        <v>0</v>
      </c>
      <c r="K99" s="71" t="s">
        <v>0</v>
      </c>
      <c r="L99" s="71" t="s">
        <v>0</v>
      </c>
      <c r="M99" s="7" t="str">
        <f t="shared" si="9"/>
        <v>0341911</v>
      </c>
      <c r="N99" s="7">
        <f t="shared" si="10"/>
        <v>0</v>
      </c>
      <c r="O99" s="7">
        <f t="shared" si="11"/>
        <v>0</v>
      </c>
      <c r="P99" s="7">
        <f t="shared" si="12"/>
        <v>0</v>
      </c>
      <c r="Q99" s="6">
        <f t="shared" si="13"/>
        <v>0</v>
      </c>
      <c r="R99" s="53">
        <f>(IF(Q99=1,VLOOKUP(D99,'[3]Sending Dist Weighted Fund PP'!$A$2:$E$170,5),0))</f>
        <v>0</v>
      </c>
      <c r="S99" s="53">
        <f>IF(Q99=1,(VLOOKUP(M99,'Codes Rates Tuition '!$E$3:$I$61,5,FALSE)),0)</f>
        <v>0</v>
      </c>
      <c r="T99" s="53">
        <f>IF(OR(H99="PK",H99="P3"),0,(IF(Q99=1,VLOOKUP(M99,'Codes Rates Tuition '!$E$3:$J$61,4,FALSE),0)))</f>
        <v>0</v>
      </c>
      <c r="U99" s="53">
        <f t="shared" si="14"/>
        <v>0</v>
      </c>
      <c r="V99" s="53">
        <f t="shared" si="17"/>
        <v>0</v>
      </c>
      <c r="W99" s="53">
        <f>E99*IF(Q99=0,VLOOKUP(M99,'Codes Rates Tuition '!$E$3:$J$61,4,FALSE),0)</f>
        <v>64260</v>
      </c>
      <c r="X99" s="7"/>
      <c r="Y99" s="6">
        <f t="shared" si="15"/>
        <v>21</v>
      </c>
      <c r="Z99" s="80">
        <f t="shared" si="16"/>
        <v>0</v>
      </c>
    </row>
    <row r="100" spans="1:26" x14ac:dyDescent="0.5">
      <c r="A100" s="25">
        <v>34</v>
      </c>
      <c r="B100" s="83">
        <v>19</v>
      </c>
      <c r="C100" s="25">
        <v>34</v>
      </c>
      <c r="D100" s="22">
        <v>34</v>
      </c>
      <c r="E100" s="22">
        <v>3</v>
      </c>
      <c r="F100" s="70" t="s">
        <v>550</v>
      </c>
      <c r="G100" s="71" t="s">
        <v>3</v>
      </c>
      <c r="H100" s="71" t="s">
        <v>543</v>
      </c>
      <c r="I100" s="71" t="s">
        <v>1</v>
      </c>
      <c r="J100" s="71" t="s">
        <v>0</v>
      </c>
      <c r="K100" s="71" t="s">
        <v>0</v>
      </c>
      <c r="L100" s="71" t="s">
        <v>5</v>
      </c>
      <c r="M100" s="7" t="str">
        <f t="shared" si="9"/>
        <v>0341911</v>
      </c>
      <c r="N100" s="7">
        <f t="shared" si="10"/>
        <v>3</v>
      </c>
      <c r="O100" s="7">
        <f t="shared" si="11"/>
        <v>0</v>
      </c>
      <c r="P100" s="7">
        <f t="shared" si="12"/>
        <v>0</v>
      </c>
      <c r="Q100" s="6">
        <f t="shared" si="13"/>
        <v>0</v>
      </c>
      <c r="R100" s="53">
        <f>(IF(Q100=1,VLOOKUP(D100,'[3]Sending Dist Weighted Fund PP'!$A$2:$E$170,5),0))</f>
        <v>0</v>
      </c>
      <c r="S100" s="53">
        <f>IF(Q100=1,(VLOOKUP(M100,'Codes Rates Tuition '!$E$3:$I$61,5,FALSE)),0)</f>
        <v>0</v>
      </c>
      <c r="T100" s="53">
        <f>IF(OR(H100="PK",H100="P3"),0,(IF(Q100=1,VLOOKUP(M100,'Codes Rates Tuition '!$E$3:$J$61,4,FALSE),0)))</f>
        <v>0</v>
      </c>
      <c r="U100" s="53">
        <f t="shared" si="14"/>
        <v>0</v>
      </c>
      <c r="V100" s="53">
        <f t="shared" si="17"/>
        <v>0</v>
      </c>
      <c r="W100" s="53">
        <f>E100*IF(Q100=0,VLOOKUP(M100,'Codes Rates Tuition '!$E$3:$J$61,4,FALSE),0)</f>
        <v>9180</v>
      </c>
      <c r="X100" s="7"/>
      <c r="Y100" s="6">
        <f t="shared" si="15"/>
        <v>3</v>
      </c>
      <c r="Z100" s="80">
        <f t="shared" si="16"/>
        <v>0</v>
      </c>
    </row>
    <row r="101" spans="1:26" x14ac:dyDescent="0.5">
      <c r="A101" s="25">
        <v>34</v>
      </c>
      <c r="B101" s="83">
        <v>19</v>
      </c>
      <c r="C101" s="25">
        <v>34</v>
      </c>
      <c r="D101" s="22">
        <v>34</v>
      </c>
      <c r="E101" s="22">
        <v>2</v>
      </c>
      <c r="F101" s="70" t="s">
        <v>550</v>
      </c>
      <c r="G101" s="71" t="s">
        <v>3</v>
      </c>
      <c r="H101" s="71" t="s">
        <v>543</v>
      </c>
      <c r="I101" s="71" t="s">
        <v>1</v>
      </c>
      <c r="J101" s="71" t="s">
        <v>0</v>
      </c>
      <c r="K101" s="71" t="s">
        <v>6</v>
      </c>
      <c r="L101" s="71" t="s">
        <v>0</v>
      </c>
      <c r="M101" s="7" t="str">
        <f t="shared" si="9"/>
        <v>0341911</v>
      </c>
      <c r="N101" s="7">
        <f t="shared" si="10"/>
        <v>0</v>
      </c>
      <c r="O101" s="7">
        <f t="shared" si="11"/>
        <v>2</v>
      </c>
      <c r="P101" s="7">
        <f t="shared" si="12"/>
        <v>0</v>
      </c>
      <c r="Q101" s="6">
        <f t="shared" si="13"/>
        <v>0</v>
      </c>
      <c r="R101" s="53">
        <f>(IF(Q101=1,VLOOKUP(D101,'[3]Sending Dist Weighted Fund PP'!$A$2:$E$170,5),0))</f>
        <v>0</v>
      </c>
      <c r="S101" s="53">
        <f>IF(Q101=1,(VLOOKUP(M101,'Codes Rates Tuition '!$E$3:$I$61,5,FALSE)),0)</f>
        <v>0</v>
      </c>
      <c r="T101" s="53">
        <f>IF(OR(H101="PK",H101="P3"),0,(IF(Q101=1,VLOOKUP(M101,'Codes Rates Tuition '!$E$3:$J$61,4,FALSE),0)))</f>
        <v>0</v>
      </c>
      <c r="U101" s="53">
        <f t="shared" si="14"/>
        <v>0</v>
      </c>
      <c r="V101" s="53">
        <f t="shared" si="17"/>
        <v>0</v>
      </c>
      <c r="W101" s="53">
        <f>E101*IF(Q101=0,VLOOKUP(M101,'Codes Rates Tuition '!$E$3:$J$61,4,FALSE),0)</f>
        <v>6120</v>
      </c>
      <c r="X101" s="7"/>
      <c r="Y101" s="6">
        <f t="shared" si="15"/>
        <v>2</v>
      </c>
      <c r="Z101" s="80">
        <f t="shared" si="16"/>
        <v>0</v>
      </c>
    </row>
    <row r="102" spans="1:26" x14ac:dyDescent="0.5">
      <c r="A102" s="25">
        <v>34</v>
      </c>
      <c r="B102" s="83">
        <v>19</v>
      </c>
      <c r="C102" s="25">
        <v>34</v>
      </c>
      <c r="D102" s="22">
        <v>34</v>
      </c>
      <c r="E102" s="22">
        <v>1</v>
      </c>
      <c r="F102" s="70" t="s">
        <v>550</v>
      </c>
      <c r="G102" s="71" t="s">
        <v>3</v>
      </c>
      <c r="H102" s="71" t="s">
        <v>543</v>
      </c>
      <c r="I102" s="71" t="s">
        <v>1</v>
      </c>
      <c r="J102" s="71" t="s">
        <v>0</v>
      </c>
      <c r="K102" s="71" t="s">
        <v>6</v>
      </c>
      <c r="L102" s="71" t="s">
        <v>5</v>
      </c>
      <c r="M102" s="7" t="str">
        <f t="shared" si="9"/>
        <v>0341911</v>
      </c>
      <c r="N102" s="7">
        <f t="shared" si="10"/>
        <v>1</v>
      </c>
      <c r="O102" s="7">
        <f t="shared" si="11"/>
        <v>1</v>
      </c>
      <c r="P102" s="7">
        <f t="shared" si="12"/>
        <v>0</v>
      </c>
      <c r="Q102" s="6">
        <f t="shared" si="13"/>
        <v>0</v>
      </c>
      <c r="R102" s="53">
        <f>(IF(Q102=1,VLOOKUP(D102,'[3]Sending Dist Weighted Fund PP'!$A$2:$E$170,5),0))</f>
        <v>0</v>
      </c>
      <c r="S102" s="53">
        <f>IF(Q102=1,(VLOOKUP(M102,'Codes Rates Tuition '!$E$3:$I$61,5,FALSE)),0)</f>
        <v>0</v>
      </c>
      <c r="T102" s="53">
        <f>IF(OR(H102="PK",H102="P3"),0,(IF(Q102=1,VLOOKUP(M102,'Codes Rates Tuition '!$E$3:$J$61,4,FALSE),0)))</f>
        <v>0</v>
      </c>
      <c r="U102" s="53">
        <f t="shared" si="14"/>
        <v>0</v>
      </c>
      <c r="V102" s="53">
        <f t="shared" si="17"/>
        <v>0</v>
      </c>
      <c r="W102" s="53">
        <f>E102*IF(Q102=0,VLOOKUP(M102,'Codes Rates Tuition '!$E$3:$J$61,4,FALSE),0)</f>
        <v>3060</v>
      </c>
      <c r="X102" s="7"/>
      <c r="Y102" s="6">
        <f t="shared" si="15"/>
        <v>1</v>
      </c>
      <c r="Z102" s="80">
        <f t="shared" si="16"/>
        <v>0</v>
      </c>
    </row>
    <row r="103" spans="1:26" x14ac:dyDescent="0.5">
      <c r="A103" s="25">
        <v>34</v>
      </c>
      <c r="B103" s="83">
        <v>19</v>
      </c>
      <c r="C103" s="25">
        <v>34</v>
      </c>
      <c r="D103" s="22">
        <v>34</v>
      </c>
      <c r="E103" s="22">
        <v>2</v>
      </c>
      <c r="F103" s="70" t="s">
        <v>550</v>
      </c>
      <c r="G103" s="71" t="s">
        <v>3</v>
      </c>
      <c r="H103" s="71" t="s">
        <v>543</v>
      </c>
      <c r="I103" s="71" t="s">
        <v>1</v>
      </c>
      <c r="J103" s="71" t="s">
        <v>5</v>
      </c>
      <c r="K103" s="71" t="s">
        <v>0</v>
      </c>
      <c r="L103" s="71" t="s">
        <v>0</v>
      </c>
      <c r="M103" s="7" t="str">
        <f t="shared" si="9"/>
        <v>0341911</v>
      </c>
      <c r="N103" s="7">
        <f t="shared" si="10"/>
        <v>0</v>
      </c>
      <c r="O103" s="7">
        <f t="shared" si="11"/>
        <v>0</v>
      </c>
      <c r="P103" s="7">
        <f t="shared" si="12"/>
        <v>2</v>
      </c>
      <c r="Q103" s="6">
        <f t="shared" si="13"/>
        <v>0</v>
      </c>
      <c r="R103" s="53">
        <f>(IF(Q103=1,VLOOKUP(D103,'[3]Sending Dist Weighted Fund PP'!$A$2:$E$170,5),0))</f>
        <v>0</v>
      </c>
      <c r="S103" s="53">
        <f>IF(Q103=1,(VLOOKUP(M103,'Codes Rates Tuition '!$E$3:$I$61,5,FALSE)),0)</f>
        <v>0</v>
      </c>
      <c r="T103" s="53">
        <f>IF(OR(H103="PK",H103="P3"),0,(IF(Q103=1,VLOOKUP(M103,'Codes Rates Tuition '!$E$3:$J$61,4,FALSE),0)))</f>
        <v>0</v>
      </c>
      <c r="U103" s="53">
        <f t="shared" si="14"/>
        <v>0</v>
      </c>
      <c r="V103" s="53">
        <f t="shared" si="17"/>
        <v>0</v>
      </c>
      <c r="W103" s="53">
        <f>E103*IF(Q103=0,VLOOKUP(M103,'Codes Rates Tuition '!$E$3:$J$61,4,FALSE),0)</f>
        <v>6120</v>
      </c>
      <c r="X103" s="7"/>
      <c r="Y103" s="6">
        <f t="shared" si="15"/>
        <v>2</v>
      </c>
      <c r="Z103" s="80">
        <f t="shared" si="16"/>
        <v>0</v>
      </c>
    </row>
    <row r="104" spans="1:26" x14ac:dyDescent="0.5">
      <c r="A104" s="25">
        <v>34</v>
      </c>
      <c r="B104" s="83">
        <v>19</v>
      </c>
      <c r="C104" s="25">
        <v>34</v>
      </c>
      <c r="D104" s="22">
        <v>34</v>
      </c>
      <c r="E104" s="22">
        <v>1</v>
      </c>
      <c r="F104" s="70" t="s">
        <v>550</v>
      </c>
      <c r="G104" s="71" t="s">
        <v>3</v>
      </c>
      <c r="H104" s="71" t="s">
        <v>543</v>
      </c>
      <c r="I104" s="71" t="s">
        <v>1</v>
      </c>
      <c r="J104" s="71" t="s">
        <v>5</v>
      </c>
      <c r="K104" s="71" t="s">
        <v>0</v>
      </c>
      <c r="L104" s="71" t="s">
        <v>5</v>
      </c>
      <c r="M104" s="7" t="str">
        <f t="shared" si="9"/>
        <v>0341911</v>
      </c>
      <c r="N104" s="7">
        <f t="shared" si="10"/>
        <v>1</v>
      </c>
      <c r="O104" s="7">
        <f t="shared" si="11"/>
        <v>0</v>
      </c>
      <c r="P104" s="7">
        <f t="shared" si="12"/>
        <v>1</v>
      </c>
      <c r="Q104" s="6">
        <f t="shared" si="13"/>
        <v>0</v>
      </c>
      <c r="R104" s="53">
        <f>(IF(Q104=1,VLOOKUP(D104,'[3]Sending Dist Weighted Fund PP'!$A$2:$E$170,5),0))</f>
        <v>0</v>
      </c>
      <c r="S104" s="53">
        <f>IF(Q104=1,(VLOOKUP(M104,'Codes Rates Tuition '!$E$3:$I$61,5,FALSE)),0)</f>
        <v>0</v>
      </c>
      <c r="T104" s="53">
        <f>IF(OR(H104="PK",H104="P3"),0,(IF(Q104=1,VLOOKUP(M104,'Codes Rates Tuition '!$E$3:$J$61,4,FALSE),0)))</f>
        <v>0</v>
      </c>
      <c r="U104" s="53">
        <f t="shared" si="14"/>
        <v>0</v>
      </c>
      <c r="V104" s="53">
        <f t="shared" si="17"/>
        <v>0</v>
      </c>
      <c r="W104" s="53">
        <f>E104*IF(Q104=0,VLOOKUP(M104,'Codes Rates Tuition '!$E$3:$J$61,4,FALSE),0)</f>
        <v>3060</v>
      </c>
      <c r="X104" s="7"/>
      <c r="Y104" s="6">
        <f t="shared" si="15"/>
        <v>1</v>
      </c>
      <c r="Z104" s="80">
        <f t="shared" si="16"/>
        <v>0</v>
      </c>
    </row>
    <row r="105" spans="1:26" x14ac:dyDescent="0.5">
      <c r="A105" s="25">
        <v>34</v>
      </c>
      <c r="B105" s="83">
        <v>19</v>
      </c>
      <c r="C105" s="25">
        <v>34</v>
      </c>
      <c r="D105" s="22">
        <v>34</v>
      </c>
      <c r="E105" s="22">
        <v>2</v>
      </c>
      <c r="F105" s="70" t="s">
        <v>550</v>
      </c>
      <c r="G105" s="71" t="s">
        <v>3</v>
      </c>
      <c r="H105" s="71" t="s">
        <v>543</v>
      </c>
      <c r="I105" s="71" t="s">
        <v>1</v>
      </c>
      <c r="J105" s="71" t="s">
        <v>5</v>
      </c>
      <c r="K105" s="71" t="s">
        <v>6</v>
      </c>
      <c r="L105" s="71" t="s">
        <v>0</v>
      </c>
      <c r="M105" s="7" t="str">
        <f t="shared" si="9"/>
        <v>0341911</v>
      </c>
      <c r="N105" s="7">
        <f t="shared" si="10"/>
        <v>0</v>
      </c>
      <c r="O105" s="7">
        <f t="shared" si="11"/>
        <v>2</v>
      </c>
      <c r="P105" s="7">
        <f t="shared" si="12"/>
        <v>2</v>
      </c>
      <c r="Q105" s="6">
        <f t="shared" si="13"/>
        <v>0</v>
      </c>
      <c r="R105" s="53">
        <f>(IF(Q105=1,VLOOKUP(D105,'[3]Sending Dist Weighted Fund PP'!$A$2:$E$170,5),0))</f>
        <v>0</v>
      </c>
      <c r="S105" s="53">
        <f>IF(Q105=1,(VLOOKUP(M105,'Codes Rates Tuition '!$E$3:$I$61,5,FALSE)),0)</f>
        <v>0</v>
      </c>
      <c r="T105" s="53">
        <f>IF(OR(H105="PK",H105="P3"),0,(IF(Q105=1,VLOOKUP(M105,'Codes Rates Tuition '!$E$3:$J$61,4,FALSE),0)))</f>
        <v>0</v>
      </c>
      <c r="U105" s="53">
        <f t="shared" si="14"/>
        <v>0</v>
      </c>
      <c r="V105" s="53">
        <f t="shared" si="17"/>
        <v>0</v>
      </c>
      <c r="W105" s="53">
        <f>E105*IF(Q105=0,VLOOKUP(M105,'Codes Rates Tuition '!$E$3:$J$61,4,FALSE),0)</f>
        <v>6120</v>
      </c>
      <c r="X105" s="7"/>
      <c r="Y105" s="6">
        <f t="shared" si="15"/>
        <v>2</v>
      </c>
      <c r="Z105" s="80">
        <f t="shared" si="16"/>
        <v>0</v>
      </c>
    </row>
    <row r="106" spans="1:26" x14ac:dyDescent="0.5">
      <c r="A106" s="25">
        <v>34</v>
      </c>
      <c r="B106" s="83">
        <v>19</v>
      </c>
      <c r="C106" s="25">
        <v>34</v>
      </c>
      <c r="D106" s="22">
        <v>34</v>
      </c>
      <c r="E106" s="22">
        <v>12</v>
      </c>
      <c r="F106" s="70" t="s">
        <v>550</v>
      </c>
      <c r="G106" s="71" t="s">
        <v>3</v>
      </c>
      <c r="H106" s="71" t="s">
        <v>544</v>
      </c>
      <c r="I106" s="71" t="s">
        <v>1</v>
      </c>
      <c r="J106" s="71" t="s">
        <v>0</v>
      </c>
      <c r="K106" s="71" t="s">
        <v>4</v>
      </c>
      <c r="L106" s="71" t="s">
        <v>0</v>
      </c>
      <c r="M106" s="7" t="str">
        <f t="shared" si="9"/>
        <v>0341911</v>
      </c>
      <c r="N106" s="7">
        <f t="shared" si="10"/>
        <v>0</v>
      </c>
      <c r="O106" s="7">
        <f t="shared" si="11"/>
        <v>12</v>
      </c>
      <c r="P106" s="7">
        <f t="shared" si="12"/>
        <v>0</v>
      </c>
      <c r="Q106" s="6">
        <f t="shared" si="13"/>
        <v>0</v>
      </c>
      <c r="R106" s="53">
        <f>(IF(Q106=1,VLOOKUP(D106,'[3]Sending Dist Weighted Fund PP'!$A$2:$E$170,5),0))</f>
        <v>0</v>
      </c>
      <c r="S106" s="53">
        <f>IF(Q106=1,(VLOOKUP(M106,'Codes Rates Tuition '!$E$3:$I$61,5,FALSE)),0)</f>
        <v>0</v>
      </c>
      <c r="T106" s="53">
        <f>IF(OR(H106="PK",H106="P3"),0,(IF(Q106=1,VLOOKUP(M106,'Codes Rates Tuition '!$E$3:$J$61,4,FALSE),0)))</f>
        <v>0</v>
      </c>
      <c r="U106" s="53">
        <f t="shared" si="14"/>
        <v>0</v>
      </c>
      <c r="V106" s="53">
        <f t="shared" si="17"/>
        <v>0</v>
      </c>
      <c r="W106" s="53">
        <f>E106*IF(Q106=0,VLOOKUP(M106,'Codes Rates Tuition '!$E$3:$J$61,4,FALSE),0)</f>
        <v>36720</v>
      </c>
      <c r="X106" s="7"/>
      <c r="Y106" s="6">
        <f t="shared" si="15"/>
        <v>12</v>
      </c>
      <c r="Z106" s="80">
        <f t="shared" si="16"/>
        <v>0</v>
      </c>
    </row>
    <row r="107" spans="1:26" x14ac:dyDescent="0.5">
      <c r="A107" s="25">
        <v>34</v>
      </c>
      <c r="B107" s="83">
        <v>19</v>
      </c>
      <c r="C107" s="25">
        <v>34</v>
      </c>
      <c r="D107" s="22">
        <v>34</v>
      </c>
      <c r="E107" s="22">
        <v>1</v>
      </c>
      <c r="F107" s="70" t="s">
        <v>550</v>
      </c>
      <c r="G107" s="71" t="s">
        <v>3</v>
      </c>
      <c r="H107" s="71" t="s">
        <v>544</v>
      </c>
      <c r="I107" s="71" t="s">
        <v>1</v>
      </c>
      <c r="J107" s="71" t="s">
        <v>0</v>
      </c>
      <c r="K107" s="71" t="s">
        <v>4</v>
      </c>
      <c r="L107" s="71" t="s">
        <v>5</v>
      </c>
      <c r="M107" s="7" t="str">
        <f t="shared" si="9"/>
        <v>0341911</v>
      </c>
      <c r="N107" s="7">
        <f t="shared" si="10"/>
        <v>1</v>
      </c>
      <c r="O107" s="7">
        <f t="shared" si="11"/>
        <v>1</v>
      </c>
      <c r="P107" s="7">
        <f t="shared" si="12"/>
        <v>0</v>
      </c>
      <c r="Q107" s="6">
        <f t="shared" si="13"/>
        <v>0</v>
      </c>
      <c r="R107" s="53">
        <f>(IF(Q107=1,VLOOKUP(D107,'[3]Sending Dist Weighted Fund PP'!$A$2:$E$170,5),0))</f>
        <v>0</v>
      </c>
      <c r="S107" s="53">
        <f>IF(Q107=1,(VLOOKUP(M107,'Codes Rates Tuition '!$E$3:$I$61,5,FALSE)),0)</f>
        <v>0</v>
      </c>
      <c r="T107" s="53">
        <f>IF(OR(H107="PK",H107="P3"),0,(IF(Q107=1,VLOOKUP(M107,'Codes Rates Tuition '!$E$3:$J$61,4,FALSE),0)))</f>
        <v>0</v>
      </c>
      <c r="U107" s="53">
        <f t="shared" si="14"/>
        <v>0</v>
      </c>
      <c r="V107" s="53">
        <f t="shared" si="17"/>
        <v>0</v>
      </c>
      <c r="W107" s="53">
        <f>E107*IF(Q107=0,VLOOKUP(M107,'Codes Rates Tuition '!$E$3:$J$61,4,FALSE),0)</f>
        <v>3060</v>
      </c>
      <c r="X107" s="7"/>
      <c r="Y107" s="6">
        <f t="shared" si="15"/>
        <v>1</v>
      </c>
      <c r="Z107" s="80">
        <f t="shared" si="16"/>
        <v>0</v>
      </c>
    </row>
    <row r="108" spans="1:26" x14ac:dyDescent="0.5">
      <c r="A108" s="25">
        <v>34</v>
      </c>
      <c r="B108" s="83">
        <v>19</v>
      </c>
      <c r="C108" s="25">
        <v>34</v>
      </c>
      <c r="D108" s="22">
        <v>34</v>
      </c>
      <c r="E108" s="22">
        <v>22</v>
      </c>
      <c r="F108" s="70" t="s">
        <v>550</v>
      </c>
      <c r="G108" s="71" t="s">
        <v>3</v>
      </c>
      <c r="H108" s="71" t="s">
        <v>544</v>
      </c>
      <c r="I108" s="71" t="s">
        <v>1</v>
      </c>
      <c r="J108" s="71" t="s">
        <v>0</v>
      </c>
      <c r="K108" s="71" t="s">
        <v>0</v>
      </c>
      <c r="L108" s="71" t="s">
        <v>0</v>
      </c>
      <c r="M108" s="7" t="str">
        <f t="shared" si="9"/>
        <v>0341911</v>
      </c>
      <c r="N108" s="7">
        <f t="shared" si="10"/>
        <v>0</v>
      </c>
      <c r="O108" s="7">
        <f t="shared" si="11"/>
        <v>0</v>
      </c>
      <c r="P108" s="7">
        <f t="shared" si="12"/>
        <v>0</v>
      </c>
      <c r="Q108" s="6">
        <f t="shared" si="13"/>
        <v>0</v>
      </c>
      <c r="R108" s="53">
        <f>(IF(Q108=1,VLOOKUP(D108,'[3]Sending Dist Weighted Fund PP'!$A$2:$E$170,5),0))</f>
        <v>0</v>
      </c>
      <c r="S108" s="53">
        <f>IF(Q108=1,(VLOOKUP(M108,'Codes Rates Tuition '!$E$3:$I$61,5,FALSE)),0)</f>
        <v>0</v>
      </c>
      <c r="T108" s="53">
        <f>IF(OR(H108="PK",H108="P3"),0,(IF(Q108=1,VLOOKUP(M108,'Codes Rates Tuition '!$E$3:$J$61,4,FALSE),0)))</f>
        <v>0</v>
      </c>
      <c r="U108" s="53">
        <f t="shared" si="14"/>
        <v>0</v>
      </c>
      <c r="V108" s="53">
        <f t="shared" si="17"/>
        <v>0</v>
      </c>
      <c r="W108" s="53">
        <f>E108*IF(Q108=0,VLOOKUP(M108,'Codes Rates Tuition '!$E$3:$J$61,4,FALSE),0)</f>
        <v>67320</v>
      </c>
      <c r="X108" s="7"/>
      <c r="Y108" s="6">
        <f t="shared" si="15"/>
        <v>22</v>
      </c>
      <c r="Z108" s="80">
        <f t="shared" si="16"/>
        <v>0</v>
      </c>
    </row>
    <row r="109" spans="1:26" x14ac:dyDescent="0.5">
      <c r="A109" s="25">
        <v>34</v>
      </c>
      <c r="B109" s="83">
        <v>19</v>
      </c>
      <c r="C109" s="25">
        <v>34</v>
      </c>
      <c r="D109" s="22">
        <v>34</v>
      </c>
      <c r="E109" s="22">
        <v>6</v>
      </c>
      <c r="F109" s="70" t="s">
        <v>550</v>
      </c>
      <c r="G109" s="71" t="s">
        <v>3</v>
      </c>
      <c r="H109" s="71" t="s">
        <v>544</v>
      </c>
      <c r="I109" s="71" t="s">
        <v>1</v>
      </c>
      <c r="J109" s="71" t="s">
        <v>0</v>
      </c>
      <c r="K109" s="71" t="s">
        <v>6</v>
      </c>
      <c r="L109" s="71" t="s">
        <v>0</v>
      </c>
      <c r="M109" s="7" t="str">
        <f t="shared" si="9"/>
        <v>0341911</v>
      </c>
      <c r="N109" s="7">
        <f t="shared" si="10"/>
        <v>0</v>
      </c>
      <c r="O109" s="7">
        <f t="shared" si="11"/>
        <v>6</v>
      </c>
      <c r="P109" s="7">
        <f t="shared" si="12"/>
        <v>0</v>
      </c>
      <c r="Q109" s="6">
        <f t="shared" si="13"/>
        <v>0</v>
      </c>
      <c r="R109" s="53">
        <f>(IF(Q109=1,VLOOKUP(D109,'[3]Sending Dist Weighted Fund PP'!$A$2:$E$170,5),0))</f>
        <v>0</v>
      </c>
      <c r="S109" s="53">
        <f>IF(Q109=1,(VLOOKUP(M109,'Codes Rates Tuition '!$E$3:$I$61,5,FALSE)),0)</f>
        <v>0</v>
      </c>
      <c r="T109" s="53">
        <f>IF(OR(H109="PK",H109="P3"),0,(IF(Q109=1,VLOOKUP(M109,'Codes Rates Tuition '!$E$3:$J$61,4,FALSE),0)))</f>
        <v>0</v>
      </c>
      <c r="U109" s="53">
        <f t="shared" si="14"/>
        <v>0</v>
      </c>
      <c r="V109" s="53">
        <f t="shared" si="17"/>
        <v>0</v>
      </c>
      <c r="W109" s="53">
        <f>E109*IF(Q109=0,VLOOKUP(M109,'Codes Rates Tuition '!$E$3:$J$61,4,FALSE),0)</f>
        <v>18360</v>
      </c>
      <c r="X109" s="7"/>
      <c r="Y109" s="6">
        <f t="shared" si="15"/>
        <v>6</v>
      </c>
      <c r="Z109" s="80">
        <f t="shared" si="16"/>
        <v>0</v>
      </c>
    </row>
    <row r="110" spans="1:26" x14ac:dyDescent="0.5">
      <c r="A110" s="25">
        <v>34</v>
      </c>
      <c r="B110" s="83">
        <v>19</v>
      </c>
      <c r="C110" s="25">
        <v>34</v>
      </c>
      <c r="D110" s="22">
        <v>34</v>
      </c>
      <c r="E110" s="22">
        <v>2</v>
      </c>
      <c r="F110" s="70" t="s">
        <v>550</v>
      </c>
      <c r="G110" s="71" t="s">
        <v>3</v>
      </c>
      <c r="H110" s="71" t="s">
        <v>544</v>
      </c>
      <c r="I110" s="71" t="s">
        <v>1</v>
      </c>
      <c r="J110" s="71" t="s">
        <v>0</v>
      </c>
      <c r="K110" s="71" t="s">
        <v>6</v>
      </c>
      <c r="L110" s="71" t="s">
        <v>5</v>
      </c>
      <c r="M110" s="7" t="str">
        <f t="shared" si="9"/>
        <v>0341911</v>
      </c>
      <c r="N110" s="7">
        <f t="shared" si="10"/>
        <v>2</v>
      </c>
      <c r="O110" s="7">
        <f t="shared" si="11"/>
        <v>2</v>
      </c>
      <c r="P110" s="7">
        <f t="shared" si="12"/>
        <v>0</v>
      </c>
      <c r="Q110" s="6">
        <f t="shared" si="13"/>
        <v>0</v>
      </c>
      <c r="R110" s="53">
        <f>(IF(Q110=1,VLOOKUP(D110,'[3]Sending Dist Weighted Fund PP'!$A$2:$E$170,5),0))</f>
        <v>0</v>
      </c>
      <c r="S110" s="53">
        <f>IF(Q110=1,(VLOOKUP(M110,'Codes Rates Tuition '!$E$3:$I$61,5,FALSE)),0)</f>
        <v>0</v>
      </c>
      <c r="T110" s="53">
        <f>IF(OR(H110="PK",H110="P3"),0,(IF(Q110=1,VLOOKUP(M110,'Codes Rates Tuition '!$E$3:$J$61,4,FALSE),0)))</f>
        <v>0</v>
      </c>
      <c r="U110" s="53">
        <f t="shared" si="14"/>
        <v>0</v>
      </c>
      <c r="V110" s="53">
        <f t="shared" si="17"/>
        <v>0</v>
      </c>
      <c r="W110" s="53">
        <f>E110*IF(Q110=0,VLOOKUP(M110,'Codes Rates Tuition '!$E$3:$J$61,4,FALSE),0)</f>
        <v>6120</v>
      </c>
      <c r="X110" s="7"/>
      <c r="Y110" s="6">
        <f t="shared" si="15"/>
        <v>2</v>
      </c>
      <c r="Z110" s="80">
        <f t="shared" si="16"/>
        <v>0</v>
      </c>
    </row>
    <row r="111" spans="1:26" x14ac:dyDescent="0.5">
      <c r="A111" s="25">
        <v>34</v>
      </c>
      <c r="B111" s="83">
        <v>19</v>
      </c>
      <c r="C111" s="25">
        <v>34</v>
      </c>
      <c r="D111" s="22">
        <v>34</v>
      </c>
      <c r="E111" s="22">
        <v>2</v>
      </c>
      <c r="F111" s="70" t="s">
        <v>550</v>
      </c>
      <c r="G111" s="71" t="s">
        <v>3</v>
      </c>
      <c r="H111" s="71" t="s">
        <v>544</v>
      </c>
      <c r="I111" s="71" t="s">
        <v>1</v>
      </c>
      <c r="J111" s="71" t="s">
        <v>5</v>
      </c>
      <c r="K111" s="71" t="s">
        <v>4</v>
      </c>
      <c r="L111" s="71" t="s">
        <v>0</v>
      </c>
      <c r="M111" s="7" t="str">
        <f t="shared" si="9"/>
        <v>0341911</v>
      </c>
      <c r="N111" s="7">
        <f t="shared" si="10"/>
        <v>0</v>
      </c>
      <c r="O111" s="7">
        <f t="shared" si="11"/>
        <v>2</v>
      </c>
      <c r="P111" s="7">
        <f t="shared" si="12"/>
        <v>2</v>
      </c>
      <c r="Q111" s="6">
        <f t="shared" si="13"/>
        <v>0</v>
      </c>
      <c r="R111" s="53">
        <f>(IF(Q111=1,VLOOKUP(D111,'[3]Sending Dist Weighted Fund PP'!$A$2:$E$170,5),0))</f>
        <v>0</v>
      </c>
      <c r="S111" s="53">
        <f>IF(Q111=1,(VLOOKUP(M111,'Codes Rates Tuition '!$E$3:$I$61,5,FALSE)),0)</f>
        <v>0</v>
      </c>
      <c r="T111" s="53">
        <f>IF(OR(H111="PK",H111="P3"),0,(IF(Q111=1,VLOOKUP(M111,'Codes Rates Tuition '!$E$3:$J$61,4,FALSE),0)))</f>
        <v>0</v>
      </c>
      <c r="U111" s="53">
        <f t="shared" si="14"/>
        <v>0</v>
      </c>
      <c r="V111" s="53">
        <f t="shared" si="17"/>
        <v>0</v>
      </c>
      <c r="W111" s="53">
        <f>E111*IF(Q111=0,VLOOKUP(M111,'Codes Rates Tuition '!$E$3:$J$61,4,FALSE),0)</f>
        <v>6120</v>
      </c>
      <c r="X111" s="7"/>
      <c r="Y111" s="6">
        <f t="shared" si="15"/>
        <v>2</v>
      </c>
      <c r="Z111" s="80">
        <f t="shared" si="16"/>
        <v>0</v>
      </c>
    </row>
    <row r="112" spans="1:26" x14ac:dyDescent="0.5">
      <c r="A112" s="25">
        <v>34</v>
      </c>
      <c r="B112" s="83">
        <v>19</v>
      </c>
      <c r="C112" s="25">
        <v>34</v>
      </c>
      <c r="D112" s="22">
        <v>34</v>
      </c>
      <c r="E112" s="22">
        <v>4</v>
      </c>
      <c r="F112" s="70" t="s">
        <v>550</v>
      </c>
      <c r="G112" s="71" t="s">
        <v>3</v>
      </c>
      <c r="H112" s="71" t="s">
        <v>544</v>
      </c>
      <c r="I112" s="71" t="s">
        <v>1</v>
      </c>
      <c r="J112" s="71" t="s">
        <v>5</v>
      </c>
      <c r="K112" s="71" t="s">
        <v>0</v>
      </c>
      <c r="L112" s="71" t="s">
        <v>0</v>
      </c>
      <c r="M112" s="7" t="str">
        <f t="shared" si="9"/>
        <v>0341911</v>
      </c>
      <c r="N112" s="7">
        <f t="shared" si="10"/>
        <v>0</v>
      </c>
      <c r="O112" s="7">
        <f t="shared" si="11"/>
        <v>0</v>
      </c>
      <c r="P112" s="7">
        <f t="shared" si="12"/>
        <v>4</v>
      </c>
      <c r="Q112" s="6">
        <f t="shared" si="13"/>
        <v>0</v>
      </c>
      <c r="R112" s="53">
        <f>(IF(Q112=1,VLOOKUP(D112,'[3]Sending Dist Weighted Fund PP'!$A$2:$E$170,5),0))</f>
        <v>0</v>
      </c>
      <c r="S112" s="53">
        <f>IF(Q112=1,(VLOOKUP(M112,'Codes Rates Tuition '!$E$3:$I$61,5,FALSE)),0)</f>
        <v>0</v>
      </c>
      <c r="T112" s="53">
        <f>IF(OR(H112="PK",H112="P3"),0,(IF(Q112=1,VLOOKUP(M112,'Codes Rates Tuition '!$E$3:$J$61,4,FALSE),0)))</f>
        <v>0</v>
      </c>
      <c r="U112" s="53">
        <f t="shared" ref="U112:U158" si="18">MAX(R112,S112+T112)</f>
        <v>0</v>
      </c>
      <c r="V112" s="53">
        <f t="shared" si="17"/>
        <v>0</v>
      </c>
      <c r="W112" s="53">
        <f>E112*IF(Q112=0,VLOOKUP(M112,'Codes Rates Tuition '!$E$3:$J$61,4,FALSE),0)</f>
        <v>12240</v>
      </c>
      <c r="X112" s="7"/>
      <c r="Y112" s="6">
        <f t="shared" si="15"/>
        <v>4</v>
      </c>
      <c r="Z112" s="80">
        <f t="shared" si="16"/>
        <v>0</v>
      </c>
    </row>
    <row r="113" spans="1:26" x14ac:dyDescent="0.5">
      <c r="A113" s="25">
        <v>34</v>
      </c>
      <c r="B113" s="83">
        <v>19</v>
      </c>
      <c r="C113" s="25">
        <v>34</v>
      </c>
      <c r="D113" s="22">
        <v>34</v>
      </c>
      <c r="E113" s="22">
        <v>5</v>
      </c>
      <c r="F113" s="70" t="s">
        <v>550</v>
      </c>
      <c r="G113" s="71" t="s">
        <v>3</v>
      </c>
      <c r="H113" s="71" t="s">
        <v>545</v>
      </c>
      <c r="I113" s="71" t="s">
        <v>1</v>
      </c>
      <c r="J113" s="71" t="s">
        <v>0</v>
      </c>
      <c r="K113" s="71" t="s">
        <v>4</v>
      </c>
      <c r="L113" s="71" t="s">
        <v>0</v>
      </c>
      <c r="M113" s="7" t="str">
        <f t="shared" si="9"/>
        <v>0341911</v>
      </c>
      <c r="N113" s="7">
        <f t="shared" si="10"/>
        <v>0</v>
      </c>
      <c r="O113" s="7">
        <f t="shared" si="11"/>
        <v>5</v>
      </c>
      <c r="P113" s="7">
        <f t="shared" si="12"/>
        <v>0</v>
      </c>
      <c r="Q113" s="6">
        <f t="shared" si="13"/>
        <v>0</v>
      </c>
      <c r="R113" s="53">
        <f>(IF(Q113=1,VLOOKUP(D113,'[3]Sending Dist Weighted Fund PP'!$A$2:$E$170,5),0))</f>
        <v>0</v>
      </c>
      <c r="S113" s="53">
        <f>IF(Q113=1,(VLOOKUP(M113,'Codes Rates Tuition '!$E$3:$I$61,5,FALSE)),0)</f>
        <v>0</v>
      </c>
      <c r="T113" s="53">
        <f>IF(OR(H113="PK",H113="P3"),0,(IF(Q113=1,VLOOKUP(M113,'Codes Rates Tuition '!$E$3:$J$61,4,FALSE),0)))</f>
        <v>0</v>
      </c>
      <c r="U113" s="53">
        <f t="shared" si="18"/>
        <v>0</v>
      </c>
      <c r="V113" s="53">
        <f t="shared" si="17"/>
        <v>0</v>
      </c>
      <c r="W113" s="53">
        <f>E113*IF(Q113=0,VLOOKUP(M113,'Codes Rates Tuition '!$E$3:$J$61,4,FALSE),0)</f>
        <v>15300</v>
      </c>
      <c r="X113" s="7"/>
      <c r="Y113" s="6">
        <f t="shared" si="15"/>
        <v>5</v>
      </c>
      <c r="Z113" s="80">
        <f t="shared" si="16"/>
        <v>0</v>
      </c>
    </row>
    <row r="114" spans="1:26" x14ac:dyDescent="0.5">
      <c r="A114" s="25">
        <v>34</v>
      </c>
      <c r="B114" s="83">
        <v>19</v>
      </c>
      <c r="C114" s="25">
        <v>34</v>
      </c>
      <c r="D114" s="22">
        <v>34</v>
      </c>
      <c r="E114" s="22">
        <v>7</v>
      </c>
      <c r="F114" s="70" t="s">
        <v>550</v>
      </c>
      <c r="G114" s="71" t="s">
        <v>3</v>
      </c>
      <c r="H114" s="71" t="s">
        <v>545</v>
      </c>
      <c r="I114" s="71" t="s">
        <v>1</v>
      </c>
      <c r="J114" s="71" t="s">
        <v>0</v>
      </c>
      <c r="K114" s="71" t="s">
        <v>0</v>
      </c>
      <c r="L114" s="71" t="s">
        <v>0</v>
      </c>
      <c r="M114" s="7" t="str">
        <f t="shared" ref="M114:M158" si="19">IF(G114="0000000",F114,G114)</f>
        <v>0341911</v>
      </c>
      <c r="N114" s="7">
        <f t="shared" ref="N114:N158" si="20">IF(L114="Y",E114,0)</f>
        <v>0</v>
      </c>
      <c r="O114" s="7">
        <f t="shared" ref="O114:O158" si="21">IF(K114="N",0,E114)</f>
        <v>0</v>
      </c>
      <c r="P114" s="7">
        <f t="shared" ref="P114:P158" si="22">IF(J114="N",0,E114)</f>
        <v>0</v>
      </c>
      <c r="Q114" s="6">
        <f t="shared" ref="Q114:Q158" si="23">IF(C114=D114,0,1)</f>
        <v>0</v>
      </c>
      <c r="R114" s="53">
        <f>(IF(Q114=1,VLOOKUP(D114,'[3]Sending Dist Weighted Fund PP'!$A$2:$E$170,5),0))</f>
        <v>0</v>
      </c>
      <c r="S114" s="53">
        <f>IF(Q114=1,(VLOOKUP(M114,'Codes Rates Tuition '!$E$3:$I$61,5,FALSE)),0)</f>
        <v>0</v>
      </c>
      <c r="T114" s="53">
        <f>IF(OR(H114="PK",H114="P3"),0,(IF(Q114=1,VLOOKUP(M114,'Codes Rates Tuition '!$E$3:$J$61,4,FALSE),0)))</f>
        <v>0</v>
      </c>
      <c r="U114" s="53">
        <f t="shared" si="18"/>
        <v>0</v>
      </c>
      <c r="V114" s="53">
        <f t="shared" ref="V114:V158" si="24">ROUND(U114*E114,0)</f>
        <v>0</v>
      </c>
      <c r="W114" s="53">
        <f>E114*IF(Q114=0,VLOOKUP(M114,'Codes Rates Tuition '!$E$3:$J$61,4,FALSE),0)</f>
        <v>21420</v>
      </c>
      <c r="X114" s="7"/>
      <c r="Y114" s="6">
        <f t="shared" ref="Y114:Y158" si="25">IF(Q114=0,E114,0)</f>
        <v>7</v>
      </c>
      <c r="Z114" s="80">
        <f t="shared" ref="Z114:Z158" si="26">IF(Q114=1,E114,0)</f>
        <v>0</v>
      </c>
    </row>
    <row r="115" spans="1:26" x14ac:dyDescent="0.5">
      <c r="A115" s="25">
        <v>34</v>
      </c>
      <c r="B115" s="83">
        <v>19</v>
      </c>
      <c r="C115" s="25">
        <v>34</v>
      </c>
      <c r="D115" s="22">
        <v>34</v>
      </c>
      <c r="E115" s="22">
        <v>4</v>
      </c>
      <c r="F115" s="70" t="s">
        <v>550</v>
      </c>
      <c r="G115" s="71" t="s">
        <v>3</v>
      </c>
      <c r="H115" s="71" t="s">
        <v>545</v>
      </c>
      <c r="I115" s="71" t="s">
        <v>1</v>
      </c>
      <c r="J115" s="71" t="s">
        <v>0</v>
      </c>
      <c r="K115" s="71" t="s">
        <v>0</v>
      </c>
      <c r="L115" s="71" t="s">
        <v>5</v>
      </c>
      <c r="M115" s="7" t="str">
        <f t="shared" si="19"/>
        <v>0341911</v>
      </c>
      <c r="N115" s="7">
        <f t="shared" si="20"/>
        <v>4</v>
      </c>
      <c r="O115" s="7">
        <f t="shared" si="21"/>
        <v>0</v>
      </c>
      <c r="P115" s="7">
        <f t="shared" si="22"/>
        <v>0</v>
      </c>
      <c r="Q115" s="6">
        <f t="shared" si="23"/>
        <v>0</v>
      </c>
      <c r="R115" s="53">
        <f>(IF(Q115=1,VLOOKUP(D115,'[3]Sending Dist Weighted Fund PP'!$A$2:$E$170,5),0))</f>
        <v>0</v>
      </c>
      <c r="S115" s="53">
        <f>IF(Q115=1,(VLOOKUP(M115,'Codes Rates Tuition '!$E$3:$I$61,5,FALSE)),0)</f>
        <v>0</v>
      </c>
      <c r="T115" s="53">
        <f>IF(OR(H115="PK",H115="P3"),0,(IF(Q115=1,VLOOKUP(M115,'Codes Rates Tuition '!$E$3:$J$61,4,FALSE),0)))</f>
        <v>0</v>
      </c>
      <c r="U115" s="53">
        <f t="shared" si="18"/>
        <v>0</v>
      </c>
      <c r="V115" s="53">
        <f t="shared" si="24"/>
        <v>0</v>
      </c>
      <c r="W115" s="53">
        <f>E115*IF(Q115=0,VLOOKUP(M115,'Codes Rates Tuition '!$E$3:$J$61,4,FALSE),0)</f>
        <v>12240</v>
      </c>
      <c r="X115" s="7"/>
      <c r="Y115" s="6">
        <f t="shared" si="25"/>
        <v>4</v>
      </c>
      <c r="Z115" s="80">
        <f t="shared" si="26"/>
        <v>0</v>
      </c>
    </row>
    <row r="116" spans="1:26" x14ac:dyDescent="0.5">
      <c r="A116" s="25">
        <v>34</v>
      </c>
      <c r="B116" s="83">
        <v>19</v>
      </c>
      <c r="C116" s="25">
        <v>34</v>
      </c>
      <c r="D116" s="22">
        <v>34</v>
      </c>
      <c r="E116" s="22">
        <v>4</v>
      </c>
      <c r="F116" s="70" t="s">
        <v>550</v>
      </c>
      <c r="G116" s="71" t="s">
        <v>3</v>
      </c>
      <c r="H116" s="71" t="s">
        <v>545</v>
      </c>
      <c r="I116" s="71" t="s">
        <v>1</v>
      </c>
      <c r="J116" s="71" t="s">
        <v>0</v>
      </c>
      <c r="K116" s="71" t="s">
        <v>6</v>
      </c>
      <c r="L116" s="71" t="s">
        <v>0</v>
      </c>
      <c r="M116" s="7" t="str">
        <f t="shared" si="19"/>
        <v>0341911</v>
      </c>
      <c r="N116" s="7">
        <f t="shared" si="20"/>
        <v>0</v>
      </c>
      <c r="O116" s="7">
        <f t="shared" si="21"/>
        <v>4</v>
      </c>
      <c r="P116" s="7">
        <f t="shared" si="22"/>
        <v>0</v>
      </c>
      <c r="Q116" s="6">
        <f t="shared" si="23"/>
        <v>0</v>
      </c>
      <c r="R116" s="53">
        <f>(IF(Q116=1,VLOOKUP(D116,'[3]Sending Dist Weighted Fund PP'!$A$2:$E$170,5),0))</f>
        <v>0</v>
      </c>
      <c r="S116" s="53">
        <f>IF(Q116=1,(VLOOKUP(M116,'Codes Rates Tuition '!$E$3:$I$61,5,FALSE)),0)</f>
        <v>0</v>
      </c>
      <c r="T116" s="53">
        <f>IF(OR(H116="PK",H116="P3"),0,(IF(Q116=1,VLOOKUP(M116,'Codes Rates Tuition '!$E$3:$J$61,4,FALSE),0)))</f>
        <v>0</v>
      </c>
      <c r="U116" s="53">
        <f t="shared" si="18"/>
        <v>0</v>
      </c>
      <c r="V116" s="53">
        <f t="shared" si="24"/>
        <v>0</v>
      </c>
      <c r="W116" s="53">
        <f>E116*IF(Q116=0,VLOOKUP(M116,'Codes Rates Tuition '!$E$3:$J$61,4,FALSE),0)</f>
        <v>12240</v>
      </c>
      <c r="X116" s="7"/>
      <c r="Y116" s="6">
        <f t="shared" si="25"/>
        <v>4</v>
      </c>
      <c r="Z116" s="80">
        <f t="shared" si="26"/>
        <v>0</v>
      </c>
    </row>
    <row r="117" spans="1:26" x14ac:dyDescent="0.5">
      <c r="A117" s="25">
        <v>34</v>
      </c>
      <c r="B117" s="83">
        <v>19</v>
      </c>
      <c r="C117" s="25">
        <v>34</v>
      </c>
      <c r="D117" s="22">
        <v>34</v>
      </c>
      <c r="E117" s="22">
        <v>1</v>
      </c>
      <c r="F117" s="70" t="s">
        <v>550</v>
      </c>
      <c r="G117" s="71" t="s">
        <v>3</v>
      </c>
      <c r="H117" s="71" t="s">
        <v>545</v>
      </c>
      <c r="I117" s="71" t="s">
        <v>1</v>
      </c>
      <c r="J117" s="71" t="s">
        <v>0</v>
      </c>
      <c r="K117" s="71" t="s">
        <v>6</v>
      </c>
      <c r="L117" s="71" t="s">
        <v>5</v>
      </c>
      <c r="M117" s="7" t="str">
        <f t="shared" si="19"/>
        <v>0341911</v>
      </c>
      <c r="N117" s="7">
        <f t="shared" si="20"/>
        <v>1</v>
      </c>
      <c r="O117" s="7">
        <f t="shared" si="21"/>
        <v>1</v>
      </c>
      <c r="P117" s="7">
        <f t="shared" si="22"/>
        <v>0</v>
      </c>
      <c r="Q117" s="6">
        <f t="shared" si="23"/>
        <v>0</v>
      </c>
      <c r="R117" s="53">
        <f>(IF(Q117=1,VLOOKUP(D117,'[3]Sending Dist Weighted Fund PP'!$A$2:$E$170,5),0))</f>
        <v>0</v>
      </c>
      <c r="S117" s="53">
        <f>IF(Q117=1,(VLOOKUP(M117,'Codes Rates Tuition '!$E$3:$I$61,5,FALSE)),0)</f>
        <v>0</v>
      </c>
      <c r="T117" s="53">
        <f>IF(OR(H117="PK",H117="P3"),0,(IF(Q117=1,VLOOKUP(M117,'Codes Rates Tuition '!$E$3:$J$61,4,FALSE),0)))</f>
        <v>0</v>
      </c>
      <c r="U117" s="53">
        <f t="shared" si="18"/>
        <v>0</v>
      </c>
      <c r="V117" s="53">
        <f t="shared" si="24"/>
        <v>0</v>
      </c>
      <c r="W117" s="53">
        <f>E117*IF(Q117=0,VLOOKUP(M117,'Codes Rates Tuition '!$E$3:$J$61,4,FALSE),0)</f>
        <v>3060</v>
      </c>
      <c r="X117" s="7"/>
      <c r="Y117" s="6">
        <f t="shared" si="25"/>
        <v>1</v>
      </c>
      <c r="Z117" s="80">
        <f t="shared" si="26"/>
        <v>0</v>
      </c>
    </row>
    <row r="118" spans="1:26" x14ac:dyDescent="0.5">
      <c r="A118" s="25">
        <v>34</v>
      </c>
      <c r="B118" s="83">
        <v>19</v>
      </c>
      <c r="C118" s="25">
        <v>34</v>
      </c>
      <c r="D118" s="22">
        <v>34</v>
      </c>
      <c r="E118" s="22">
        <v>1</v>
      </c>
      <c r="F118" s="70" t="s">
        <v>550</v>
      </c>
      <c r="G118" s="71" t="s">
        <v>3</v>
      </c>
      <c r="H118" s="71" t="s">
        <v>545</v>
      </c>
      <c r="I118" s="71" t="s">
        <v>1</v>
      </c>
      <c r="J118" s="71" t="s">
        <v>5</v>
      </c>
      <c r="K118" s="71" t="s">
        <v>4</v>
      </c>
      <c r="L118" s="71" t="s">
        <v>0</v>
      </c>
      <c r="M118" s="7" t="str">
        <f t="shared" si="19"/>
        <v>0341911</v>
      </c>
      <c r="N118" s="7">
        <f t="shared" si="20"/>
        <v>0</v>
      </c>
      <c r="O118" s="7">
        <f t="shared" si="21"/>
        <v>1</v>
      </c>
      <c r="P118" s="7">
        <f t="shared" si="22"/>
        <v>1</v>
      </c>
      <c r="Q118" s="6">
        <f t="shared" si="23"/>
        <v>0</v>
      </c>
      <c r="R118" s="53">
        <f>(IF(Q118=1,VLOOKUP(D118,'[3]Sending Dist Weighted Fund PP'!$A$2:$E$170,5),0))</f>
        <v>0</v>
      </c>
      <c r="S118" s="53">
        <f>IF(Q118=1,(VLOOKUP(M118,'Codes Rates Tuition '!$E$3:$I$61,5,FALSE)),0)</f>
        <v>0</v>
      </c>
      <c r="T118" s="53">
        <f>IF(OR(H118="PK",H118="P3"),0,(IF(Q118=1,VLOOKUP(M118,'Codes Rates Tuition '!$E$3:$J$61,4,FALSE),0)))</f>
        <v>0</v>
      </c>
      <c r="U118" s="53">
        <f t="shared" si="18"/>
        <v>0</v>
      </c>
      <c r="V118" s="53">
        <f t="shared" si="24"/>
        <v>0</v>
      </c>
      <c r="W118" s="53">
        <f>E118*IF(Q118=0,VLOOKUP(M118,'Codes Rates Tuition '!$E$3:$J$61,4,FALSE),0)</f>
        <v>3060</v>
      </c>
      <c r="X118" s="7"/>
      <c r="Y118" s="6">
        <f t="shared" si="25"/>
        <v>1</v>
      </c>
      <c r="Z118" s="80">
        <f t="shared" si="26"/>
        <v>0</v>
      </c>
    </row>
    <row r="119" spans="1:26" x14ac:dyDescent="0.5">
      <c r="A119" s="25">
        <v>34</v>
      </c>
      <c r="B119" s="83">
        <v>19</v>
      </c>
      <c r="C119" s="25">
        <v>34</v>
      </c>
      <c r="D119" s="22">
        <v>34</v>
      </c>
      <c r="E119" s="22">
        <v>1</v>
      </c>
      <c r="F119" s="70" t="s">
        <v>550</v>
      </c>
      <c r="G119" s="71" t="s">
        <v>3</v>
      </c>
      <c r="H119" s="71" t="s">
        <v>545</v>
      </c>
      <c r="I119" s="71" t="s">
        <v>1</v>
      </c>
      <c r="J119" s="71" t="s">
        <v>5</v>
      </c>
      <c r="K119" s="71" t="s">
        <v>4</v>
      </c>
      <c r="L119" s="71" t="s">
        <v>5</v>
      </c>
      <c r="M119" s="7" t="str">
        <f t="shared" si="19"/>
        <v>0341911</v>
      </c>
      <c r="N119" s="7">
        <f t="shared" si="20"/>
        <v>1</v>
      </c>
      <c r="O119" s="7">
        <f t="shared" si="21"/>
        <v>1</v>
      </c>
      <c r="P119" s="7">
        <f t="shared" si="22"/>
        <v>1</v>
      </c>
      <c r="Q119" s="6">
        <f t="shared" si="23"/>
        <v>0</v>
      </c>
      <c r="R119" s="53">
        <f>(IF(Q119=1,VLOOKUP(D119,'[3]Sending Dist Weighted Fund PP'!$A$2:$E$170,5),0))</f>
        <v>0</v>
      </c>
      <c r="S119" s="53">
        <f>IF(Q119=1,(VLOOKUP(M119,'Codes Rates Tuition '!$E$3:$I$61,5,FALSE)),0)</f>
        <v>0</v>
      </c>
      <c r="T119" s="53">
        <f>IF(OR(H119="PK",H119="P3"),0,(IF(Q119=1,VLOOKUP(M119,'Codes Rates Tuition '!$E$3:$J$61,4,FALSE),0)))</f>
        <v>0</v>
      </c>
      <c r="U119" s="53">
        <f t="shared" si="18"/>
        <v>0</v>
      </c>
      <c r="V119" s="53">
        <f t="shared" si="24"/>
        <v>0</v>
      </c>
      <c r="W119" s="53">
        <f>E119*IF(Q119=0,VLOOKUP(M119,'Codes Rates Tuition '!$E$3:$J$61,4,FALSE),0)</f>
        <v>3060</v>
      </c>
      <c r="X119" s="7"/>
      <c r="Y119" s="6">
        <f t="shared" si="25"/>
        <v>1</v>
      </c>
      <c r="Z119" s="80">
        <f t="shared" si="26"/>
        <v>0</v>
      </c>
    </row>
    <row r="120" spans="1:26" x14ac:dyDescent="0.5">
      <c r="A120" s="25">
        <v>34</v>
      </c>
      <c r="B120" s="83">
        <v>19</v>
      </c>
      <c r="C120" s="25">
        <v>34</v>
      </c>
      <c r="D120" s="22">
        <v>34</v>
      </c>
      <c r="E120" s="22">
        <v>1</v>
      </c>
      <c r="F120" s="70" t="s">
        <v>550</v>
      </c>
      <c r="G120" s="71" t="s">
        <v>3</v>
      </c>
      <c r="H120" s="71" t="s">
        <v>545</v>
      </c>
      <c r="I120" s="71" t="s">
        <v>1</v>
      </c>
      <c r="J120" s="71" t="s">
        <v>5</v>
      </c>
      <c r="K120" s="71" t="s">
        <v>0</v>
      </c>
      <c r="L120" s="71" t="s">
        <v>0</v>
      </c>
      <c r="M120" s="7" t="str">
        <f t="shared" si="19"/>
        <v>0341911</v>
      </c>
      <c r="N120" s="7">
        <f t="shared" si="20"/>
        <v>0</v>
      </c>
      <c r="O120" s="7">
        <f t="shared" si="21"/>
        <v>0</v>
      </c>
      <c r="P120" s="7">
        <f t="shared" si="22"/>
        <v>1</v>
      </c>
      <c r="Q120" s="6">
        <f t="shared" si="23"/>
        <v>0</v>
      </c>
      <c r="R120" s="53">
        <f>(IF(Q120=1,VLOOKUP(D120,'[3]Sending Dist Weighted Fund PP'!$A$2:$E$170,5),0))</f>
        <v>0</v>
      </c>
      <c r="S120" s="53">
        <f>IF(Q120=1,(VLOOKUP(M120,'Codes Rates Tuition '!$E$3:$I$61,5,FALSE)),0)</f>
        <v>0</v>
      </c>
      <c r="T120" s="53">
        <f>IF(OR(H120="PK",H120="P3"),0,(IF(Q120=1,VLOOKUP(M120,'Codes Rates Tuition '!$E$3:$J$61,4,FALSE),0)))</f>
        <v>0</v>
      </c>
      <c r="U120" s="53">
        <f t="shared" si="18"/>
        <v>0</v>
      </c>
      <c r="V120" s="53">
        <f t="shared" si="24"/>
        <v>0</v>
      </c>
      <c r="W120" s="53">
        <f>E120*IF(Q120=0,VLOOKUP(M120,'Codes Rates Tuition '!$E$3:$J$61,4,FALSE),0)</f>
        <v>3060</v>
      </c>
      <c r="X120" s="7"/>
      <c r="Y120" s="6">
        <f t="shared" si="25"/>
        <v>1</v>
      </c>
      <c r="Z120" s="80">
        <f t="shared" si="26"/>
        <v>0</v>
      </c>
    </row>
    <row r="121" spans="1:26" x14ac:dyDescent="0.5">
      <c r="A121" s="25">
        <v>34</v>
      </c>
      <c r="B121" s="83">
        <v>19</v>
      </c>
      <c r="C121" s="25">
        <v>34</v>
      </c>
      <c r="D121" s="22">
        <v>34</v>
      </c>
      <c r="E121" s="22">
        <v>1</v>
      </c>
      <c r="F121" s="70" t="s">
        <v>550</v>
      </c>
      <c r="G121" s="71" t="s">
        <v>3</v>
      </c>
      <c r="H121" s="71" t="s">
        <v>545</v>
      </c>
      <c r="I121" s="71" t="s">
        <v>1</v>
      </c>
      <c r="J121" s="71" t="s">
        <v>5</v>
      </c>
      <c r="K121" s="71" t="s">
        <v>0</v>
      </c>
      <c r="L121" s="71" t="s">
        <v>5</v>
      </c>
      <c r="M121" s="7" t="str">
        <f t="shared" si="19"/>
        <v>0341911</v>
      </c>
      <c r="N121" s="7">
        <f t="shared" si="20"/>
        <v>1</v>
      </c>
      <c r="O121" s="7">
        <f t="shared" si="21"/>
        <v>0</v>
      </c>
      <c r="P121" s="7">
        <f t="shared" si="22"/>
        <v>1</v>
      </c>
      <c r="Q121" s="6">
        <f t="shared" si="23"/>
        <v>0</v>
      </c>
      <c r="R121" s="53">
        <f>(IF(Q121=1,VLOOKUP(D121,'[3]Sending Dist Weighted Fund PP'!$A$2:$E$170,5),0))</f>
        <v>0</v>
      </c>
      <c r="S121" s="53">
        <f>IF(Q121=1,(VLOOKUP(M121,'Codes Rates Tuition '!$E$3:$I$61,5,FALSE)),0)</f>
        <v>0</v>
      </c>
      <c r="T121" s="53">
        <f>IF(OR(H121="PK",H121="P3"),0,(IF(Q121=1,VLOOKUP(M121,'Codes Rates Tuition '!$E$3:$J$61,4,FALSE),0)))</f>
        <v>0</v>
      </c>
      <c r="U121" s="53">
        <f t="shared" si="18"/>
        <v>0</v>
      </c>
      <c r="V121" s="53">
        <f t="shared" si="24"/>
        <v>0</v>
      </c>
      <c r="W121" s="53">
        <f>E121*IF(Q121=0,VLOOKUP(M121,'Codes Rates Tuition '!$E$3:$J$61,4,FALSE),0)</f>
        <v>3060</v>
      </c>
      <c r="X121" s="7"/>
      <c r="Y121" s="6">
        <f t="shared" si="25"/>
        <v>1</v>
      </c>
      <c r="Z121" s="80">
        <f t="shared" si="26"/>
        <v>0</v>
      </c>
    </row>
    <row r="122" spans="1:26" x14ac:dyDescent="0.5">
      <c r="A122" s="25">
        <v>34</v>
      </c>
      <c r="B122" s="83">
        <v>19</v>
      </c>
      <c r="C122" s="25">
        <v>34</v>
      </c>
      <c r="D122" s="22">
        <v>34</v>
      </c>
      <c r="E122" s="22">
        <v>2</v>
      </c>
      <c r="F122" s="70" t="s">
        <v>550</v>
      </c>
      <c r="G122" s="71" t="s">
        <v>3</v>
      </c>
      <c r="H122" s="71" t="s">
        <v>545</v>
      </c>
      <c r="I122" s="71" t="s">
        <v>1</v>
      </c>
      <c r="J122" s="71" t="s">
        <v>5</v>
      </c>
      <c r="K122" s="71" t="s">
        <v>6</v>
      </c>
      <c r="L122" s="71" t="s">
        <v>0</v>
      </c>
      <c r="M122" s="7" t="str">
        <f t="shared" si="19"/>
        <v>0341911</v>
      </c>
      <c r="N122" s="7">
        <f t="shared" si="20"/>
        <v>0</v>
      </c>
      <c r="O122" s="7">
        <f t="shared" si="21"/>
        <v>2</v>
      </c>
      <c r="P122" s="7">
        <f t="shared" si="22"/>
        <v>2</v>
      </c>
      <c r="Q122" s="6">
        <f t="shared" si="23"/>
        <v>0</v>
      </c>
      <c r="R122" s="53">
        <f>(IF(Q122=1,VLOOKUP(D122,'[3]Sending Dist Weighted Fund PP'!$A$2:$E$170,5),0))</f>
        <v>0</v>
      </c>
      <c r="S122" s="53">
        <f>IF(Q122=1,(VLOOKUP(M122,'Codes Rates Tuition '!$E$3:$I$61,5,FALSE)),0)</f>
        <v>0</v>
      </c>
      <c r="T122" s="53">
        <f>IF(OR(H122="PK",H122="P3"),0,(IF(Q122=1,VLOOKUP(M122,'Codes Rates Tuition '!$E$3:$J$61,4,FALSE),0)))</f>
        <v>0</v>
      </c>
      <c r="U122" s="53">
        <f t="shared" si="18"/>
        <v>0</v>
      </c>
      <c r="V122" s="53">
        <f t="shared" si="24"/>
        <v>0</v>
      </c>
      <c r="W122" s="53">
        <f>E122*IF(Q122=0,VLOOKUP(M122,'Codes Rates Tuition '!$E$3:$J$61,4,FALSE),0)</f>
        <v>6120</v>
      </c>
      <c r="X122" s="7"/>
      <c r="Y122" s="6">
        <f t="shared" si="25"/>
        <v>2</v>
      </c>
      <c r="Z122" s="80">
        <f t="shared" si="26"/>
        <v>0</v>
      </c>
    </row>
    <row r="123" spans="1:26" x14ac:dyDescent="0.5">
      <c r="A123" s="25">
        <v>34</v>
      </c>
      <c r="B123" s="83">
        <v>19</v>
      </c>
      <c r="C123" s="25">
        <v>34</v>
      </c>
      <c r="D123" s="22">
        <v>34</v>
      </c>
      <c r="E123" s="22">
        <v>1</v>
      </c>
      <c r="F123" s="70" t="s">
        <v>550</v>
      </c>
      <c r="G123" s="71" t="s">
        <v>3</v>
      </c>
      <c r="H123" s="71" t="s">
        <v>545</v>
      </c>
      <c r="I123" s="71" t="s">
        <v>1</v>
      </c>
      <c r="J123" s="71" t="s">
        <v>5</v>
      </c>
      <c r="K123" s="71" t="s">
        <v>6</v>
      </c>
      <c r="L123" s="71" t="s">
        <v>5</v>
      </c>
      <c r="M123" s="7" t="str">
        <f t="shared" si="19"/>
        <v>0341911</v>
      </c>
      <c r="N123" s="7">
        <f t="shared" si="20"/>
        <v>1</v>
      </c>
      <c r="O123" s="7">
        <f t="shared" si="21"/>
        <v>1</v>
      </c>
      <c r="P123" s="7">
        <f t="shared" si="22"/>
        <v>1</v>
      </c>
      <c r="Q123" s="6">
        <f t="shared" si="23"/>
        <v>0</v>
      </c>
      <c r="R123" s="53">
        <f>(IF(Q123=1,VLOOKUP(D123,'[3]Sending Dist Weighted Fund PP'!$A$2:$E$170,5),0))</f>
        <v>0</v>
      </c>
      <c r="S123" s="53">
        <f>IF(Q123=1,(VLOOKUP(M123,'Codes Rates Tuition '!$E$3:$I$61,5,FALSE)),0)</f>
        <v>0</v>
      </c>
      <c r="T123" s="53">
        <f>IF(OR(H123="PK",H123="P3"),0,(IF(Q123=1,VLOOKUP(M123,'Codes Rates Tuition '!$E$3:$J$61,4,FALSE),0)))</f>
        <v>0</v>
      </c>
      <c r="U123" s="53">
        <f t="shared" si="18"/>
        <v>0</v>
      </c>
      <c r="V123" s="53">
        <f t="shared" si="24"/>
        <v>0</v>
      </c>
      <c r="W123" s="53">
        <f>E123*IF(Q123=0,VLOOKUP(M123,'Codes Rates Tuition '!$E$3:$J$61,4,FALSE),0)</f>
        <v>3060</v>
      </c>
      <c r="X123" s="7"/>
      <c r="Y123" s="6">
        <f t="shared" si="25"/>
        <v>1</v>
      </c>
      <c r="Z123" s="80">
        <f t="shared" si="26"/>
        <v>0</v>
      </c>
    </row>
    <row r="124" spans="1:26" x14ac:dyDescent="0.5">
      <c r="A124" s="25">
        <v>34</v>
      </c>
      <c r="B124" s="83">
        <v>19</v>
      </c>
      <c r="C124" s="25">
        <v>34</v>
      </c>
      <c r="D124" s="22">
        <v>91</v>
      </c>
      <c r="E124" s="22">
        <v>1</v>
      </c>
      <c r="F124" s="70" t="s">
        <v>550</v>
      </c>
      <c r="G124" s="71" t="s">
        <v>3</v>
      </c>
      <c r="H124" s="71" t="s">
        <v>541</v>
      </c>
      <c r="I124" s="71" t="s">
        <v>1</v>
      </c>
      <c r="J124" s="71" t="s">
        <v>0</v>
      </c>
      <c r="K124" s="71" t="s">
        <v>4</v>
      </c>
      <c r="L124" s="71" t="s">
        <v>0</v>
      </c>
      <c r="M124" s="7" t="str">
        <f t="shared" si="19"/>
        <v>0341911</v>
      </c>
      <c r="N124" s="7">
        <f t="shared" si="20"/>
        <v>0</v>
      </c>
      <c r="O124" s="7">
        <f t="shared" si="21"/>
        <v>1</v>
      </c>
      <c r="P124" s="7">
        <f t="shared" si="22"/>
        <v>0</v>
      </c>
      <c r="Q124" s="6">
        <f t="shared" si="23"/>
        <v>1</v>
      </c>
      <c r="R124" s="53">
        <f>(IF(Q124=1,VLOOKUP(D124,'[3]Sending Dist Weighted Fund PP'!$A$2:$E$170,5),0))</f>
        <v>12346.21</v>
      </c>
      <c r="S124" s="53">
        <f>IF(Q124=1,(VLOOKUP(M124,'Codes Rates Tuition '!$E$3:$I$61,5,FALSE)),0)</f>
        <v>7227</v>
      </c>
      <c r="T124" s="53">
        <f>IF(OR(H124="PK",H124="P3"),0,(IF(Q124=1,VLOOKUP(M124,'Codes Rates Tuition '!$E$3:$J$61,4,FALSE),0)))</f>
        <v>3060</v>
      </c>
      <c r="U124" s="53">
        <f t="shared" si="18"/>
        <v>12346.21</v>
      </c>
      <c r="V124" s="53">
        <f t="shared" si="24"/>
        <v>12346</v>
      </c>
      <c r="W124" s="53">
        <f>E124*IF(Q124=0,VLOOKUP(M124,'Codes Rates Tuition '!$E$3:$J$61,4,FALSE),0)</f>
        <v>0</v>
      </c>
      <c r="X124" s="7"/>
      <c r="Y124" s="6">
        <f t="shared" si="25"/>
        <v>0</v>
      </c>
      <c r="Z124" s="80">
        <f t="shared" si="26"/>
        <v>1</v>
      </c>
    </row>
    <row r="125" spans="1:26" x14ac:dyDescent="0.5">
      <c r="A125" s="25">
        <v>34</v>
      </c>
      <c r="B125" s="83">
        <v>19</v>
      </c>
      <c r="C125" s="25">
        <v>34</v>
      </c>
      <c r="D125" s="22">
        <v>91</v>
      </c>
      <c r="E125" s="22">
        <v>1</v>
      </c>
      <c r="F125" s="70" t="s">
        <v>550</v>
      </c>
      <c r="G125" s="71" t="s">
        <v>3</v>
      </c>
      <c r="H125" s="71" t="s">
        <v>1</v>
      </c>
      <c r="I125" s="71" t="s">
        <v>1</v>
      </c>
      <c r="J125" s="71" t="s">
        <v>0</v>
      </c>
      <c r="K125" s="71" t="s">
        <v>4</v>
      </c>
      <c r="L125" s="71" t="s">
        <v>0</v>
      </c>
      <c r="M125" s="7" t="str">
        <f t="shared" si="19"/>
        <v>0341911</v>
      </c>
      <c r="N125" s="7">
        <f t="shared" si="20"/>
        <v>0</v>
      </c>
      <c r="O125" s="7">
        <f t="shared" si="21"/>
        <v>1</v>
      </c>
      <c r="P125" s="7">
        <f t="shared" si="22"/>
        <v>0</v>
      </c>
      <c r="Q125" s="6">
        <f t="shared" si="23"/>
        <v>1</v>
      </c>
      <c r="R125" s="53">
        <f>(IF(Q125=1,VLOOKUP(D125,'[3]Sending Dist Weighted Fund PP'!$A$2:$E$170,5),0))</f>
        <v>12346.21</v>
      </c>
      <c r="S125" s="53">
        <f>IF(Q125=1,(VLOOKUP(M125,'Codes Rates Tuition '!$E$3:$I$61,5,FALSE)),0)</f>
        <v>7227</v>
      </c>
      <c r="T125" s="53">
        <f>IF(OR(H125="PK",H125="P3"),0,(IF(Q125=1,VLOOKUP(M125,'Codes Rates Tuition '!$E$3:$J$61,4,FALSE),0)))</f>
        <v>3060</v>
      </c>
      <c r="U125" s="53">
        <f t="shared" si="18"/>
        <v>12346.21</v>
      </c>
      <c r="V125" s="53">
        <f t="shared" si="24"/>
        <v>12346</v>
      </c>
      <c r="W125" s="53">
        <f>E125*IF(Q125=0,VLOOKUP(M125,'Codes Rates Tuition '!$E$3:$J$61,4,FALSE),0)</f>
        <v>0</v>
      </c>
      <c r="X125" s="7"/>
      <c r="Y125" s="6">
        <f t="shared" si="25"/>
        <v>0</v>
      </c>
      <c r="Z125" s="80">
        <f t="shared" si="26"/>
        <v>1</v>
      </c>
    </row>
    <row r="126" spans="1:26" x14ac:dyDescent="0.5">
      <c r="A126" s="25">
        <v>34</v>
      </c>
      <c r="B126" s="83">
        <v>19</v>
      </c>
      <c r="C126" s="25">
        <v>34</v>
      </c>
      <c r="D126" s="22">
        <v>91</v>
      </c>
      <c r="E126" s="22">
        <v>1</v>
      </c>
      <c r="F126" s="70" t="s">
        <v>550</v>
      </c>
      <c r="G126" s="71" t="s">
        <v>3</v>
      </c>
      <c r="H126" s="71" t="s">
        <v>1</v>
      </c>
      <c r="I126" s="71" t="s">
        <v>1</v>
      </c>
      <c r="J126" s="71" t="s">
        <v>0</v>
      </c>
      <c r="K126" s="71" t="s">
        <v>0</v>
      </c>
      <c r="L126" s="71" t="s">
        <v>0</v>
      </c>
      <c r="M126" s="7" t="str">
        <f t="shared" si="19"/>
        <v>0341911</v>
      </c>
      <c r="N126" s="7">
        <f t="shared" si="20"/>
        <v>0</v>
      </c>
      <c r="O126" s="7">
        <f t="shared" si="21"/>
        <v>0</v>
      </c>
      <c r="P126" s="7">
        <f t="shared" si="22"/>
        <v>0</v>
      </c>
      <c r="Q126" s="6">
        <f t="shared" si="23"/>
        <v>1</v>
      </c>
      <c r="R126" s="53">
        <f>(IF(Q126=1,VLOOKUP(D126,'[3]Sending Dist Weighted Fund PP'!$A$2:$E$170,5),0))</f>
        <v>12346.21</v>
      </c>
      <c r="S126" s="53">
        <f>IF(Q126=1,(VLOOKUP(M126,'Codes Rates Tuition '!$E$3:$I$61,5,FALSE)),0)</f>
        <v>7227</v>
      </c>
      <c r="T126" s="53">
        <f>IF(OR(H126="PK",H126="P3"),0,(IF(Q126=1,VLOOKUP(M126,'Codes Rates Tuition '!$E$3:$J$61,4,FALSE),0)))</f>
        <v>3060</v>
      </c>
      <c r="U126" s="53">
        <f t="shared" si="18"/>
        <v>12346.21</v>
      </c>
      <c r="V126" s="53">
        <f t="shared" si="24"/>
        <v>12346</v>
      </c>
      <c r="W126" s="53">
        <f>E126*IF(Q126=0,VLOOKUP(M126,'Codes Rates Tuition '!$E$3:$J$61,4,FALSE),0)</f>
        <v>0</v>
      </c>
      <c r="X126" s="7"/>
      <c r="Y126" s="6">
        <f t="shared" si="25"/>
        <v>0</v>
      </c>
      <c r="Z126" s="80">
        <f t="shared" si="26"/>
        <v>1</v>
      </c>
    </row>
    <row r="127" spans="1:26" x14ac:dyDescent="0.5">
      <c r="A127" s="25">
        <v>34</v>
      </c>
      <c r="B127" s="83">
        <v>19</v>
      </c>
      <c r="C127" s="25">
        <v>34</v>
      </c>
      <c r="D127" s="22">
        <v>91</v>
      </c>
      <c r="E127" s="22">
        <v>2</v>
      </c>
      <c r="F127" s="70" t="s">
        <v>550</v>
      </c>
      <c r="G127" s="71" t="s">
        <v>3</v>
      </c>
      <c r="H127" s="71" t="s">
        <v>543</v>
      </c>
      <c r="I127" s="71" t="s">
        <v>1</v>
      </c>
      <c r="J127" s="71" t="s">
        <v>0</v>
      </c>
      <c r="K127" s="71" t="s">
        <v>0</v>
      </c>
      <c r="L127" s="71" t="s">
        <v>0</v>
      </c>
      <c r="M127" s="7" t="str">
        <f t="shared" si="19"/>
        <v>0341911</v>
      </c>
      <c r="N127" s="7">
        <f t="shared" si="20"/>
        <v>0</v>
      </c>
      <c r="O127" s="7">
        <f t="shared" si="21"/>
        <v>0</v>
      </c>
      <c r="P127" s="7">
        <f t="shared" si="22"/>
        <v>0</v>
      </c>
      <c r="Q127" s="6">
        <f t="shared" si="23"/>
        <v>1</v>
      </c>
      <c r="R127" s="53">
        <f>(IF(Q127=1,VLOOKUP(D127,'[3]Sending Dist Weighted Fund PP'!$A$2:$E$170,5),0))</f>
        <v>12346.21</v>
      </c>
      <c r="S127" s="53">
        <f>IF(Q127=1,(VLOOKUP(M127,'Codes Rates Tuition '!$E$3:$I$61,5,FALSE)),0)</f>
        <v>7227</v>
      </c>
      <c r="T127" s="53">
        <f>IF(OR(H127="PK",H127="P3"),0,(IF(Q127=1,VLOOKUP(M127,'Codes Rates Tuition '!$E$3:$J$61,4,FALSE),0)))</f>
        <v>3060</v>
      </c>
      <c r="U127" s="53">
        <f t="shared" si="18"/>
        <v>12346.21</v>
      </c>
      <c r="V127" s="53">
        <f t="shared" si="24"/>
        <v>24692</v>
      </c>
      <c r="W127" s="53">
        <f>E127*IF(Q127=0,VLOOKUP(M127,'Codes Rates Tuition '!$E$3:$J$61,4,FALSE),0)</f>
        <v>0</v>
      </c>
      <c r="X127" s="7"/>
      <c r="Y127" s="6">
        <f t="shared" si="25"/>
        <v>0</v>
      </c>
      <c r="Z127" s="80">
        <f t="shared" si="26"/>
        <v>2</v>
      </c>
    </row>
    <row r="128" spans="1:26" x14ac:dyDescent="0.5">
      <c r="A128" s="25">
        <v>34</v>
      </c>
      <c r="B128" s="83">
        <v>19</v>
      </c>
      <c r="C128" s="25">
        <v>34</v>
      </c>
      <c r="D128" s="22">
        <v>91</v>
      </c>
      <c r="E128" s="22">
        <v>4</v>
      </c>
      <c r="F128" s="70" t="s">
        <v>550</v>
      </c>
      <c r="G128" s="71" t="s">
        <v>3</v>
      </c>
      <c r="H128" s="71" t="s">
        <v>544</v>
      </c>
      <c r="I128" s="71" t="s">
        <v>1</v>
      </c>
      <c r="J128" s="71" t="s">
        <v>0</v>
      </c>
      <c r="K128" s="71" t="s">
        <v>0</v>
      </c>
      <c r="L128" s="71" t="s">
        <v>0</v>
      </c>
      <c r="M128" s="7" t="str">
        <f t="shared" si="19"/>
        <v>0341911</v>
      </c>
      <c r="N128" s="7">
        <f t="shared" si="20"/>
        <v>0</v>
      </c>
      <c r="O128" s="7">
        <f t="shared" si="21"/>
        <v>0</v>
      </c>
      <c r="P128" s="7">
        <f t="shared" si="22"/>
        <v>0</v>
      </c>
      <c r="Q128" s="6">
        <f t="shared" si="23"/>
        <v>1</v>
      </c>
      <c r="R128" s="53">
        <f>(IF(Q128=1,VLOOKUP(D128,'[3]Sending Dist Weighted Fund PP'!$A$2:$E$170,5),0))</f>
        <v>12346.21</v>
      </c>
      <c r="S128" s="53">
        <f>IF(Q128=1,(VLOOKUP(M128,'Codes Rates Tuition '!$E$3:$I$61,5,FALSE)),0)</f>
        <v>7227</v>
      </c>
      <c r="T128" s="53">
        <f>IF(OR(H128="PK",H128="P3"),0,(IF(Q128=1,VLOOKUP(M128,'Codes Rates Tuition '!$E$3:$J$61,4,FALSE),0)))</f>
        <v>3060</v>
      </c>
      <c r="U128" s="53">
        <f t="shared" si="18"/>
        <v>12346.21</v>
      </c>
      <c r="V128" s="53">
        <f t="shared" si="24"/>
        <v>49385</v>
      </c>
      <c r="W128" s="53">
        <f>E128*IF(Q128=0,VLOOKUP(M128,'Codes Rates Tuition '!$E$3:$J$61,4,FALSE),0)</f>
        <v>0</v>
      </c>
      <c r="X128" s="7"/>
      <c r="Y128" s="6">
        <f t="shared" si="25"/>
        <v>0</v>
      </c>
      <c r="Z128" s="80">
        <f t="shared" si="26"/>
        <v>4</v>
      </c>
    </row>
    <row r="129" spans="1:26" x14ac:dyDescent="0.5">
      <c r="A129" s="25">
        <v>34</v>
      </c>
      <c r="B129" s="83">
        <v>19</v>
      </c>
      <c r="C129" s="25">
        <v>34</v>
      </c>
      <c r="D129" s="22">
        <v>96</v>
      </c>
      <c r="E129" s="22">
        <v>1</v>
      </c>
      <c r="F129" s="70" t="s">
        <v>550</v>
      </c>
      <c r="G129" s="71" t="s">
        <v>3</v>
      </c>
      <c r="H129" s="71" t="s">
        <v>541</v>
      </c>
      <c r="I129" s="71" t="s">
        <v>1</v>
      </c>
      <c r="J129" s="71" t="s">
        <v>0</v>
      </c>
      <c r="K129" s="71" t="s">
        <v>4</v>
      </c>
      <c r="L129" s="71" t="s">
        <v>0</v>
      </c>
      <c r="M129" s="7" t="str">
        <f t="shared" si="19"/>
        <v>0341911</v>
      </c>
      <c r="N129" s="7">
        <f t="shared" si="20"/>
        <v>0</v>
      </c>
      <c r="O129" s="7">
        <f t="shared" si="21"/>
        <v>1</v>
      </c>
      <c r="P129" s="7">
        <f t="shared" si="22"/>
        <v>0</v>
      </c>
      <c r="Q129" s="6">
        <f t="shared" si="23"/>
        <v>1</v>
      </c>
      <c r="R129" s="53">
        <f>(IF(Q129=1,VLOOKUP(D129,'[3]Sending Dist Weighted Fund PP'!$A$2:$E$170,5),0))</f>
        <v>13078.68</v>
      </c>
      <c r="S129" s="53">
        <f>IF(Q129=1,(VLOOKUP(M129,'Codes Rates Tuition '!$E$3:$I$61,5,FALSE)),0)</f>
        <v>7227</v>
      </c>
      <c r="T129" s="53">
        <f>IF(OR(H129="PK",H129="P3"),0,(IF(Q129=1,VLOOKUP(M129,'Codes Rates Tuition '!$E$3:$J$61,4,FALSE),0)))</f>
        <v>3060</v>
      </c>
      <c r="U129" s="53">
        <f t="shared" si="18"/>
        <v>13078.68</v>
      </c>
      <c r="V129" s="53">
        <f t="shared" si="24"/>
        <v>13079</v>
      </c>
      <c r="W129" s="53">
        <f>E129*IF(Q129=0,VLOOKUP(M129,'Codes Rates Tuition '!$E$3:$J$61,4,FALSE),0)</f>
        <v>0</v>
      </c>
      <c r="X129" s="7"/>
      <c r="Y129" s="6">
        <f t="shared" si="25"/>
        <v>0</v>
      </c>
      <c r="Z129" s="80">
        <f t="shared" si="26"/>
        <v>1</v>
      </c>
    </row>
    <row r="130" spans="1:26" x14ac:dyDescent="0.5">
      <c r="A130" s="25">
        <v>34</v>
      </c>
      <c r="B130" s="83">
        <v>19</v>
      </c>
      <c r="C130" s="25">
        <v>34</v>
      </c>
      <c r="D130" s="22">
        <v>96</v>
      </c>
      <c r="E130" s="22">
        <v>4</v>
      </c>
      <c r="F130" s="70" t="s">
        <v>550</v>
      </c>
      <c r="G130" s="71" t="s">
        <v>3</v>
      </c>
      <c r="H130" s="71" t="s">
        <v>541</v>
      </c>
      <c r="I130" s="71" t="s">
        <v>1</v>
      </c>
      <c r="J130" s="71" t="s">
        <v>0</v>
      </c>
      <c r="K130" s="71" t="s">
        <v>0</v>
      </c>
      <c r="L130" s="71" t="s">
        <v>0</v>
      </c>
      <c r="M130" s="7" t="str">
        <f t="shared" si="19"/>
        <v>0341911</v>
      </c>
      <c r="N130" s="7">
        <f t="shared" si="20"/>
        <v>0</v>
      </c>
      <c r="O130" s="7">
        <f t="shared" si="21"/>
        <v>0</v>
      </c>
      <c r="P130" s="7">
        <f t="shared" si="22"/>
        <v>0</v>
      </c>
      <c r="Q130" s="6">
        <f t="shared" si="23"/>
        <v>1</v>
      </c>
      <c r="R130" s="53">
        <f>(IF(Q130=1,VLOOKUP(D130,'[3]Sending Dist Weighted Fund PP'!$A$2:$E$170,5),0))</f>
        <v>13078.68</v>
      </c>
      <c r="S130" s="53">
        <f>IF(Q130=1,(VLOOKUP(M130,'Codes Rates Tuition '!$E$3:$I$61,5,FALSE)),0)</f>
        <v>7227</v>
      </c>
      <c r="T130" s="53">
        <f>IF(OR(H130="PK",H130="P3"),0,(IF(Q130=1,VLOOKUP(M130,'Codes Rates Tuition '!$E$3:$J$61,4,FALSE),0)))</f>
        <v>3060</v>
      </c>
      <c r="U130" s="53">
        <f t="shared" si="18"/>
        <v>13078.68</v>
      </c>
      <c r="V130" s="53">
        <f t="shared" si="24"/>
        <v>52315</v>
      </c>
      <c r="W130" s="53">
        <f>E130*IF(Q130=0,VLOOKUP(M130,'Codes Rates Tuition '!$E$3:$J$61,4,FALSE),0)</f>
        <v>0</v>
      </c>
      <c r="X130" s="7"/>
      <c r="Y130" s="6">
        <f t="shared" si="25"/>
        <v>0</v>
      </c>
      <c r="Z130" s="80">
        <f t="shared" si="26"/>
        <v>4</v>
      </c>
    </row>
    <row r="131" spans="1:26" x14ac:dyDescent="0.5">
      <c r="A131" s="25">
        <v>34</v>
      </c>
      <c r="B131" s="83">
        <v>19</v>
      </c>
      <c r="C131" s="25">
        <v>34</v>
      </c>
      <c r="D131" s="22">
        <v>96</v>
      </c>
      <c r="E131" s="22">
        <v>1</v>
      </c>
      <c r="F131" s="70" t="s">
        <v>550</v>
      </c>
      <c r="G131" s="71" t="s">
        <v>3</v>
      </c>
      <c r="H131" s="71" t="s">
        <v>541</v>
      </c>
      <c r="I131" s="71" t="s">
        <v>1</v>
      </c>
      <c r="J131" s="71" t="s">
        <v>0</v>
      </c>
      <c r="K131" s="71" t="s">
        <v>6</v>
      </c>
      <c r="L131" s="71" t="s">
        <v>0</v>
      </c>
      <c r="M131" s="7" t="str">
        <f t="shared" si="19"/>
        <v>0341911</v>
      </c>
      <c r="N131" s="7">
        <f t="shared" si="20"/>
        <v>0</v>
      </c>
      <c r="O131" s="7">
        <f t="shared" si="21"/>
        <v>1</v>
      </c>
      <c r="P131" s="7">
        <f t="shared" si="22"/>
        <v>0</v>
      </c>
      <c r="Q131" s="6">
        <f t="shared" si="23"/>
        <v>1</v>
      </c>
      <c r="R131" s="53">
        <f>(IF(Q131=1,VLOOKUP(D131,'[3]Sending Dist Weighted Fund PP'!$A$2:$E$170,5),0))</f>
        <v>13078.68</v>
      </c>
      <c r="S131" s="53">
        <f>IF(Q131=1,(VLOOKUP(M131,'Codes Rates Tuition '!$E$3:$I$61,5,FALSE)),0)</f>
        <v>7227</v>
      </c>
      <c r="T131" s="53">
        <f>IF(OR(H131="PK",H131="P3"),0,(IF(Q131=1,VLOOKUP(M131,'Codes Rates Tuition '!$E$3:$J$61,4,FALSE),0)))</f>
        <v>3060</v>
      </c>
      <c r="U131" s="53">
        <f t="shared" si="18"/>
        <v>13078.68</v>
      </c>
      <c r="V131" s="53">
        <f t="shared" si="24"/>
        <v>13079</v>
      </c>
      <c r="W131" s="53">
        <f>E131*IF(Q131=0,VLOOKUP(M131,'Codes Rates Tuition '!$E$3:$J$61,4,FALSE),0)</f>
        <v>0</v>
      </c>
      <c r="X131" s="7"/>
      <c r="Y131" s="6">
        <f t="shared" si="25"/>
        <v>0</v>
      </c>
      <c r="Z131" s="80">
        <f t="shared" si="26"/>
        <v>1</v>
      </c>
    </row>
    <row r="132" spans="1:26" x14ac:dyDescent="0.5">
      <c r="A132" s="25">
        <v>34</v>
      </c>
      <c r="B132" s="83">
        <v>19</v>
      </c>
      <c r="C132" s="25">
        <v>34</v>
      </c>
      <c r="D132" s="22">
        <v>96</v>
      </c>
      <c r="E132" s="22">
        <v>2</v>
      </c>
      <c r="F132" s="70" t="s">
        <v>550</v>
      </c>
      <c r="G132" s="71" t="s">
        <v>3</v>
      </c>
      <c r="H132" s="71" t="s">
        <v>542</v>
      </c>
      <c r="I132" s="71" t="s">
        <v>1</v>
      </c>
      <c r="J132" s="71" t="s">
        <v>0</v>
      </c>
      <c r="K132" s="71" t="s">
        <v>4</v>
      </c>
      <c r="L132" s="71" t="s">
        <v>0</v>
      </c>
      <c r="M132" s="7" t="str">
        <f t="shared" si="19"/>
        <v>0341911</v>
      </c>
      <c r="N132" s="7">
        <f t="shared" si="20"/>
        <v>0</v>
      </c>
      <c r="O132" s="7">
        <f t="shared" si="21"/>
        <v>2</v>
      </c>
      <c r="P132" s="7">
        <f t="shared" si="22"/>
        <v>0</v>
      </c>
      <c r="Q132" s="6">
        <f t="shared" si="23"/>
        <v>1</v>
      </c>
      <c r="R132" s="53">
        <f>(IF(Q132=1,VLOOKUP(D132,'[3]Sending Dist Weighted Fund PP'!$A$2:$E$170,5),0))</f>
        <v>13078.68</v>
      </c>
      <c r="S132" s="53">
        <f>IF(Q132=1,(VLOOKUP(M132,'Codes Rates Tuition '!$E$3:$I$61,5,FALSE)),0)</f>
        <v>7227</v>
      </c>
      <c r="T132" s="53">
        <f>IF(OR(H132="PK",H132="P3"),0,(IF(Q132=1,VLOOKUP(M132,'Codes Rates Tuition '!$E$3:$J$61,4,FALSE),0)))</f>
        <v>3060</v>
      </c>
      <c r="U132" s="53">
        <f t="shared" si="18"/>
        <v>13078.68</v>
      </c>
      <c r="V132" s="53">
        <f t="shared" si="24"/>
        <v>26157</v>
      </c>
      <c r="W132" s="53">
        <f>E132*IF(Q132=0,VLOOKUP(M132,'Codes Rates Tuition '!$E$3:$J$61,4,FALSE),0)</f>
        <v>0</v>
      </c>
      <c r="X132" s="7"/>
      <c r="Y132" s="6">
        <f t="shared" si="25"/>
        <v>0</v>
      </c>
      <c r="Z132" s="80">
        <f t="shared" si="26"/>
        <v>2</v>
      </c>
    </row>
    <row r="133" spans="1:26" x14ac:dyDescent="0.5">
      <c r="A133" s="25">
        <v>34</v>
      </c>
      <c r="B133" s="83">
        <v>19</v>
      </c>
      <c r="C133" s="25">
        <v>34</v>
      </c>
      <c r="D133" s="22">
        <v>96</v>
      </c>
      <c r="E133" s="22">
        <v>2</v>
      </c>
      <c r="F133" s="70" t="s">
        <v>550</v>
      </c>
      <c r="G133" s="71" t="s">
        <v>3</v>
      </c>
      <c r="H133" s="71" t="s">
        <v>542</v>
      </c>
      <c r="I133" s="71" t="s">
        <v>1</v>
      </c>
      <c r="J133" s="71" t="s">
        <v>0</v>
      </c>
      <c r="K133" s="71" t="s">
        <v>0</v>
      </c>
      <c r="L133" s="71" t="s">
        <v>0</v>
      </c>
      <c r="M133" s="7" t="str">
        <f t="shared" si="19"/>
        <v>0341911</v>
      </c>
      <c r="N133" s="7">
        <f t="shared" si="20"/>
        <v>0</v>
      </c>
      <c r="O133" s="7">
        <f t="shared" si="21"/>
        <v>0</v>
      </c>
      <c r="P133" s="7">
        <f t="shared" si="22"/>
        <v>0</v>
      </c>
      <c r="Q133" s="6">
        <f t="shared" si="23"/>
        <v>1</v>
      </c>
      <c r="R133" s="53">
        <f>(IF(Q133=1,VLOOKUP(D133,'[3]Sending Dist Weighted Fund PP'!$A$2:$E$170,5),0))</f>
        <v>13078.68</v>
      </c>
      <c r="S133" s="53">
        <f>IF(Q133=1,(VLOOKUP(M133,'Codes Rates Tuition '!$E$3:$I$61,5,FALSE)),0)</f>
        <v>7227</v>
      </c>
      <c r="T133" s="53">
        <f>IF(OR(H133="PK",H133="P3"),0,(IF(Q133=1,VLOOKUP(M133,'Codes Rates Tuition '!$E$3:$J$61,4,FALSE),0)))</f>
        <v>3060</v>
      </c>
      <c r="U133" s="53">
        <f t="shared" si="18"/>
        <v>13078.68</v>
      </c>
      <c r="V133" s="53">
        <f t="shared" si="24"/>
        <v>26157</v>
      </c>
      <c r="W133" s="53">
        <f>E133*IF(Q133=0,VLOOKUP(M133,'Codes Rates Tuition '!$E$3:$J$61,4,FALSE),0)</f>
        <v>0</v>
      </c>
      <c r="X133" s="7"/>
      <c r="Y133" s="6">
        <f t="shared" si="25"/>
        <v>0</v>
      </c>
      <c r="Z133" s="80">
        <f t="shared" si="26"/>
        <v>2</v>
      </c>
    </row>
    <row r="134" spans="1:26" x14ac:dyDescent="0.5">
      <c r="A134" s="25">
        <v>34</v>
      </c>
      <c r="B134" s="83">
        <v>19</v>
      </c>
      <c r="C134" s="25">
        <v>34</v>
      </c>
      <c r="D134" s="22">
        <v>96</v>
      </c>
      <c r="E134" s="22">
        <v>1</v>
      </c>
      <c r="F134" s="70" t="s">
        <v>550</v>
      </c>
      <c r="G134" s="71" t="s">
        <v>3</v>
      </c>
      <c r="H134" s="71" t="s">
        <v>542</v>
      </c>
      <c r="I134" s="71" t="s">
        <v>1</v>
      </c>
      <c r="J134" s="71" t="s">
        <v>0</v>
      </c>
      <c r="K134" s="71" t="s">
        <v>6</v>
      </c>
      <c r="L134" s="71" t="s">
        <v>0</v>
      </c>
      <c r="M134" s="7" t="str">
        <f t="shared" si="19"/>
        <v>0341911</v>
      </c>
      <c r="N134" s="7">
        <f t="shared" si="20"/>
        <v>0</v>
      </c>
      <c r="O134" s="7">
        <f t="shared" si="21"/>
        <v>1</v>
      </c>
      <c r="P134" s="7">
        <f t="shared" si="22"/>
        <v>0</v>
      </c>
      <c r="Q134" s="6">
        <f t="shared" si="23"/>
        <v>1</v>
      </c>
      <c r="R134" s="53">
        <f>(IF(Q134=1,VLOOKUP(D134,'[3]Sending Dist Weighted Fund PP'!$A$2:$E$170,5),0))</f>
        <v>13078.68</v>
      </c>
      <c r="S134" s="53">
        <f>IF(Q134=1,(VLOOKUP(M134,'Codes Rates Tuition '!$E$3:$I$61,5,FALSE)),0)</f>
        <v>7227</v>
      </c>
      <c r="T134" s="53">
        <f>IF(OR(H134="PK",H134="P3"),0,(IF(Q134=1,VLOOKUP(M134,'Codes Rates Tuition '!$E$3:$J$61,4,FALSE),0)))</f>
        <v>3060</v>
      </c>
      <c r="U134" s="53">
        <f t="shared" si="18"/>
        <v>13078.68</v>
      </c>
      <c r="V134" s="53">
        <f t="shared" si="24"/>
        <v>13079</v>
      </c>
      <c r="W134" s="53">
        <f>E134*IF(Q134=0,VLOOKUP(M134,'Codes Rates Tuition '!$E$3:$J$61,4,FALSE),0)</f>
        <v>0</v>
      </c>
      <c r="X134" s="7"/>
      <c r="Y134" s="6">
        <f t="shared" si="25"/>
        <v>0</v>
      </c>
      <c r="Z134" s="80">
        <f t="shared" si="26"/>
        <v>1</v>
      </c>
    </row>
    <row r="135" spans="1:26" x14ac:dyDescent="0.5">
      <c r="A135" s="25">
        <v>34</v>
      </c>
      <c r="B135" s="83">
        <v>19</v>
      </c>
      <c r="C135" s="25">
        <v>34</v>
      </c>
      <c r="D135" s="22">
        <v>96</v>
      </c>
      <c r="E135" s="22">
        <v>2</v>
      </c>
      <c r="F135" s="70" t="s">
        <v>550</v>
      </c>
      <c r="G135" s="71" t="s">
        <v>3</v>
      </c>
      <c r="H135" s="71" t="s">
        <v>1</v>
      </c>
      <c r="I135" s="71" t="s">
        <v>1</v>
      </c>
      <c r="J135" s="71" t="s">
        <v>0</v>
      </c>
      <c r="K135" s="71" t="s">
        <v>4</v>
      </c>
      <c r="L135" s="71" t="s">
        <v>0</v>
      </c>
      <c r="M135" s="7" t="str">
        <f t="shared" si="19"/>
        <v>0341911</v>
      </c>
      <c r="N135" s="7">
        <f t="shared" si="20"/>
        <v>0</v>
      </c>
      <c r="O135" s="7">
        <f t="shared" si="21"/>
        <v>2</v>
      </c>
      <c r="P135" s="7">
        <f t="shared" si="22"/>
        <v>0</v>
      </c>
      <c r="Q135" s="6">
        <f t="shared" si="23"/>
        <v>1</v>
      </c>
      <c r="R135" s="53">
        <f>(IF(Q135=1,VLOOKUP(D135,'[3]Sending Dist Weighted Fund PP'!$A$2:$E$170,5),0))</f>
        <v>13078.68</v>
      </c>
      <c r="S135" s="53">
        <f>IF(Q135=1,(VLOOKUP(M135,'Codes Rates Tuition '!$E$3:$I$61,5,FALSE)),0)</f>
        <v>7227</v>
      </c>
      <c r="T135" s="53">
        <f>IF(OR(H135="PK",H135="P3"),0,(IF(Q135=1,VLOOKUP(M135,'Codes Rates Tuition '!$E$3:$J$61,4,FALSE),0)))</f>
        <v>3060</v>
      </c>
      <c r="U135" s="53">
        <f t="shared" si="18"/>
        <v>13078.68</v>
      </c>
      <c r="V135" s="53">
        <f t="shared" si="24"/>
        <v>26157</v>
      </c>
      <c r="W135" s="53">
        <f>E135*IF(Q135=0,VLOOKUP(M135,'Codes Rates Tuition '!$E$3:$J$61,4,FALSE),0)</f>
        <v>0</v>
      </c>
      <c r="X135" s="7"/>
      <c r="Y135" s="6">
        <f t="shared" si="25"/>
        <v>0</v>
      </c>
      <c r="Z135" s="80">
        <f t="shared" si="26"/>
        <v>2</v>
      </c>
    </row>
    <row r="136" spans="1:26" x14ac:dyDescent="0.5">
      <c r="A136" s="25">
        <v>34</v>
      </c>
      <c r="B136" s="83">
        <v>19</v>
      </c>
      <c r="C136" s="25">
        <v>34</v>
      </c>
      <c r="D136" s="22">
        <v>96</v>
      </c>
      <c r="E136" s="22">
        <v>2</v>
      </c>
      <c r="F136" s="70" t="s">
        <v>550</v>
      </c>
      <c r="G136" s="71" t="s">
        <v>3</v>
      </c>
      <c r="H136" s="71" t="s">
        <v>1</v>
      </c>
      <c r="I136" s="71" t="s">
        <v>1</v>
      </c>
      <c r="J136" s="71" t="s">
        <v>0</v>
      </c>
      <c r="K136" s="71" t="s">
        <v>0</v>
      </c>
      <c r="L136" s="71" t="s">
        <v>0</v>
      </c>
      <c r="M136" s="7" t="str">
        <f t="shared" si="19"/>
        <v>0341911</v>
      </c>
      <c r="N136" s="7">
        <f t="shared" si="20"/>
        <v>0</v>
      </c>
      <c r="O136" s="7">
        <f t="shared" si="21"/>
        <v>0</v>
      </c>
      <c r="P136" s="7">
        <f t="shared" si="22"/>
        <v>0</v>
      </c>
      <c r="Q136" s="6">
        <f t="shared" si="23"/>
        <v>1</v>
      </c>
      <c r="R136" s="53">
        <f>(IF(Q136=1,VLOOKUP(D136,'[3]Sending Dist Weighted Fund PP'!$A$2:$E$170,5),0))</f>
        <v>13078.68</v>
      </c>
      <c r="S136" s="53">
        <f>IF(Q136=1,(VLOOKUP(M136,'Codes Rates Tuition '!$E$3:$I$61,5,FALSE)),0)</f>
        <v>7227</v>
      </c>
      <c r="T136" s="53">
        <f>IF(OR(H136="PK",H136="P3"),0,(IF(Q136=1,VLOOKUP(M136,'Codes Rates Tuition '!$E$3:$J$61,4,FALSE),0)))</f>
        <v>3060</v>
      </c>
      <c r="U136" s="53">
        <f t="shared" si="18"/>
        <v>13078.68</v>
      </c>
      <c r="V136" s="53">
        <f t="shared" si="24"/>
        <v>26157</v>
      </c>
      <c r="W136" s="53">
        <f>E136*IF(Q136=0,VLOOKUP(M136,'Codes Rates Tuition '!$E$3:$J$61,4,FALSE),0)</f>
        <v>0</v>
      </c>
      <c r="X136" s="7"/>
      <c r="Y136" s="6">
        <f t="shared" si="25"/>
        <v>0</v>
      </c>
      <c r="Z136" s="80">
        <f t="shared" si="26"/>
        <v>2</v>
      </c>
    </row>
    <row r="137" spans="1:26" x14ac:dyDescent="0.5">
      <c r="A137" s="25">
        <v>34</v>
      </c>
      <c r="B137" s="83">
        <v>19</v>
      </c>
      <c r="C137" s="25">
        <v>34</v>
      </c>
      <c r="D137" s="22">
        <v>96</v>
      </c>
      <c r="E137" s="22">
        <v>1</v>
      </c>
      <c r="F137" s="70" t="s">
        <v>550</v>
      </c>
      <c r="G137" s="71" t="s">
        <v>3</v>
      </c>
      <c r="H137" s="71" t="s">
        <v>1</v>
      </c>
      <c r="I137" s="71" t="s">
        <v>1</v>
      </c>
      <c r="J137" s="71" t="s">
        <v>0</v>
      </c>
      <c r="K137" s="71" t="s">
        <v>6</v>
      </c>
      <c r="L137" s="71" t="s">
        <v>0</v>
      </c>
      <c r="M137" s="7" t="str">
        <f t="shared" si="19"/>
        <v>0341911</v>
      </c>
      <c r="N137" s="7">
        <f t="shared" si="20"/>
        <v>0</v>
      </c>
      <c r="O137" s="7">
        <f t="shared" si="21"/>
        <v>1</v>
      </c>
      <c r="P137" s="7">
        <f t="shared" si="22"/>
        <v>0</v>
      </c>
      <c r="Q137" s="6">
        <f t="shared" si="23"/>
        <v>1</v>
      </c>
      <c r="R137" s="53">
        <f>(IF(Q137=1,VLOOKUP(D137,'[3]Sending Dist Weighted Fund PP'!$A$2:$E$170,5),0))</f>
        <v>13078.68</v>
      </c>
      <c r="S137" s="53">
        <f>IF(Q137=1,(VLOOKUP(M137,'Codes Rates Tuition '!$E$3:$I$61,5,FALSE)),0)</f>
        <v>7227</v>
      </c>
      <c r="T137" s="53">
        <f>IF(OR(H137="PK",H137="P3"),0,(IF(Q137=1,VLOOKUP(M137,'Codes Rates Tuition '!$E$3:$J$61,4,FALSE),0)))</f>
        <v>3060</v>
      </c>
      <c r="U137" s="53">
        <f t="shared" si="18"/>
        <v>13078.68</v>
      </c>
      <c r="V137" s="53">
        <f t="shared" si="24"/>
        <v>13079</v>
      </c>
      <c r="W137" s="53">
        <f>E137*IF(Q137=0,VLOOKUP(M137,'Codes Rates Tuition '!$E$3:$J$61,4,FALSE),0)</f>
        <v>0</v>
      </c>
      <c r="X137" s="7"/>
      <c r="Y137" s="6">
        <f t="shared" si="25"/>
        <v>0</v>
      </c>
      <c r="Z137" s="80">
        <f t="shared" si="26"/>
        <v>1</v>
      </c>
    </row>
    <row r="138" spans="1:26" x14ac:dyDescent="0.5">
      <c r="A138" s="25">
        <v>34</v>
      </c>
      <c r="B138" s="83">
        <v>19</v>
      </c>
      <c r="C138" s="25">
        <v>34</v>
      </c>
      <c r="D138" s="22">
        <v>96</v>
      </c>
      <c r="E138" s="22">
        <v>1</v>
      </c>
      <c r="F138" s="70" t="s">
        <v>550</v>
      </c>
      <c r="G138" s="71" t="s">
        <v>3</v>
      </c>
      <c r="H138" s="71" t="s">
        <v>543</v>
      </c>
      <c r="I138" s="71" t="s">
        <v>1</v>
      </c>
      <c r="J138" s="71" t="s">
        <v>0</v>
      </c>
      <c r="K138" s="71" t="s">
        <v>4</v>
      </c>
      <c r="L138" s="71" t="s">
        <v>0</v>
      </c>
      <c r="M138" s="7" t="str">
        <f t="shared" si="19"/>
        <v>0341911</v>
      </c>
      <c r="N138" s="7">
        <f t="shared" si="20"/>
        <v>0</v>
      </c>
      <c r="O138" s="7">
        <f t="shared" si="21"/>
        <v>1</v>
      </c>
      <c r="P138" s="7">
        <f t="shared" si="22"/>
        <v>0</v>
      </c>
      <c r="Q138" s="6">
        <f t="shared" si="23"/>
        <v>1</v>
      </c>
      <c r="R138" s="53">
        <f>(IF(Q138=1,VLOOKUP(D138,'[3]Sending Dist Weighted Fund PP'!$A$2:$E$170,5),0))</f>
        <v>13078.68</v>
      </c>
      <c r="S138" s="53">
        <f>IF(Q138=1,(VLOOKUP(M138,'Codes Rates Tuition '!$E$3:$I$61,5,FALSE)),0)</f>
        <v>7227</v>
      </c>
      <c r="T138" s="53">
        <f>IF(OR(H138="PK",H138="P3"),0,(IF(Q138=1,VLOOKUP(M138,'Codes Rates Tuition '!$E$3:$J$61,4,FALSE),0)))</f>
        <v>3060</v>
      </c>
      <c r="U138" s="53">
        <f t="shared" si="18"/>
        <v>13078.68</v>
      </c>
      <c r="V138" s="53">
        <f t="shared" si="24"/>
        <v>13079</v>
      </c>
      <c r="W138" s="53">
        <f>E138*IF(Q138=0,VLOOKUP(M138,'Codes Rates Tuition '!$E$3:$J$61,4,FALSE),0)</f>
        <v>0</v>
      </c>
      <c r="X138" s="7"/>
      <c r="Y138" s="6">
        <f t="shared" si="25"/>
        <v>0</v>
      </c>
      <c r="Z138" s="80">
        <f t="shared" si="26"/>
        <v>1</v>
      </c>
    </row>
    <row r="139" spans="1:26" x14ac:dyDescent="0.5">
      <c r="A139" s="25">
        <v>34</v>
      </c>
      <c r="B139" s="83">
        <v>19</v>
      </c>
      <c r="C139" s="25">
        <v>34</v>
      </c>
      <c r="D139" s="22">
        <v>96</v>
      </c>
      <c r="E139" s="22">
        <v>1</v>
      </c>
      <c r="F139" s="70" t="s">
        <v>550</v>
      </c>
      <c r="G139" s="71" t="s">
        <v>3</v>
      </c>
      <c r="H139" s="71" t="s">
        <v>543</v>
      </c>
      <c r="I139" s="71" t="s">
        <v>1</v>
      </c>
      <c r="J139" s="71" t="s">
        <v>0</v>
      </c>
      <c r="K139" s="71" t="s">
        <v>0</v>
      </c>
      <c r="L139" s="71" t="s">
        <v>0</v>
      </c>
      <c r="M139" s="7" t="str">
        <f t="shared" si="19"/>
        <v>0341911</v>
      </c>
      <c r="N139" s="7">
        <f t="shared" si="20"/>
        <v>0</v>
      </c>
      <c r="O139" s="7">
        <f t="shared" si="21"/>
        <v>0</v>
      </c>
      <c r="P139" s="7">
        <f t="shared" si="22"/>
        <v>0</v>
      </c>
      <c r="Q139" s="6">
        <f t="shared" si="23"/>
        <v>1</v>
      </c>
      <c r="R139" s="53">
        <f>(IF(Q139=1,VLOOKUP(D139,'[3]Sending Dist Weighted Fund PP'!$A$2:$E$170,5),0))</f>
        <v>13078.68</v>
      </c>
      <c r="S139" s="53">
        <f>IF(Q139=1,(VLOOKUP(M139,'Codes Rates Tuition '!$E$3:$I$61,5,FALSE)),0)</f>
        <v>7227</v>
      </c>
      <c r="T139" s="53">
        <f>IF(OR(H139="PK",H139="P3"),0,(IF(Q139=1,VLOOKUP(M139,'Codes Rates Tuition '!$E$3:$J$61,4,FALSE),0)))</f>
        <v>3060</v>
      </c>
      <c r="U139" s="53">
        <f t="shared" si="18"/>
        <v>13078.68</v>
      </c>
      <c r="V139" s="53">
        <f t="shared" si="24"/>
        <v>13079</v>
      </c>
      <c r="W139" s="53">
        <f>E139*IF(Q139=0,VLOOKUP(M139,'Codes Rates Tuition '!$E$3:$J$61,4,FALSE),0)</f>
        <v>0</v>
      </c>
      <c r="X139" s="7"/>
      <c r="Y139" s="6">
        <f t="shared" si="25"/>
        <v>0</v>
      </c>
      <c r="Z139" s="80">
        <f t="shared" si="26"/>
        <v>1</v>
      </c>
    </row>
    <row r="140" spans="1:26" x14ac:dyDescent="0.5">
      <c r="A140" s="25">
        <v>34</v>
      </c>
      <c r="B140" s="83">
        <v>19</v>
      </c>
      <c r="C140" s="25">
        <v>34</v>
      </c>
      <c r="D140" s="22">
        <v>96</v>
      </c>
      <c r="E140" s="22">
        <v>1</v>
      </c>
      <c r="F140" s="70" t="s">
        <v>550</v>
      </c>
      <c r="G140" s="71" t="s">
        <v>3</v>
      </c>
      <c r="H140" s="71" t="s">
        <v>544</v>
      </c>
      <c r="I140" s="71" t="s">
        <v>1</v>
      </c>
      <c r="J140" s="71" t="s">
        <v>0</v>
      </c>
      <c r="K140" s="71" t="s">
        <v>0</v>
      </c>
      <c r="L140" s="71" t="s">
        <v>0</v>
      </c>
      <c r="M140" s="7" t="str">
        <f t="shared" si="19"/>
        <v>0341911</v>
      </c>
      <c r="N140" s="7">
        <f t="shared" si="20"/>
        <v>0</v>
      </c>
      <c r="O140" s="7">
        <f t="shared" si="21"/>
        <v>0</v>
      </c>
      <c r="P140" s="7">
        <f t="shared" si="22"/>
        <v>0</v>
      </c>
      <c r="Q140" s="6">
        <f t="shared" si="23"/>
        <v>1</v>
      </c>
      <c r="R140" s="53">
        <f>(IF(Q140=1,VLOOKUP(D140,'[3]Sending Dist Weighted Fund PP'!$A$2:$E$170,5),0))</f>
        <v>13078.68</v>
      </c>
      <c r="S140" s="53">
        <f>IF(Q140=1,(VLOOKUP(M140,'Codes Rates Tuition '!$E$3:$I$61,5,FALSE)),0)</f>
        <v>7227</v>
      </c>
      <c r="T140" s="53">
        <f>IF(OR(H140="PK",H140="P3"),0,(IF(Q140=1,VLOOKUP(M140,'Codes Rates Tuition '!$E$3:$J$61,4,FALSE),0)))</f>
        <v>3060</v>
      </c>
      <c r="U140" s="53">
        <f t="shared" si="18"/>
        <v>13078.68</v>
      </c>
      <c r="V140" s="53">
        <f t="shared" si="24"/>
        <v>13079</v>
      </c>
      <c r="W140" s="53">
        <f>E140*IF(Q140=0,VLOOKUP(M140,'Codes Rates Tuition '!$E$3:$J$61,4,FALSE),0)</f>
        <v>0</v>
      </c>
      <c r="X140" s="7"/>
      <c r="Y140" s="6">
        <f t="shared" si="25"/>
        <v>0</v>
      </c>
      <c r="Z140" s="80">
        <f t="shared" si="26"/>
        <v>1</v>
      </c>
    </row>
    <row r="141" spans="1:26" x14ac:dyDescent="0.5">
      <c r="A141" s="25">
        <v>34</v>
      </c>
      <c r="B141" s="83">
        <v>19</v>
      </c>
      <c r="C141" s="25">
        <v>34</v>
      </c>
      <c r="D141" s="22">
        <v>96</v>
      </c>
      <c r="E141" s="22">
        <v>1</v>
      </c>
      <c r="F141" s="70" t="s">
        <v>550</v>
      </c>
      <c r="G141" s="71" t="s">
        <v>3</v>
      </c>
      <c r="H141" s="71" t="s">
        <v>545</v>
      </c>
      <c r="I141" s="71" t="s">
        <v>1</v>
      </c>
      <c r="J141" s="71" t="s">
        <v>0</v>
      </c>
      <c r="K141" s="71" t="s">
        <v>4</v>
      </c>
      <c r="L141" s="71" t="s">
        <v>0</v>
      </c>
      <c r="M141" s="7" t="str">
        <f t="shared" si="19"/>
        <v>0341911</v>
      </c>
      <c r="N141" s="7">
        <f t="shared" si="20"/>
        <v>0</v>
      </c>
      <c r="O141" s="7">
        <f t="shared" si="21"/>
        <v>1</v>
      </c>
      <c r="P141" s="7">
        <f t="shared" si="22"/>
        <v>0</v>
      </c>
      <c r="Q141" s="6">
        <f t="shared" si="23"/>
        <v>1</v>
      </c>
      <c r="R141" s="53">
        <f>(IF(Q141=1,VLOOKUP(D141,'[3]Sending Dist Weighted Fund PP'!$A$2:$E$170,5),0))</f>
        <v>13078.68</v>
      </c>
      <c r="S141" s="53">
        <f>IF(Q141=1,(VLOOKUP(M141,'Codes Rates Tuition '!$E$3:$I$61,5,FALSE)),0)</f>
        <v>7227</v>
      </c>
      <c r="T141" s="53">
        <f>IF(OR(H141="PK",H141="P3"),0,(IF(Q141=1,VLOOKUP(M141,'Codes Rates Tuition '!$E$3:$J$61,4,FALSE),0)))</f>
        <v>3060</v>
      </c>
      <c r="U141" s="53">
        <f t="shared" si="18"/>
        <v>13078.68</v>
      </c>
      <c r="V141" s="53">
        <f t="shared" si="24"/>
        <v>13079</v>
      </c>
      <c r="W141" s="53">
        <f>E141*IF(Q141=0,VLOOKUP(M141,'Codes Rates Tuition '!$E$3:$J$61,4,FALSE),0)</f>
        <v>0</v>
      </c>
      <c r="X141" s="7"/>
      <c r="Y141" s="6">
        <f t="shared" si="25"/>
        <v>0</v>
      </c>
      <c r="Z141" s="80">
        <f t="shared" si="26"/>
        <v>1</v>
      </c>
    </row>
    <row r="142" spans="1:26" x14ac:dyDescent="0.5">
      <c r="A142" s="25">
        <v>34</v>
      </c>
      <c r="B142" s="83">
        <v>19</v>
      </c>
      <c r="C142" s="25">
        <v>34</v>
      </c>
      <c r="D142" s="22">
        <v>96</v>
      </c>
      <c r="E142" s="22">
        <v>1</v>
      </c>
      <c r="F142" s="70" t="s">
        <v>550</v>
      </c>
      <c r="G142" s="71" t="s">
        <v>3</v>
      </c>
      <c r="H142" s="71" t="s">
        <v>545</v>
      </c>
      <c r="I142" s="71" t="s">
        <v>1</v>
      </c>
      <c r="J142" s="71" t="s">
        <v>0</v>
      </c>
      <c r="K142" s="71" t="s">
        <v>0</v>
      </c>
      <c r="L142" s="71" t="s">
        <v>0</v>
      </c>
      <c r="M142" s="7" t="str">
        <f t="shared" si="19"/>
        <v>0341911</v>
      </c>
      <c r="N142" s="7">
        <f t="shared" si="20"/>
        <v>0</v>
      </c>
      <c r="O142" s="7">
        <f t="shared" si="21"/>
        <v>0</v>
      </c>
      <c r="P142" s="7">
        <f t="shared" si="22"/>
        <v>0</v>
      </c>
      <c r="Q142" s="6">
        <f t="shared" si="23"/>
        <v>1</v>
      </c>
      <c r="R142" s="53">
        <f>(IF(Q142=1,VLOOKUP(D142,'[3]Sending Dist Weighted Fund PP'!$A$2:$E$170,5),0))</f>
        <v>13078.68</v>
      </c>
      <c r="S142" s="53">
        <f>IF(Q142=1,(VLOOKUP(M142,'Codes Rates Tuition '!$E$3:$I$61,5,FALSE)),0)</f>
        <v>7227</v>
      </c>
      <c r="T142" s="53">
        <f>IF(OR(H142="PK",H142="P3"),0,(IF(Q142=1,VLOOKUP(M142,'Codes Rates Tuition '!$E$3:$J$61,4,FALSE),0)))</f>
        <v>3060</v>
      </c>
      <c r="U142" s="53">
        <f t="shared" si="18"/>
        <v>13078.68</v>
      </c>
      <c r="V142" s="53">
        <f t="shared" si="24"/>
        <v>13079</v>
      </c>
      <c r="W142" s="53">
        <f>E142*IF(Q142=0,VLOOKUP(M142,'Codes Rates Tuition '!$E$3:$J$61,4,FALSE),0)</f>
        <v>0</v>
      </c>
      <c r="X142" s="7"/>
      <c r="Y142" s="6">
        <f t="shared" si="25"/>
        <v>0</v>
      </c>
      <c r="Z142" s="80">
        <f t="shared" si="26"/>
        <v>1</v>
      </c>
    </row>
    <row r="143" spans="1:26" x14ac:dyDescent="0.5">
      <c r="A143" s="25">
        <v>34</v>
      </c>
      <c r="B143" s="83">
        <v>19</v>
      </c>
      <c r="C143" s="25">
        <v>34</v>
      </c>
      <c r="D143" s="22">
        <v>97</v>
      </c>
      <c r="E143" s="22">
        <v>1</v>
      </c>
      <c r="F143" s="70" t="s">
        <v>550</v>
      </c>
      <c r="G143" s="71" t="s">
        <v>3</v>
      </c>
      <c r="H143" s="71" t="s">
        <v>542</v>
      </c>
      <c r="I143" s="71" t="s">
        <v>1</v>
      </c>
      <c r="J143" s="71" t="s">
        <v>0</v>
      </c>
      <c r="K143" s="71" t="s">
        <v>4</v>
      </c>
      <c r="L143" s="71" t="s">
        <v>0</v>
      </c>
      <c r="M143" s="7" t="str">
        <f t="shared" si="19"/>
        <v>0341911</v>
      </c>
      <c r="N143" s="7">
        <f t="shared" si="20"/>
        <v>0</v>
      </c>
      <c r="O143" s="7">
        <f t="shared" si="21"/>
        <v>1</v>
      </c>
      <c r="P143" s="7">
        <f t="shared" si="22"/>
        <v>0</v>
      </c>
      <c r="Q143" s="6">
        <f t="shared" si="23"/>
        <v>1</v>
      </c>
      <c r="R143" s="53">
        <f>(IF(Q143=1,VLOOKUP(D143,'[3]Sending Dist Weighted Fund PP'!$A$2:$E$170,5),0))</f>
        <v>12111.89</v>
      </c>
      <c r="S143" s="53">
        <f>IF(Q143=1,(VLOOKUP(M143,'Codes Rates Tuition '!$E$3:$I$61,5,FALSE)),0)</f>
        <v>7227</v>
      </c>
      <c r="T143" s="53">
        <f>IF(OR(H143="PK",H143="P3"),0,(IF(Q143=1,VLOOKUP(M143,'Codes Rates Tuition '!$E$3:$J$61,4,FALSE),0)))</f>
        <v>3060</v>
      </c>
      <c r="U143" s="53">
        <f t="shared" si="18"/>
        <v>12111.89</v>
      </c>
      <c r="V143" s="53">
        <f t="shared" si="24"/>
        <v>12112</v>
      </c>
      <c r="W143" s="53">
        <f>E143*IF(Q143=0,VLOOKUP(M143,'Codes Rates Tuition '!$E$3:$J$61,4,FALSE),0)</f>
        <v>0</v>
      </c>
      <c r="X143" s="7"/>
      <c r="Y143" s="6">
        <f t="shared" si="25"/>
        <v>0</v>
      </c>
      <c r="Z143" s="80">
        <f t="shared" si="26"/>
        <v>1</v>
      </c>
    </row>
    <row r="144" spans="1:26" x14ac:dyDescent="0.5">
      <c r="A144" s="25">
        <v>34</v>
      </c>
      <c r="B144" s="83">
        <v>19</v>
      </c>
      <c r="C144" s="25">
        <v>34</v>
      </c>
      <c r="D144" s="22">
        <v>97</v>
      </c>
      <c r="E144" s="22">
        <v>2</v>
      </c>
      <c r="F144" s="70" t="s">
        <v>550</v>
      </c>
      <c r="G144" s="71" t="s">
        <v>3</v>
      </c>
      <c r="H144" s="71" t="s">
        <v>1</v>
      </c>
      <c r="I144" s="71" t="s">
        <v>1</v>
      </c>
      <c r="J144" s="71" t="s">
        <v>0</v>
      </c>
      <c r="K144" s="71" t="s">
        <v>0</v>
      </c>
      <c r="L144" s="71" t="s">
        <v>0</v>
      </c>
      <c r="M144" s="7" t="str">
        <f t="shared" si="19"/>
        <v>0341911</v>
      </c>
      <c r="N144" s="7">
        <f t="shared" si="20"/>
        <v>0</v>
      </c>
      <c r="O144" s="7">
        <f t="shared" si="21"/>
        <v>0</v>
      </c>
      <c r="P144" s="7">
        <f t="shared" si="22"/>
        <v>0</v>
      </c>
      <c r="Q144" s="6">
        <f t="shared" si="23"/>
        <v>1</v>
      </c>
      <c r="R144" s="53">
        <f>(IF(Q144=1,VLOOKUP(D144,'[3]Sending Dist Weighted Fund PP'!$A$2:$E$170,5),0))</f>
        <v>12111.89</v>
      </c>
      <c r="S144" s="53">
        <f>IF(Q144=1,(VLOOKUP(M144,'Codes Rates Tuition '!$E$3:$I$61,5,FALSE)),0)</f>
        <v>7227</v>
      </c>
      <c r="T144" s="53">
        <f>IF(OR(H144="PK",H144="P3"),0,(IF(Q144=1,VLOOKUP(M144,'Codes Rates Tuition '!$E$3:$J$61,4,FALSE),0)))</f>
        <v>3060</v>
      </c>
      <c r="U144" s="53">
        <f t="shared" si="18"/>
        <v>12111.89</v>
      </c>
      <c r="V144" s="53">
        <f t="shared" si="24"/>
        <v>24224</v>
      </c>
      <c r="W144" s="53">
        <f>E144*IF(Q144=0,VLOOKUP(M144,'Codes Rates Tuition '!$E$3:$J$61,4,FALSE),0)</f>
        <v>0</v>
      </c>
      <c r="X144" s="7"/>
      <c r="Y144" s="6">
        <f t="shared" si="25"/>
        <v>0</v>
      </c>
      <c r="Z144" s="80">
        <f t="shared" si="26"/>
        <v>2</v>
      </c>
    </row>
    <row r="145" spans="1:26" x14ac:dyDescent="0.5">
      <c r="A145" s="25">
        <v>34</v>
      </c>
      <c r="B145" s="83">
        <v>19</v>
      </c>
      <c r="C145" s="25">
        <v>34</v>
      </c>
      <c r="D145" s="22">
        <v>97</v>
      </c>
      <c r="E145" s="22">
        <v>1</v>
      </c>
      <c r="F145" s="70" t="s">
        <v>550</v>
      </c>
      <c r="G145" s="71" t="s">
        <v>3</v>
      </c>
      <c r="H145" s="71" t="s">
        <v>545</v>
      </c>
      <c r="I145" s="71" t="s">
        <v>1</v>
      </c>
      <c r="J145" s="71" t="s">
        <v>5</v>
      </c>
      <c r="K145" s="71" t="s">
        <v>0</v>
      </c>
      <c r="L145" s="71" t="s">
        <v>0</v>
      </c>
      <c r="M145" s="7" t="str">
        <f t="shared" si="19"/>
        <v>0341911</v>
      </c>
      <c r="N145" s="7">
        <f t="shared" si="20"/>
        <v>0</v>
      </c>
      <c r="O145" s="7">
        <f t="shared" si="21"/>
        <v>0</v>
      </c>
      <c r="P145" s="7">
        <f t="shared" si="22"/>
        <v>1</v>
      </c>
      <c r="Q145" s="6">
        <f t="shared" si="23"/>
        <v>1</v>
      </c>
      <c r="R145" s="53">
        <f>(IF(Q145=1,VLOOKUP(D145,'[3]Sending Dist Weighted Fund PP'!$A$2:$E$170,5),0))</f>
        <v>12111.89</v>
      </c>
      <c r="S145" s="53">
        <f>IF(Q145=1,(VLOOKUP(M145,'Codes Rates Tuition '!$E$3:$I$61,5,FALSE)),0)</f>
        <v>7227</v>
      </c>
      <c r="T145" s="53">
        <f>IF(OR(H145="PK",H145="P3"),0,(IF(Q145=1,VLOOKUP(M145,'Codes Rates Tuition '!$E$3:$J$61,4,FALSE),0)))</f>
        <v>3060</v>
      </c>
      <c r="U145" s="53">
        <f t="shared" si="18"/>
        <v>12111.89</v>
      </c>
      <c r="V145" s="53">
        <f t="shared" si="24"/>
        <v>12112</v>
      </c>
      <c r="W145" s="53">
        <f>E145*IF(Q145=0,VLOOKUP(M145,'Codes Rates Tuition '!$E$3:$J$61,4,FALSE),0)</f>
        <v>0</v>
      </c>
      <c r="X145" s="7"/>
      <c r="Y145" s="6">
        <f t="shared" si="25"/>
        <v>0</v>
      </c>
      <c r="Z145" s="80">
        <f t="shared" si="26"/>
        <v>1</v>
      </c>
    </row>
    <row r="146" spans="1:26" x14ac:dyDescent="0.5">
      <c r="A146" s="25">
        <v>34</v>
      </c>
      <c r="B146" s="83">
        <v>19</v>
      </c>
      <c r="C146" s="25">
        <v>34</v>
      </c>
      <c r="D146" s="22">
        <v>117</v>
      </c>
      <c r="E146" s="22">
        <v>1</v>
      </c>
      <c r="F146" s="70" t="s">
        <v>550</v>
      </c>
      <c r="G146" s="71" t="s">
        <v>3</v>
      </c>
      <c r="H146" s="71" t="s">
        <v>541</v>
      </c>
      <c r="I146" s="71" t="s">
        <v>1</v>
      </c>
      <c r="J146" s="71" t="s">
        <v>0</v>
      </c>
      <c r="K146" s="71" t="s">
        <v>0</v>
      </c>
      <c r="L146" s="71" t="s">
        <v>0</v>
      </c>
      <c r="M146" s="7" t="str">
        <f t="shared" si="19"/>
        <v>0341911</v>
      </c>
      <c r="N146" s="7">
        <f t="shared" si="20"/>
        <v>0</v>
      </c>
      <c r="O146" s="7">
        <f t="shared" si="21"/>
        <v>0</v>
      </c>
      <c r="P146" s="7">
        <f t="shared" si="22"/>
        <v>0</v>
      </c>
      <c r="Q146" s="6">
        <f t="shared" si="23"/>
        <v>1</v>
      </c>
      <c r="R146" s="53">
        <f>(IF(Q146=1,VLOOKUP(D146,'[3]Sending Dist Weighted Fund PP'!$A$2:$E$170,5),0))</f>
        <v>11896.23</v>
      </c>
      <c r="S146" s="53">
        <f>IF(Q146=1,(VLOOKUP(M146,'Codes Rates Tuition '!$E$3:$I$61,5,FALSE)),0)</f>
        <v>7227</v>
      </c>
      <c r="T146" s="53">
        <f>IF(OR(H146="PK",H146="P3"),0,(IF(Q146=1,VLOOKUP(M146,'Codes Rates Tuition '!$E$3:$J$61,4,FALSE),0)))</f>
        <v>3060</v>
      </c>
      <c r="U146" s="53">
        <f t="shared" si="18"/>
        <v>11896.23</v>
      </c>
      <c r="V146" s="53">
        <f t="shared" si="24"/>
        <v>11896</v>
      </c>
      <c r="W146" s="53">
        <f>E146*IF(Q146=0,VLOOKUP(M146,'Codes Rates Tuition '!$E$3:$J$61,4,FALSE),0)</f>
        <v>0</v>
      </c>
      <c r="X146" s="7"/>
      <c r="Y146" s="6">
        <f t="shared" si="25"/>
        <v>0</v>
      </c>
      <c r="Z146" s="80">
        <f t="shared" si="26"/>
        <v>1</v>
      </c>
    </row>
    <row r="147" spans="1:26" x14ac:dyDescent="0.5">
      <c r="A147" s="25">
        <v>34</v>
      </c>
      <c r="B147" s="83">
        <v>19</v>
      </c>
      <c r="C147" s="25">
        <v>34</v>
      </c>
      <c r="D147" s="22">
        <v>117</v>
      </c>
      <c r="E147" s="22">
        <v>1</v>
      </c>
      <c r="F147" s="70" t="s">
        <v>550</v>
      </c>
      <c r="G147" s="71" t="s">
        <v>3</v>
      </c>
      <c r="H147" s="71" t="s">
        <v>544</v>
      </c>
      <c r="I147" s="71" t="s">
        <v>1</v>
      </c>
      <c r="J147" s="71" t="s">
        <v>0</v>
      </c>
      <c r="K147" s="71" t="s">
        <v>4</v>
      </c>
      <c r="L147" s="71" t="s">
        <v>0</v>
      </c>
      <c r="M147" s="7" t="str">
        <f t="shared" si="19"/>
        <v>0341911</v>
      </c>
      <c r="N147" s="7">
        <f t="shared" si="20"/>
        <v>0</v>
      </c>
      <c r="O147" s="7">
        <f t="shared" si="21"/>
        <v>1</v>
      </c>
      <c r="P147" s="7">
        <f t="shared" si="22"/>
        <v>0</v>
      </c>
      <c r="Q147" s="6">
        <f t="shared" si="23"/>
        <v>1</v>
      </c>
      <c r="R147" s="53">
        <f>(IF(Q147=1,VLOOKUP(D147,'[3]Sending Dist Weighted Fund PP'!$A$2:$E$170,5),0))</f>
        <v>11896.23</v>
      </c>
      <c r="S147" s="53">
        <f>IF(Q147=1,(VLOOKUP(M147,'Codes Rates Tuition '!$E$3:$I$61,5,FALSE)),0)</f>
        <v>7227</v>
      </c>
      <c r="T147" s="53">
        <f>IF(OR(H147="PK",H147="P3"),0,(IF(Q147=1,VLOOKUP(M147,'Codes Rates Tuition '!$E$3:$J$61,4,FALSE),0)))</f>
        <v>3060</v>
      </c>
      <c r="U147" s="53">
        <f t="shared" si="18"/>
        <v>11896.23</v>
      </c>
      <c r="V147" s="53">
        <f t="shared" si="24"/>
        <v>11896</v>
      </c>
      <c r="W147" s="53">
        <f>E147*IF(Q147=0,VLOOKUP(M147,'Codes Rates Tuition '!$E$3:$J$61,4,FALSE),0)</f>
        <v>0</v>
      </c>
      <c r="X147" s="7"/>
      <c r="Y147" s="6">
        <f t="shared" si="25"/>
        <v>0</v>
      </c>
      <c r="Z147" s="80">
        <f t="shared" si="26"/>
        <v>1</v>
      </c>
    </row>
    <row r="148" spans="1:26" x14ac:dyDescent="0.5">
      <c r="A148" s="25">
        <v>34</v>
      </c>
      <c r="B148" s="83">
        <v>19</v>
      </c>
      <c r="C148" s="25">
        <v>34</v>
      </c>
      <c r="D148" s="22">
        <v>117</v>
      </c>
      <c r="E148" s="22">
        <v>1</v>
      </c>
      <c r="F148" s="70" t="s">
        <v>550</v>
      </c>
      <c r="G148" s="71" t="s">
        <v>3</v>
      </c>
      <c r="H148" s="71" t="s">
        <v>545</v>
      </c>
      <c r="I148" s="71" t="s">
        <v>1</v>
      </c>
      <c r="J148" s="71" t="s">
        <v>0</v>
      </c>
      <c r="K148" s="71" t="s">
        <v>0</v>
      </c>
      <c r="L148" s="71" t="s">
        <v>0</v>
      </c>
      <c r="M148" s="7" t="str">
        <f t="shared" si="19"/>
        <v>0341911</v>
      </c>
      <c r="N148" s="7">
        <f t="shared" si="20"/>
        <v>0</v>
      </c>
      <c r="O148" s="7">
        <f t="shared" si="21"/>
        <v>0</v>
      </c>
      <c r="P148" s="7">
        <f t="shared" si="22"/>
        <v>0</v>
      </c>
      <c r="Q148" s="6">
        <f t="shared" si="23"/>
        <v>1</v>
      </c>
      <c r="R148" s="53">
        <f>(IF(Q148=1,VLOOKUP(D148,'[3]Sending Dist Weighted Fund PP'!$A$2:$E$170,5),0))</f>
        <v>11896.23</v>
      </c>
      <c r="S148" s="53">
        <f>IF(Q148=1,(VLOOKUP(M148,'Codes Rates Tuition '!$E$3:$I$61,5,FALSE)),0)</f>
        <v>7227</v>
      </c>
      <c r="T148" s="53">
        <f>IF(OR(H148="PK",H148="P3"),0,(IF(Q148=1,VLOOKUP(M148,'Codes Rates Tuition '!$E$3:$J$61,4,FALSE),0)))</f>
        <v>3060</v>
      </c>
      <c r="U148" s="53">
        <f t="shared" si="18"/>
        <v>11896.23</v>
      </c>
      <c r="V148" s="53">
        <f t="shared" si="24"/>
        <v>11896</v>
      </c>
      <c r="W148" s="53">
        <f>E148*IF(Q148=0,VLOOKUP(M148,'Codes Rates Tuition '!$E$3:$J$61,4,FALSE),0)</f>
        <v>0</v>
      </c>
      <c r="X148" s="7"/>
      <c r="Y148" s="6">
        <f t="shared" si="25"/>
        <v>0</v>
      </c>
      <c r="Z148" s="80">
        <f t="shared" si="26"/>
        <v>1</v>
      </c>
    </row>
    <row r="149" spans="1:26" x14ac:dyDescent="0.5">
      <c r="A149" s="25">
        <v>34</v>
      </c>
      <c r="B149" s="83">
        <v>19</v>
      </c>
      <c r="C149" s="25">
        <v>34</v>
      </c>
      <c r="D149" s="22">
        <v>151</v>
      </c>
      <c r="E149" s="22">
        <v>2</v>
      </c>
      <c r="F149" s="70" t="s">
        <v>550</v>
      </c>
      <c r="G149" s="71" t="s">
        <v>3</v>
      </c>
      <c r="H149" s="71" t="s">
        <v>541</v>
      </c>
      <c r="I149" s="71" t="s">
        <v>1</v>
      </c>
      <c r="J149" s="71" t="s">
        <v>0</v>
      </c>
      <c r="K149" s="71" t="s">
        <v>0</v>
      </c>
      <c r="L149" s="71" t="s">
        <v>0</v>
      </c>
      <c r="M149" s="7" t="str">
        <f t="shared" si="19"/>
        <v>0341911</v>
      </c>
      <c r="N149" s="7">
        <f t="shared" si="20"/>
        <v>0</v>
      </c>
      <c r="O149" s="7">
        <f t="shared" si="21"/>
        <v>0</v>
      </c>
      <c r="P149" s="7">
        <f t="shared" si="22"/>
        <v>0</v>
      </c>
      <c r="Q149" s="6">
        <f t="shared" si="23"/>
        <v>1</v>
      </c>
      <c r="R149" s="53">
        <f>(IF(Q149=1,VLOOKUP(D149,'[3]Sending Dist Weighted Fund PP'!$A$2:$E$170,5),0))</f>
        <v>14986.34</v>
      </c>
      <c r="S149" s="53">
        <f>IF(Q149=1,(VLOOKUP(M149,'Codes Rates Tuition '!$E$3:$I$61,5,FALSE)),0)</f>
        <v>7227</v>
      </c>
      <c r="T149" s="53">
        <f>IF(OR(H149="PK",H149="P3"),0,(IF(Q149=1,VLOOKUP(M149,'Codes Rates Tuition '!$E$3:$J$61,4,FALSE),0)))</f>
        <v>3060</v>
      </c>
      <c r="U149" s="53">
        <f t="shared" si="18"/>
        <v>14986.34</v>
      </c>
      <c r="V149" s="53">
        <f t="shared" si="24"/>
        <v>29973</v>
      </c>
      <c r="W149" s="53">
        <f>E149*IF(Q149=0,VLOOKUP(M149,'Codes Rates Tuition '!$E$3:$J$61,4,FALSE),0)</f>
        <v>0</v>
      </c>
      <c r="X149" s="7"/>
      <c r="Y149" s="6">
        <f t="shared" si="25"/>
        <v>0</v>
      </c>
      <c r="Z149" s="80">
        <f t="shared" si="26"/>
        <v>2</v>
      </c>
    </row>
    <row r="150" spans="1:26" x14ac:dyDescent="0.5">
      <c r="A150" s="25">
        <v>34</v>
      </c>
      <c r="B150" s="83">
        <v>19</v>
      </c>
      <c r="C150" s="25">
        <v>34</v>
      </c>
      <c r="D150" s="22">
        <v>151</v>
      </c>
      <c r="E150" s="22">
        <v>1</v>
      </c>
      <c r="F150" s="70" t="s">
        <v>550</v>
      </c>
      <c r="G150" s="71" t="s">
        <v>3</v>
      </c>
      <c r="H150" s="71" t="s">
        <v>542</v>
      </c>
      <c r="I150" s="71" t="s">
        <v>1</v>
      </c>
      <c r="J150" s="71" t="s">
        <v>0</v>
      </c>
      <c r="K150" s="71" t="s">
        <v>0</v>
      </c>
      <c r="L150" s="71" t="s">
        <v>0</v>
      </c>
      <c r="M150" s="7" t="str">
        <f t="shared" si="19"/>
        <v>0341911</v>
      </c>
      <c r="N150" s="7">
        <f t="shared" si="20"/>
        <v>0</v>
      </c>
      <c r="O150" s="7">
        <f t="shared" si="21"/>
        <v>0</v>
      </c>
      <c r="P150" s="7">
        <f t="shared" si="22"/>
        <v>0</v>
      </c>
      <c r="Q150" s="6">
        <f t="shared" si="23"/>
        <v>1</v>
      </c>
      <c r="R150" s="53">
        <f>(IF(Q150=1,VLOOKUP(D150,'[3]Sending Dist Weighted Fund PP'!$A$2:$E$170,5),0))</f>
        <v>14986.34</v>
      </c>
      <c r="S150" s="53">
        <f>IF(Q150=1,(VLOOKUP(M150,'Codes Rates Tuition '!$E$3:$I$61,5,FALSE)),0)</f>
        <v>7227</v>
      </c>
      <c r="T150" s="53">
        <f>IF(OR(H150="PK",H150="P3"),0,(IF(Q150=1,VLOOKUP(M150,'Codes Rates Tuition '!$E$3:$J$61,4,FALSE),0)))</f>
        <v>3060</v>
      </c>
      <c r="U150" s="53">
        <f t="shared" si="18"/>
        <v>14986.34</v>
      </c>
      <c r="V150" s="53">
        <f t="shared" si="24"/>
        <v>14986</v>
      </c>
      <c r="W150" s="53">
        <f>E150*IF(Q150=0,VLOOKUP(M150,'Codes Rates Tuition '!$E$3:$J$61,4,FALSE),0)</f>
        <v>0</v>
      </c>
      <c r="X150" s="7"/>
      <c r="Y150" s="6">
        <f t="shared" si="25"/>
        <v>0</v>
      </c>
      <c r="Z150" s="80">
        <f t="shared" si="26"/>
        <v>1</v>
      </c>
    </row>
    <row r="151" spans="1:26" x14ac:dyDescent="0.5">
      <c r="A151" s="25">
        <v>34</v>
      </c>
      <c r="B151" s="83">
        <v>19</v>
      </c>
      <c r="C151" s="25">
        <v>34</v>
      </c>
      <c r="D151" s="22">
        <v>151</v>
      </c>
      <c r="E151" s="22">
        <v>1</v>
      </c>
      <c r="F151" s="70" t="s">
        <v>550</v>
      </c>
      <c r="G151" s="71" t="s">
        <v>3</v>
      </c>
      <c r="H151" s="71" t="s">
        <v>542</v>
      </c>
      <c r="I151" s="71" t="s">
        <v>1</v>
      </c>
      <c r="J151" s="71" t="s">
        <v>0</v>
      </c>
      <c r="K151" s="71" t="s">
        <v>0</v>
      </c>
      <c r="L151" s="71" t="s">
        <v>5</v>
      </c>
      <c r="M151" s="7" t="str">
        <f t="shared" si="19"/>
        <v>0341911</v>
      </c>
      <c r="N151" s="7">
        <f t="shared" si="20"/>
        <v>1</v>
      </c>
      <c r="O151" s="7">
        <f t="shared" si="21"/>
        <v>0</v>
      </c>
      <c r="P151" s="7">
        <f t="shared" si="22"/>
        <v>0</v>
      </c>
      <c r="Q151" s="6">
        <f t="shared" si="23"/>
        <v>1</v>
      </c>
      <c r="R151" s="53">
        <f>(IF(Q151=1,VLOOKUP(D151,'[3]Sending Dist Weighted Fund PP'!$A$2:$E$170,5),0))</f>
        <v>14986.34</v>
      </c>
      <c r="S151" s="53">
        <f>IF(Q151=1,(VLOOKUP(M151,'Codes Rates Tuition '!$E$3:$I$61,5,FALSE)),0)</f>
        <v>7227</v>
      </c>
      <c r="T151" s="53">
        <f>IF(OR(H151="PK",H151="P3"),0,(IF(Q151=1,VLOOKUP(M151,'Codes Rates Tuition '!$E$3:$J$61,4,FALSE),0)))</f>
        <v>3060</v>
      </c>
      <c r="U151" s="53">
        <f t="shared" si="18"/>
        <v>14986.34</v>
      </c>
      <c r="V151" s="53">
        <f t="shared" si="24"/>
        <v>14986</v>
      </c>
      <c r="W151" s="53">
        <f>E151*IF(Q151=0,VLOOKUP(M151,'Codes Rates Tuition '!$E$3:$J$61,4,FALSE),0)</f>
        <v>0</v>
      </c>
      <c r="X151" s="7"/>
      <c r="Y151" s="6">
        <f t="shared" si="25"/>
        <v>0</v>
      </c>
      <c r="Z151" s="80">
        <f t="shared" si="26"/>
        <v>1</v>
      </c>
    </row>
    <row r="152" spans="1:26" x14ac:dyDescent="0.5">
      <c r="A152" s="25">
        <v>34</v>
      </c>
      <c r="B152" s="83">
        <v>19</v>
      </c>
      <c r="C152" s="25">
        <v>34</v>
      </c>
      <c r="D152" s="22">
        <v>151</v>
      </c>
      <c r="E152" s="22">
        <v>1</v>
      </c>
      <c r="F152" s="70" t="s">
        <v>550</v>
      </c>
      <c r="G152" s="71" t="s">
        <v>3</v>
      </c>
      <c r="H152" s="71" t="s">
        <v>542</v>
      </c>
      <c r="I152" s="71" t="s">
        <v>1</v>
      </c>
      <c r="J152" s="71" t="s">
        <v>5</v>
      </c>
      <c r="K152" s="71" t="s">
        <v>4</v>
      </c>
      <c r="L152" s="71" t="s">
        <v>0</v>
      </c>
      <c r="M152" s="7" t="str">
        <f t="shared" si="19"/>
        <v>0341911</v>
      </c>
      <c r="N152" s="7">
        <f t="shared" si="20"/>
        <v>0</v>
      </c>
      <c r="O152" s="7">
        <f t="shared" si="21"/>
        <v>1</v>
      </c>
      <c r="P152" s="7">
        <f t="shared" si="22"/>
        <v>1</v>
      </c>
      <c r="Q152" s="6">
        <f t="shared" si="23"/>
        <v>1</v>
      </c>
      <c r="R152" s="53">
        <f>(IF(Q152=1,VLOOKUP(D152,'[3]Sending Dist Weighted Fund PP'!$A$2:$E$170,5),0))</f>
        <v>14986.34</v>
      </c>
      <c r="S152" s="53">
        <f>IF(Q152=1,(VLOOKUP(M152,'Codes Rates Tuition '!$E$3:$I$61,5,FALSE)),0)</f>
        <v>7227</v>
      </c>
      <c r="T152" s="53">
        <f>IF(OR(H152="PK",H152="P3"),0,(IF(Q152=1,VLOOKUP(M152,'Codes Rates Tuition '!$E$3:$J$61,4,FALSE),0)))</f>
        <v>3060</v>
      </c>
      <c r="U152" s="53">
        <f t="shared" si="18"/>
        <v>14986.34</v>
      </c>
      <c r="V152" s="53">
        <f t="shared" si="24"/>
        <v>14986</v>
      </c>
      <c r="W152" s="53">
        <f>E152*IF(Q152=0,VLOOKUP(M152,'Codes Rates Tuition '!$E$3:$J$61,4,FALSE),0)</f>
        <v>0</v>
      </c>
      <c r="X152" s="7"/>
      <c r="Y152" s="6">
        <f t="shared" si="25"/>
        <v>0</v>
      </c>
      <c r="Z152" s="80">
        <f t="shared" si="26"/>
        <v>1</v>
      </c>
    </row>
    <row r="153" spans="1:26" x14ac:dyDescent="0.5">
      <c r="A153" s="25">
        <v>34</v>
      </c>
      <c r="B153" s="83">
        <v>19</v>
      </c>
      <c r="C153" s="25">
        <v>34</v>
      </c>
      <c r="D153" s="22">
        <v>151</v>
      </c>
      <c r="E153" s="22">
        <v>1</v>
      </c>
      <c r="F153" s="70" t="s">
        <v>550</v>
      </c>
      <c r="G153" s="71" t="s">
        <v>3</v>
      </c>
      <c r="H153" s="71" t="s">
        <v>1</v>
      </c>
      <c r="I153" s="71" t="s">
        <v>1</v>
      </c>
      <c r="J153" s="71" t="s">
        <v>5</v>
      </c>
      <c r="K153" s="71" t="s">
        <v>0</v>
      </c>
      <c r="L153" s="71" t="s">
        <v>0</v>
      </c>
      <c r="M153" s="7" t="str">
        <f t="shared" si="19"/>
        <v>0341911</v>
      </c>
      <c r="N153" s="7">
        <f t="shared" si="20"/>
        <v>0</v>
      </c>
      <c r="O153" s="7">
        <f t="shared" si="21"/>
        <v>0</v>
      </c>
      <c r="P153" s="7">
        <f t="shared" si="22"/>
        <v>1</v>
      </c>
      <c r="Q153" s="6">
        <f t="shared" si="23"/>
        <v>1</v>
      </c>
      <c r="R153" s="53">
        <f>(IF(Q153=1,VLOOKUP(D153,'[3]Sending Dist Weighted Fund PP'!$A$2:$E$170,5),0))</f>
        <v>14986.34</v>
      </c>
      <c r="S153" s="53">
        <f>IF(Q153=1,(VLOOKUP(M153,'Codes Rates Tuition '!$E$3:$I$61,5,FALSE)),0)</f>
        <v>7227</v>
      </c>
      <c r="T153" s="53">
        <f>IF(OR(H153="PK",H153="P3"),0,(IF(Q153=1,VLOOKUP(M153,'Codes Rates Tuition '!$E$3:$J$61,4,FALSE),0)))</f>
        <v>3060</v>
      </c>
      <c r="U153" s="53">
        <f t="shared" si="18"/>
        <v>14986.34</v>
      </c>
      <c r="V153" s="53">
        <f t="shared" si="24"/>
        <v>14986</v>
      </c>
      <c r="W153" s="53">
        <f>E153*IF(Q153=0,VLOOKUP(M153,'Codes Rates Tuition '!$E$3:$J$61,4,FALSE),0)</f>
        <v>0</v>
      </c>
      <c r="X153" s="7"/>
      <c r="Y153" s="6">
        <f t="shared" si="25"/>
        <v>0</v>
      </c>
      <c r="Z153" s="80">
        <f t="shared" si="26"/>
        <v>1</v>
      </c>
    </row>
    <row r="154" spans="1:26" x14ac:dyDescent="0.5">
      <c r="A154" s="25">
        <v>34</v>
      </c>
      <c r="B154" s="83">
        <v>19</v>
      </c>
      <c r="C154" s="25">
        <v>34</v>
      </c>
      <c r="D154" s="22">
        <v>151</v>
      </c>
      <c r="E154" s="22">
        <v>1</v>
      </c>
      <c r="F154" s="70" t="s">
        <v>550</v>
      </c>
      <c r="G154" s="71" t="s">
        <v>3</v>
      </c>
      <c r="H154" s="71" t="s">
        <v>543</v>
      </c>
      <c r="I154" s="71" t="s">
        <v>1</v>
      </c>
      <c r="J154" s="71" t="s">
        <v>0</v>
      </c>
      <c r="K154" s="71" t="s">
        <v>0</v>
      </c>
      <c r="L154" s="71" t="s">
        <v>0</v>
      </c>
      <c r="M154" s="7" t="str">
        <f t="shared" si="19"/>
        <v>0341911</v>
      </c>
      <c r="N154" s="7">
        <f t="shared" si="20"/>
        <v>0</v>
      </c>
      <c r="O154" s="7">
        <f t="shared" si="21"/>
        <v>0</v>
      </c>
      <c r="P154" s="7">
        <f t="shared" si="22"/>
        <v>0</v>
      </c>
      <c r="Q154" s="6">
        <f t="shared" si="23"/>
        <v>1</v>
      </c>
      <c r="R154" s="53">
        <f>(IF(Q154=1,VLOOKUP(D154,'[3]Sending Dist Weighted Fund PP'!$A$2:$E$170,5),0))</f>
        <v>14986.34</v>
      </c>
      <c r="S154" s="53">
        <f>IF(Q154=1,(VLOOKUP(M154,'Codes Rates Tuition '!$E$3:$I$61,5,FALSE)),0)</f>
        <v>7227</v>
      </c>
      <c r="T154" s="53">
        <f>IF(OR(H154="PK",H154="P3"),0,(IF(Q154=1,VLOOKUP(M154,'Codes Rates Tuition '!$E$3:$J$61,4,FALSE),0)))</f>
        <v>3060</v>
      </c>
      <c r="U154" s="53">
        <f t="shared" si="18"/>
        <v>14986.34</v>
      </c>
      <c r="V154" s="53">
        <f t="shared" si="24"/>
        <v>14986</v>
      </c>
      <c r="W154" s="53">
        <f>E154*IF(Q154=0,VLOOKUP(M154,'Codes Rates Tuition '!$E$3:$J$61,4,FALSE),0)</f>
        <v>0</v>
      </c>
      <c r="X154" s="7"/>
      <c r="Y154" s="6">
        <f t="shared" si="25"/>
        <v>0</v>
      </c>
      <c r="Z154" s="80">
        <f t="shared" si="26"/>
        <v>1</v>
      </c>
    </row>
    <row r="155" spans="1:26" x14ac:dyDescent="0.5">
      <c r="A155" s="25">
        <v>34</v>
      </c>
      <c r="B155" s="83">
        <v>19</v>
      </c>
      <c r="C155" s="25">
        <v>34</v>
      </c>
      <c r="D155" s="22">
        <v>151</v>
      </c>
      <c r="E155" s="22">
        <v>1</v>
      </c>
      <c r="F155" s="70" t="s">
        <v>550</v>
      </c>
      <c r="G155" s="71" t="s">
        <v>3</v>
      </c>
      <c r="H155" s="71" t="s">
        <v>545</v>
      </c>
      <c r="I155" s="71" t="s">
        <v>1</v>
      </c>
      <c r="J155" s="71" t="s">
        <v>0</v>
      </c>
      <c r="K155" s="71" t="s">
        <v>4</v>
      </c>
      <c r="L155" s="71" t="s">
        <v>0</v>
      </c>
      <c r="M155" s="7" t="str">
        <f t="shared" si="19"/>
        <v>0341911</v>
      </c>
      <c r="N155" s="7">
        <f t="shared" si="20"/>
        <v>0</v>
      </c>
      <c r="O155" s="7">
        <f t="shared" si="21"/>
        <v>1</v>
      </c>
      <c r="P155" s="7">
        <f t="shared" si="22"/>
        <v>0</v>
      </c>
      <c r="Q155" s="6">
        <f t="shared" si="23"/>
        <v>1</v>
      </c>
      <c r="R155" s="53">
        <f>(IF(Q155=1,VLOOKUP(D155,'[3]Sending Dist Weighted Fund PP'!$A$2:$E$170,5),0))</f>
        <v>14986.34</v>
      </c>
      <c r="S155" s="53">
        <f>IF(Q155=1,(VLOOKUP(M155,'Codes Rates Tuition '!$E$3:$I$61,5,FALSE)),0)</f>
        <v>7227</v>
      </c>
      <c r="T155" s="53">
        <f>IF(OR(H155="PK",H155="P3"),0,(IF(Q155=1,VLOOKUP(M155,'Codes Rates Tuition '!$E$3:$J$61,4,FALSE),0)))</f>
        <v>3060</v>
      </c>
      <c r="U155" s="53">
        <f t="shared" si="18"/>
        <v>14986.34</v>
      </c>
      <c r="V155" s="53">
        <f t="shared" si="24"/>
        <v>14986</v>
      </c>
      <c r="W155" s="53">
        <f>E155*IF(Q155=0,VLOOKUP(M155,'Codes Rates Tuition '!$E$3:$J$61,4,FALSE),0)</f>
        <v>0</v>
      </c>
      <c r="X155" s="7"/>
      <c r="Y155" s="6">
        <f t="shared" si="25"/>
        <v>0</v>
      </c>
      <c r="Z155" s="80">
        <f t="shared" si="26"/>
        <v>1</v>
      </c>
    </row>
    <row r="156" spans="1:26" x14ac:dyDescent="0.5">
      <c r="A156" s="25">
        <v>34</v>
      </c>
      <c r="B156" s="83">
        <v>19</v>
      </c>
      <c r="C156" s="25">
        <v>34</v>
      </c>
      <c r="D156" s="22">
        <v>168</v>
      </c>
      <c r="E156" s="22">
        <v>1</v>
      </c>
      <c r="F156" s="70" t="s">
        <v>550</v>
      </c>
      <c r="G156" s="71" t="s">
        <v>3</v>
      </c>
      <c r="H156" s="71" t="s">
        <v>542</v>
      </c>
      <c r="I156" s="71" t="s">
        <v>1</v>
      </c>
      <c r="J156" s="71" t="s">
        <v>0</v>
      </c>
      <c r="K156" s="71" t="s">
        <v>0</v>
      </c>
      <c r="L156" s="71" t="s">
        <v>0</v>
      </c>
      <c r="M156" s="7" t="str">
        <f t="shared" si="19"/>
        <v>0341911</v>
      </c>
      <c r="N156" s="7">
        <f t="shared" si="20"/>
        <v>0</v>
      </c>
      <c r="O156" s="7">
        <f t="shared" si="21"/>
        <v>0</v>
      </c>
      <c r="P156" s="7">
        <f t="shared" si="22"/>
        <v>0</v>
      </c>
      <c r="Q156" s="6">
        <f t="shared" si="23"/>
        <v>1</v>
      </c>
      <c r="R156" s="53">
        <f>(IF(Q156=1,VLOOKUP(D156,'[3]Sending Dist Weighted Fund PP'!$A$2:$E$170,5),0))</f>
        <v>12213.85</v>
      </c>
      <c r="S156" s="53">
        <f>IF(Q156=1,(VLOOKUP(M156,'Codes Rates Tuition '!$E$3:$I$61,5,FALSE)),0)</f>
        <v>7227</v>
      </c>
      <c r="T156" s="53">
        <f>IF(OR(H156="PK",H156="P3"),0,(IF(Q156=1,VLOOKUP(M156,'Codes Rates Tuition '!$E$3:$J$61,4,FALSE),0)))</f>
        <v>3060</v>
      </c>
      <c r="U156" s="53">
        <f t="shared" si="18"/>
        <v>12213.85</v>
      </c>
      <c r="V156" s="53">
        <f t="shared" si="24"/>
        <v>12214</v>
      </c>
      <c r="W156" s="53">
        <f>E156*IF(Q156=0,VLOOKUP(M156,'Codes Rates Tuition '!$E$3:$J$61,4,FALSE),0)</f>
        <v>0</v>
      </c>
      <c r="X156" s="7"/>
      <c r="Y156" s="6">
        <f t="shared" si="25"/>
        <v>0</v>
      </c>
      <c r="Z156" s="80">
        <f t="shared" si="26"/>
        <v>1</v>
      </c>
    </row>
    <row r="157" spans="1:26" x14ac:dyDescent="0.5">
      <c r="A157" s="25">
        <v>34</v>
      </c>
      <c r="B157" s="83">
        <v>19</v>
      </c>
      <c r="C157" s="25">
        <v>34</v>
      </c>
      <c r="D157" s="22">
        <v>168</v>
      </c>
      <c r="E157" s="22">
        <v>1</v>
      </c>
      <c r="F157" s="70" t="s">
        <v>550</v>
      </c>
      <c r="G157" s="71" t="s">
        <v>3</v>
      </c>
      <c r="H157" s="71" t="s">
        <v>543</v>
      </c>
      <c r="I157" s="71" t="s">
        <v>1</v>
      </c>
      <c r="J157" s="71" t="s">
        <v>0</v>
      </c>
      <c r="K157" s="71" t="s">
        <v>0</v>
      </c>
      <c r="L157" s="71" t="s">
        <v>0</v>
      </c>
      <c r="M157" s="7" t="str">
        <f t="shared" si="19"/>
        <v>0341911</v>
      </c>
      <c r="N157" s="7">
        <f t="shared" si="20"/>
        <v>0</v>
      </c>
      <c r="O157" s="7">
        <f t="shared" si="21"/>
        <v>0</v>
      </c>
      <c r="P157" s="7">
        <f t="shared" si="22"/>
        <v>0</v>
      </c>
      <c r="Q157" s="6">
        <f t="shared" si="23"/>
        <v>1</v>
      </c>
      <c r="R157" s="53">
        <f>(IF(Q157=1,VLOOKUP(D157,'[3]Sending Dist Weighted Fund PP'!$A$2:$E$170,5),0))</f>
        <v>12213.85</v>
      </c>
      <c r="S157" s="53">
        <f>IF(Q157=1,(VLOOKUP(M157,'Codes Rates Tuition '!$E$3:$I$61,5,FALSE)),0)</f>
        <v>7227</v>
      </c>
      <c r="T157" s="53">
        <f>IF(OR(H157="PK",H157="P3"),0,(IF(Q157=1,VLOOKUP(M157,'Codes Rates Tuition '!$E$3:$J$61,4,FALSE),0)))</f>
        <v>3060</v>
      </c>
      <c r="U157" s="53">
        <f t="shared" si="18"/>
        <v>12213.85</v>
      </c>
      <c r="V157" s="53">
        <f t="shared" si="24"/>
        <v>12214</v>
      </c>
      <c r="W157" s="53">
        <f>E157*IF(Q157=0,VLOOKUP(M157,'Codes Rates Tuition '!$E$3:$J$61,4,FALSE),0)</f>
        <v>0</v>
      </c>
      <c r="X157" s="7"/>
      <c r="Y157" s="6">
        <f t="shared" si="25"/>
        <v>0</v>
      </c>
      <c r="Z157" s="80">
        <f t="shared" si="26"/>
        <v>1</v>
      </c>
    </row>
    <row r="158" spans="1:26" ht="16.149999999999999" thickBot="1" x14ac:dyDescent="0.55000000000000004">
      <c r="A158" s="26">
        <v>34</v>
      </c>
      <c r="B158" s="84">
        <v>19</v>
      </c>
      <c r="C158" s="26">
        <v>34</v>
      </c>
      <c r="D158" s="27">
        <v>168</v>
      </c>
      <c r="E158" s="27">
        <v>1</v>
      </c>
      <c r="F158" s="86" t="s">
        <v>550</v>
      </c>
      <c r="G158" s="75" t="s">
        <v>3</v>
      </c>
      <c r="H158" s="75" t="s">
        <v>545</v>
      </c>
      <c r="I158" s="75" t="s">
        <v>1</v>
      </c>
      <c r="J158" s="75" t="s">
        <v>0</v>
      </c>
      <c r="K158" s="75" t="s">
        <v>0</v>
      </c>
      <c r="L158" s="75" t="s">
        <v>0</v>
      </c>
      <c r="M158" s="76" t="str">
        <f t="shared" si="19"/>
        <v>0341911</v>
      </c>
      <c r="N158" s="76">
        <f t="shared" si="20"/>
        <v>0</v>
      </c>
      <c r="O158" s="76">
        <f t="shared" si="21"/>
        <v>0</v>
      </c>
      <c r="P158" s="76">
        <f t="shared" si="22"/>
        <v>0</v>
      </c>
      <c r="Q158" s="77">
        <f t="shared" si="23"/>
        <v>1</v>
      </c>
      <c r="R158" s="54">
        <f>(IF(Q158=1,VLOOKUP(D158,'[3]Sending Dist Weighted Fund PP'!$A$2:$E$170,5),0))</f>
        <v>12213.85</v>
      </c>
      <c r="S158" s="54">
        <f>IF(Q158=1,(VLOOKUP(M158,'Codes Rates Tuition '!$E$3:$I$61,5,FALSE)),0)</f>
        <v>7227</v>
      </c>
      <c r="T158" s="54">
        <f>IF(OR(H158="PK",H158="P3"),0,(IF(Q158=1,VLOOKUP(M158,'Codes Rates Tuition '!$E$3:$J$61,4,FALSE),0)))</f>
        <v>3060</v>
      </c>
      <c r="U158" s="54">
        <f t="shared" si="18"/>
        <v>12213.85</v>
      </c>
      <c r="V158" s="54">
        <f t="shared" si="24"/>
        <v>12214</v>
      </c>
      <c r="W158" s="54">
        <f>E158*IF(Q158=0,VLOOKUP(M158,'Codes Rates Tuition '!$E$3:$J$61,4,FALSE),0)</f>
        <v>0</v>
      </c>
      <c r="X158" s="76"/>
      <c r="Y158" s="77">
        <f t="shared" si="25"/>
        <v>0</v>
      </c>
      <c r="Z158" s="81">
        <f t="shared" si="26"/>
        <v>1</v>
      </c>
    </row>
    <row r="159" spans="1:26" x14ac:dyDescent="0.5">
      <c r="R159" s="50"/>
      <c r="S159" s="50"/>
      <c r="T159" s="50"/>
      <c r="U159" s="50"/>
      <c r="V159" s="78">
        <f>SUM(V50:V158)</f>
        <v>1021952</v>
      </c>
      <c r="W159" s="78">
        <f>SUM(W50:W158)</f>
        <v>789480</v>
      </c>
      <c r="Y159" s="80">
        <f>SUM(Y50:Y158)</f>
        <v>258</v>
      </c>
      <c r="Z159" s="80">
        <f>SUM(Z50:Z158)</f>
        <v>79</v>
      </c>
    </row>
    <row r="160" spans="1:26" x14ac:dyDescent="0.5">
      <c r="R160" s="50"/>
      <c r="S160" s="50"/>
      <c r="T160" s="50"/>
      <c r="U160" s="50"/>
      <c r="V160" s="50"/>
      <c r="W160" s="50"/>
    </row>
  </sheetData>
  <mergeCells count="1">
    <mergeCell ref="C1:Z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4FCC-B0D1-47B9-A28B-DDDEE5813EB5}">
  <dimension ref="A1:G174"/>
  <sheetViews>
    <sheetView topLeftCell="A186" workbookViewId="0">
      <selection activeCell="J13" sqref="J13"/>
    </sheetView>
  </sheetViews>
  <sheetFormatPr defaultColWidth="9.06640625" defaultRowHeight="15.75" x14ac:dyDescent="0.5"/>
  <cols>
    <col min="1" max="1" width="4.86328125" style="7" customWidth="1"/>
    <col min="2" max="2" width="19.3984375" style="7" bestFit="1" customWidth="1"/>
    <col min="3" max="5" width="15.19921875" style="7" customWidth="1"/>
    <col min="6" max="6" width="11.86328125" style="7" customWidth="1"/>
    <col min="7" max="7" width="9.86328125" style="7" bestFit="1" customWidth="1"/>
    <col min="8" max="16384" width="9.06640625" style="7"/>
  </cols>
  <sheetData>
    <row r="1" spans="1:7" ht="23.65" customHeight="1" x14ac:dyDescent="0.65">
      <c r="A1" s="95" t="s">
        <v>560</v>
      </c>
      <c r="B1" s="95"/>
      <c r="C1" s="95"/>
      <c r="D1" s="95"/>
      <c r="E1" s="95"/>
      <c r="F1" s="95"/>
      <c r="G1" s="95"/>
    </row>
    <row r="2" spans="1:7" ht="63" x14ac:dyDescent="0.5">
      <c r="A2" s="60"/>
      <c r="B2" s="61" t="s">
        <v>552</v>
      </c>
      <c r="C2" s="62" t="s">
        <v>29</v>
      </c>
      <c r="D2" s="62" t="s">
        <v>30</v>
      </c>
      <c r="E2" s="62" t="s">
        <v>31</v>
      </c>
      <c r="F2" s="63" t="s">
        <v>32</v>
      </c>
      <c r="G2" s="64">
        <v>11525</v>
      </c>
    </row>
    <row r="3" spans="1:7" x14ac:dyDescent="0.5">
      <c r="A3" s="10">
        <v>1</v>
      </c>
      <c r="B3" s="10" t="s">
        <v>33</v>
      </c>
      <c r="C3" s="46">
        <v>328.05</v>
      </c>
      <c r="D3" s="47">
        <v>359.40000000000003</v>
      </c>
      <c r="E3" s="48">
        <f>ROUND($G$2*D3/C3,2)</f>
        <v>12626.38</v>
      </c>
    </row>
    <row r="4" spans="1:7" x14ac:dyDescent="0.5">
      <c r="A4" s="10">
        <v>2</v>
      </c>
      <c r="B4" s="10" t="s">
        <v>34</v>
      </c>
      <c r="C4" s="46">
        <v>2479.2800000000002</v>
      </c>
      <c r="D4" s="47">
        <v>3019.0900000000006</v>
      </c>
      <c r="E4" s="48">
        <f t="shared" ref="E4:E67" si="0">ROUND($G$2*D4/C4,2)</f>
        <v>14034.32</v>
      </c>
    </row>
    <row r="5" spans="1:7" x14ac:dyDescent="0.5">
      <c r="A5" s="10">
        <v>3</v>
      </c>
      <c r="B5" s="10" t="s">
        <v>35</v>
      </c>
      <c r="C5" s="46">
        <v>498.74</v>
      </c>
      <c r="D5" s="47">
        <v>557.59</v>
      </c>
      <c r="E5" s="48">
        <f t="shared" si="0"/>
        <v>12884.92</v>
      </c>
    </row>
    <row r="6" spans="1:7" x14ac:dyDescent="0.5">
      <c r="A6" s="10">
        <v>4</v>
      </c>
      <c r="B6" s="10" t="s">
        <v>36</v>
      </c>
      <c r="C6" s="46">
        <v>2963.18</v>
      </c>
      <c r="D6" s="47">
        <v>3075.18</v>
      </c>
      <c r="E6" s="48">
        <f t="shared" si="0"/>
        <v>11960.61</v>
      </c>
    </row>
    <row r="7" spans="1:7" x14ac:dyDescent="0.5">
      <c r="A7" s="10">
        <v>5</v>
      </c>
      <c r="B7" s="10" t="s">
        <v>37</v>
      </c>
      <c r="C7" s="46">
        <v>410.86</v>
      </c>
      <c r="D7" s="47">
        <v>442.06</v>
      </c>
      <c r="E7" s="48">
        <f t="shared" si="0"/>
        <v>12400.19</v>
      </c>
    </row>
    <row r="8" spans="1:7" x14ac:dyDescent="0.5">
      <c r="A8" s="10">
        <v>6</v>
      </c>
      <c r="B8" s="10" t="s">
        <v>38</v>
      </c>
      <c r="C8" s="46">
        <v>690.15</v>
      </c>
      <c r="D8" s="47">
        <v>759.65</v>
      </c>
      <c r="E8" s="48">
        <f t="shared" si="0"/>
        <v>12685.6</v>
      </c>
    </row>
    <row r="9" spans="1:7" x14ac:dyDescent="0.5">
      <c r="A9" s="10">
        <v>7</v>
      </c>
      <c r="B9" s="10" t="s">
        <v>39</v>
      </c>
      <c r="C9" s="46">
        <v>2577.35</v>
      </c>
      <c r="D9" s="47">
        <v>2797.4</v>
      </c>
      <c r="E9" s="48">
        <f t="shared" si="0"/>
        <v>12508.99</v>
      </c>
    </row>
    <row r="10" spans="1:7" x14ac:dyDescent="0.5">
      <c r="A10" s="10">
        <v>8</v>
      </c>
      <c r="B10" s="10" t="s">
        <v>40</v>
      </c>
      <c r="C10" s="46">
        <v>787.35</v>
      </c>
      <c r="D10" s="47">
        <v>825.65</v>
      </c>
      <c r="E10" s="48">
        <f t="shared" si="0"/>
        <v>12085.62</v>
      </c>
    </row>
    <row r="11" spans="1:7" x14ac:dyDescent="0.5">
      <c r="A11" s="10">
        <v>9</v>
      </c>
      <c r="B11" s="10" t="s">
        <v>41</v>
      </c>
      <c r="C11" s="46">
        <v>3087.48</v>
      </c>
      <c r="D11" s="47">
        <v>3501.58</v>
      </c>
      <c r="E11" s="48">
        <f t="shared" si="0"/>
        <v>13070.76</v>
      </c>
    </row>
    <row r="12" spans="1:7" x14ac:dyDescent="0.5">
      <c r="A12" s="10">
        <v>10</v>
      </c>
      <c r="B12" s="10" t="s">
        <v>42</v>
      </c>
      <c r="C12" s="46">
        <v>340.43</v>
      </c>
      <c r="D12" s="47">
        <v>366.48</v>
      </c>
      <c r="E12" s="48">
        <f t="shared" si="0"/>
        <v>12406.9</v>
      </c>
    </row>
    <row r="13" spans="1:7" x14ac:dyDescent="0.5">
      <c r="A13" s="10">
        <v>11</v>
      </c>
      <c r="B13" s="10" t="s">
        <v>43</v>
      </c>
      <c r="C13" s="46">
        <v>2198.92</v>
      </c>
      <c r="D13" s="47">
        <v>2528.0700000000002</v>
      </c>
      <c r="E13" s="48">
        <f t="shared" si="0"/>
        <v>13250.14</v>
      </c>
    </row>
    <row r="14" spans="1:7" x14ac:dyDescent="0.5">
      <c r="A14" s="10">
        <v>12</v>
      </c>
      <c r="B14" s="10" t="s">
        <v>44</v>
      </c>
      <c r="C14" s="46">
        <v>644.38</v>
      </c>
      <c r="D14" s="47">
        <v>677.23</v>
      </c>
      <c r="E14" s="48">
        <f t="shared" si="0"/>
        <v>12112.54</v>
      </c>
    </row>
    <row r="15" spans="1:7" x14ac:dyDescent="0.5">
      <c r="A15" s="10">
        <v>13</v>
      </c>
      <c r="B15" s="10" t="s">
        <v>45</v>
      </c>
      <c r="C15" s="46">
        <v>248.81</v>
      </c>
      <c r="D15" s="47">
        <v>278.81</v>
      </c>
      <c r="E15" s="48">
        <f t="shared" si="0"/>
        <v>12914.61</v>
      </c>
    </row>
    <row r="16" spans="1:7" x14ac:dyDescent="0.5">
      <c r="A16" s="10">
        <v>14</v>
      </c>
      <c r="B16" s="10" t="s">
        <v>46</v>
      </c>
      <c r="C16" s="46">
        <v>2505.2600000000002</v>
      </c>
      <c r="D16" s="47">
        <v>2822.8100000000004</v>
      </c>
      <c r="E16" s="48">
        <f t="shared" si="0"/>
        <v>12985.83</v>
      </c>
    </row>
    <row r="17" spans="1:5" x14ac:dyDescent="0.5">
      <c r="A17" s="10">
        <v>15</v>
      </c>
      <c r="B17" s="10" t="s">
        <v>47</v>
      </c>
      <c r="C17" s="46">
        <v>19025.68</v>
      </c>
      <c r="D17" s="47">
        <v>26424.32</v>
      </c>
      <c r="E17" s="48">
        <f t="shared" si="0"/>
        <v>16006.8</v>
      </c>
    </row>
    <row r="18" spans="1:5" x14ac:dyDescent="0.5">
      <c r="A18" s="10">
        <v>16</v>
      </c>
      <c r="B18" s="10" t="s">
        <v>48</v>
      </c>
      <c r="C18" s="46">
        <v>157.11000000000001</v>
      </c>
      <c r="D18" s="47">
        <v>166.96</v>
      </c>
      <c r="E18" s="48">
        <f t="shared" si="0"/>
        <v>12247.56</v>
      </c>
    </row>
    <row r="19" spans="1:5" x14ac:dyDescent="0.5">
      <c r="A19" s="10">
        <v>17</v>
      </c>
      <c r="B19" s="10" t="s">
        <v>49</v>
      </c>
      <c r="C19" s="46">
        <v>7773.25</v>
      </c>
      <c r="D19" s="47">
        <v>9123.4</v>
      </c>
      <c r="E19" s="48">
        <f t="shared" si="0"/>
        <v>13526.8</v>
      </c>
    </row>
    <row r="20" spans="1:5" x14ac:dyDescent="0.5">
      <c r="A20" s="10">
        <v>18</v>
      </c>
      <c r="B20" s="10" t="s">
        <v>50</v>
      </c>
      <c r="C20" s="46">
        <v>2521.66</v>
      </c>
      <c r="D20" s="47">
        <v>2735.31</v>
      </c>
      <c r="E20" s="48">
        <f t="shared" si="0"/>
        <v>12501.47</v>
      </c>
    </row>
    <row r="21" spans="1:5" x14ac:dyDescent="0.5">
      <c r="A21" s="10">
        <v>19</v>
      </c>
      <c r="B21" s="10" t="s">
        <v>51</v>
      </c>
      <c r="C21" s="46">
        <v>1149.46</v>
      </c>
      <c r="D21" s="47">
        <v>1253.51</v>
      </c>
      <c r="E21" s="48">
        <f t="shared" si="0"/>
        <v>12568.25</v>
      </c>
    </row>
    <row r="22" spans="1:5" x14ac:dyDescent="0.5">
      <c r="A22" s="10">
        <v>20</v>
      </c>
      <c r="B22" s="10" t="s">
        <v>52</v>
      </c>
      <c r="C22" s="46">
        <v>1415.87</v>
      </c>
      <c r="D22" s="47">
        <v>1475.9699999999998</v>
      </c>
      <c r="E22" s="48">
        <f t="shared" si="0"/>
        <v>12014.21</v>
      </c>
    </row>
    <row r="23" spans="1:5" x14ac:dyDescent="0.5">
      <c r="A23" s="10">
        <v>21</v>
      </c>
      <c r="B23" s="10" t="s">
        <v>53</v>
      </c>
      <c r="C23" s="46">
        <v>96</v>
      </c>
      <c r="D23" s="47">
        <v>105.8</v>
      </c>
      <c r="E23" s="48">
        <f t="shared" si="0"/>
        <v>12701.51</v>
      </c>
    </row>
    <row r="24" spans="1:5" x14ac:dyDescent="0.5">
      <c r="A24" s="10">
        <v>22</v>
      </c>
      <c r="B24" s="10" t="s">
        <v>54</v>
      </c>
      <c r="C24" s="46">
        <v>623.36</v>
      </c>
      <c r="D24" s="47">
        <v>681.61</v>
      </c>
      <c r="E24" s="48">
        <f t="shared" si="0"/>
        <v>12601.96</v>
      </c>
    </row>
    <row r="25" spans="1:5" x14ac:dyDescent="0.5">
      <c r="A25" s="10">
        <v>23</v>
      </c>
      <c r="B25" s="10" t="s">
        <v>55</v>
      </c>
      <c r="C25" s="46">
        <v>1420.28</v>
      </c>
      <c r="D25" s="47">
        <v>1487.33</v>
      </c>
      <c r="E25" s="48">
        <f t="shared" si="0"/>
        <v>12069.08</v>
      </c>
    </row>
    <row r="26" spans="1:5" x14ac:dyDescent="0.5">
      <c r="A26" s="10">
        <v>24</v>
      </c>
      <c r="B26" s="10" t="s">
        <v>56</v>
      </c>
      <c r="C26" s="46">
        <v>247.22</v>
      </c>
      <c r="D26" s="47">
        <v>272.92</v>
      </c>
      <c r="E26" s="48">
        <f t="shared" si="0"/>
        <v>12723.09</v>
      </c>
    </row>
    <row r="27" spans="1:5" x14ac:dyDescent="0.5">
      <c r="A27" s="10">
        <v>25</v>
      </c>
      <c r="B27" s="10" t="s">
        <v>57</v>
      </c>
      <c r="C27" s="46">
        <v>4258.47</v>
      </c>
      <c r="D27" s="47">
        <v>4521.72</v>
      </c>
      <c r="E27" s="48">
        <f t="shared" si="0"/>
        <v>12237.45</v>
      </c>
    </row>
    <row r="28" spans="1:5" x14ac:dyDescent="0.5">
      <c r="A28" s="10">
        <v>26</v>
      </c>
      <c r="B28" s="10" t="s">
        <v>58</v>
      </c>
      <c r="C28" s="46">
        <v>365.35</v>
      </c>
      <c r="D28" s="47">
        <v>393.65000000000003</v>
      </c>
      <c r="E28" s="48">
        <f t="shared" si="0"/>
        <v>12417.73</v>
      </c>
    </row>
    <row r="29" spans="1:5" x14ac:dyDescent="0.5">
      <c r="A29" s="10">
        <v>27</v>
      </c>
      <c r="B29" s="10" t="s">
        <v>59</v>
      </c>
      <c r="C29" s="46">
        <v>1391.73</v>
      </c>
      <c r="D29" s="47">
        <v>1598.48</v>
      </c>
      <c r="E29" s="48">
        <f t="shared" si="0"/>
        <v>13237.11</v>
      </c>
    </row>
    <row r="30" spans="1:5" x14ac:dyDescent="0.5">
      <c r="A30" s="10">
        <v>28</v>
      </c>
      <c r="B30" s="10" t="s">
        <v>60</v>
      </c>
      <c r="C30" s="46">
        <v>2036.37</v>
      </c>
      <c r="D30" s="47">
        <v>2186.87</v>
      </c>
      <c r="E30" s="48">
        <f t="shared" si="0"/>
        <v>12376.77</v>
      </c>
    </row>
    <row r="31" spans="1:5" x14ac:dyDescent="0.5">
      <c r="A31" s="10">
        <v>29</v>
      </c>
      <c r="B31" s="10" t="s">
        <v>61</v>
      </c>
      <c r="C31" s="46">
        <v>136.78</v>
      </c>
      <c r="D31" s="47">
        <v>148.78</v>
      </c>
      <c r="E31" s="48">
        <f t="shared" si="0"/>
        <v>12536.11</v>
      </c>
    </row>
    <row r="32" spans="1:5" x14ac:dyDescent="0.5">
      <c r="A32" s="10">
        <v>30</v>
      </c>
      <c r="B32" s="10" t="s">
        <v>62</v>
      </c>
      <c r="C32" s="46">
        <v>602.35</v>
      </c>
      <c r="D32" s="47">
        <v>644.1</v>
      </c>
      <c r="E32" s="48">
        <f t="shared" si="0"/>
        <v>12323.82</v>
      </c>
    </row>
    <row r="33" spans="1:5" x14ac:dyDescent="0.5">
      <c r="A33" s="10">
        <v>31</v>
      </c>
      <c r="B33" s="10" t="s">
        <v>63</v>
      </c>
      <c r="C33" s="46">
        <v>119.62</v>
      </c>
      <c r="D33" s="47">
        <v>130.02000000000001</v>
      </c>
      <c r="E33" s="48">
        <f t="shared" si="0"/>
        <v>12527.01</v>
      </c>
    </row>
    <row r="34" spans="1:5" x14ac:dyDescent="0.5">
      <c r="A34" s="10">
        <v>32</v>
      </c>
      <c r="B34" s="10" t="s">
        <v>64</v>
      </c>
      <c r="C34" s="46">
        <v>1582.03</v>
      </c>
      <c r="D34" s="47">
        <v>1713.18</v>
      </c>
      <c r="E34" s="48">
        <f t="shared" si="0"/>
        <v>12480.42</v>
      </c>
    </row>
    <row r="35" spans="1:5" x14ac:dyDescent="0.5">
      <c r="A35" s="10">
        <v>33</v>
      </c>
      <c r="B35" s="10" t="s">
        <v>65</v>
      </c>
      <c r="C35" s="46">
        <v>1813.33</v>
      </c>
      <c r="D35" s="47">
        <v>1961.33</v>
      </c>
      <c r="E35" s="48">
        <f t="shared" si="0"/>
        <v>12465.65</v>
      </c>
    </row>
    <row r="36" spans="1:5" x14ac:dyDescent="0.5">
      <c r="A36" s="10">
        <v>34</v>
      </c>
      <c r="B36" s="10" t="s">
        <v>66</v>
      </c>
      <c r="C36" s="46">
        <v>11323.07</v>
      </c>
      <c r="D36" s="47">
        <v>14258.92</v>
      </c>
      <c r="E36" s="48">
        <f t="shared" si="0"/>
        <v>14513.21</v>
      </c>
    </row>
    <row r="37" spans="1:5" x14ac:dyDescent="0.5">
      <c r="A37" s="10">
        <v>35</v>
      </c>
      <c r="B37" s="10" t="s">
        <v>67</v>
      </c>
      <c r="C37" s="46">
        <v>4521.6099999999997</v>
      </c>
      <c r="D37" s="47">
        <v>4564.6099999999997</v>
      </c>
      <c r="E37" s="48">
        <f t="shared" si="0"/>
        <v>11634.6</v>
      </c>
    </row>
    <row r="38" spans="1:5" x14ac:dyDescent="0.5">
      <c r="A38" s="10">
        <v>36</v>
      </c>
      <c r="B38" s="10" t="s">
        <v>68</v>
      </c>
      <c r="C38" s="46">
        <v>408.38</v>
      </c>
      <c r="D38" s="47">
        <v>449.73</v>
      </c>
      <c r="E38" s="48">
        <f t="shared" si="0"/>
        <v>12691.95</v>
      </c>
    </row>
    <row r="39" spans="1:5" x14ac:dyDescent="0.5">
      <c r="A39" s="10">
        <v>37</v>
      </c>
      <c r="B39" s="10" t="s">
        <v>69</v>
      </c>
      <c r="C39" s="46">
        <v>1358.63</v>
      </c>
      <c r="D39" s="47">
        <v>1475.5300000000002</v>
      </c>
      <c r="E39" s="48">
        <f t="shared" si="0"/>
        <v>12516.64</v>
      </c>
    </row>
    <row r="40" spans="1:5" x14ac:dyDescent="0.5">
      <c r="A40" s="10">
        <v>38</v>
      </c>
      <c r="B40" s="10" t="s">
        <v>70</v>
      </c>
      <c r="C40" s="46">
        <v>853.9</v>
      </c>
      <c r="D40" s="47">
        <v>895.9</v>
      </c>
      <c r="E40" s="48">
        <f t="shared" si="0"/>
        <v>12091.87</v>
      </c>
    </row>
    <row r="41" spans="1:5" x14ac:dyDescent="0.5">
      <c r="A41" s="10">
        <v>39</v>
      </c>
      <c r="B41" s="10" t="s">
        <v>71</v>
      </c>
      <c r="C41" s="46">
        <v>195.13</v>
      </c>
      <c r="D41" s="47">
        <v>206.07999999999998</v>
      </c>
      <c r="E41" s="48">
        <f t="shared" si="0"/>
        <v>12171.74</v>
      </c>
    </row>
    <row r="42" spans="1:5" x14ac:dyDescent="0.5">
      <c r="A42" s="10">
        <v>40</v>
      </c>
      <c r="B42" s="10" t="s">
        <v>72</v>
      </c>
      <c r="C42" s="46">
        <v>860.89</v>
      </c>
      <c r="D42" s="47">
        <v>901.68999999999994</v>
      </c>
      <c r="E42" s="48">
        <f t="shared" si="0"/>
        <v>12071.2</v>
      </c>
    </row>
    <row r="43" spans="1:5" x14ac:dyDescent="0.5">
      <c r="A43" s="10">
        <v>41</v>
      </c>
      <c r="B43" s="10" t="s">
        <v>73</v>
      </c>
      <c r="C43" s="46">
        <v>938.45</v>
      </c>
      <c r="D43" s="47">
        <v>1013.6500000000001</v>
      </c>
      <c r="E43" s="48">
        <f t="shared" si="0"/>
        <v>12448.52</v>
      </c>
    </row>
    <row r="44" spans="1:5" x14ac:dyDescent="0.5">
      <c r="A44" s="10">
        <v>42</v>
      </c>
      <c r="B44" s="10" t="s">
        <v>74</v>
      </c>
      <c r="C44" s="46">
        <v>1631.48</v>
      </c>
      <c r="D44" s="47">
        <v>1761.28</v>
      </c>
      <c r="E44" s="48">
        <f t="shared" si="0"/>
        <v>12441.93</v>
      </c>
    </row>
    <row r="45" spans="1:5" x14ac:dyDescent="0.5">
      <c r="A45" s="10">
        <v>43</v>
      </c>
      <c r="B45" s="10" t="s">
        <v>75</v>
      </c>
      <c r="C45" s="46">
        <v>7633.57</v>
      </c>
      <c r="D45" s="47">
        <v>9420.1</v>
      </c>
      <c r="E45" s="48">
        <f t="shared" si="0"/>
        <v>14222.26</v>
      </c>
    </row>
    <row r="46" spans="1:5" x14ac:dyDescent="0.5">
      <c r="A46" s="10">
        <v>44</v>
      </c>
      <c r="B46" s="10" t="s">
        <v>76</v>
      </c>
      <c r="C46" s="46">
        <v>2907.79</v>
      </c>
      <c r="D46" s="47">
        <v>3532.09</v>
      </c>
      <c r="E46" s="48">
        <f t="shared" si="0"/>
        <v>13999.41</v>
      </c>
    </row>
    <row r="47" spans="1:5" x14ac:dyDescent="0.5">
      <c r="A47" s="10">
        <v>45</v>
      </c>
      <c r="B47" s="10" t="s">
        <v>77</v>
      </c>
      <c r="C47" s="46">
        <v>2322.2399999999998</v>
      </c>
      <c r="D47" s="47">
        <v>2533.0899999999997</v>
      </c>
      <c r="E47" s="48">
        <f t="shared" si="0"/>
        <v>12571.42</v>
      </c>
    </row>
    <row r="48" spans="1:5" x14ac:dyDescent="0.5">
      <c r="A48" s="10">
        <v>46</v>
      </c>
      <c r="B48" s="10" t="s">
        <v>78</v>
      </c>
      <c r="C48" s="46">
        <v>1236.5899999999999</v>
      </c>
      <c r="D48" s="47">
        <v>1282.8399999999999</v>
      </c>
      <c r="E48" s="48">
        <f t="shared" si="0"/>
        <v>11956.05</v>
      </c>
    </row>
    <row r="49" spans="1:5" x14ac:dyDescent="0.5">
      <c r="A49" s="10">
        <v>47</v>
      </c>
      <c r="B49" s="10" t="s">
        <v>79</v>
      </c>
      <c r="C49" s="46">
        <v>1042.69</v>
      </c>
      <c r="D49" s="47">
        <v>1220.54</v>
      </c>
      <c r="E49" s="48">
        <f t="shared" si="0"/>
        <v>13490.8</v>
      </c>
    </row>
    <row r="50" spans="1:5" x14ac:dyDescent="0.5">
      <c r="A50" s="10">
        <v>48</v>
      </c>
      <c r="B50" s="10" t="s">
        <v>80</v>
      </c>
      <c r="C50" s="46">
        <v>2458.6999999999998</v>
      </c>
      <c r="D50" s="47">
        <v>2621.35</v>
      </c>
      <c r="E50" s="48">
        <f t="shared" si="0"/>
        <v>12287.41</v>
      </c>
    </row>
    <row r="51" spans="1:5" x14ac:dyDescent="0.5">
      <c r="A51" s="10">
        <v>49</v>
      </c>
      <c r="B51" s="10" t="s">
        <v>81</v>
      </c>
      <c r="C51" s="46">
        <v>4745.8</v>
      </c>
      <c r="D51" s="47">
        <v>5447.7</v>
      </c>
      <c r="E51" s="48">
        <f t="shared" si="0"/>
        <v>13229.54</v>
      </c>
    </row>
    <row r="52" spans="1:5" x14ac:dyDescent="0.5">
      <c r="A52" s="10">
        <v>50</v>
      </c>
      <c r="B52" s="10" t="s">
        <v>82</v>
      </c>
      <c r="C52" s="46">
        <v>510.89</v>
      </c>
      <c r="D52" s="47">
        <v>551.43999999999994</v>
      </c>
      <c r="E52" s="48">
        <f t="shared" si="0"/>
        <v>12439.75</v>
      </c>
    </row>
    <row r="53" spans="1:5" x14ac:dyDescent="0.5">
      <c r="A53" s="10">
        <v>51</v>
      </c>
      <c r="B53" s="10" t="s">
        <v>83</v>
      </c>
      <c r="C53" s="46">
        <v>9028.4699999999993</v>
      </c>
      <c r="D53" s="47">
        <v>9577.82</v>
      </c>
      <c r="E53" s="48">
        <f t="shared" si="0"/>
        <v>12226.25</v>
      </c>
    </row>
    <row r="54" spans="1:5" x14ac:dyDescent="0.5">
      <c r="A54" s="10">
        <v>52</v>
      </c>
      <c r="B54" s="10" t="s">
        <v>84</v>
      </c>
      <c r="C54" s="46">
        <v>4042.62</v>
      </c>
      <c r="D54" s="47">
        <v>4306.62</v>
      </c>
      <c r="E54" s="48">
        <f t="shared" si="0"/>
        <v>12277.63</v>
      </c>
    </row>
    <row r="55" spans="1:5" x14ac:dyDescent="0.5">
      <c r="A55" s="10">
        <v>53</v>
      </c>
      <c r="B55" s="10" t="s">
        <v>85</v>
      </c>
      <c r="C55" s="46">
        <v>257.60000000000002</v>
      </c>
      <c r="D55" s="47">
        <v>274.35000000000002</v>
      </c>
      <c r="E55" s="48">
        <f t="shared" si="0"/>
        <v>12274.39</v>
      </c>
    </row>
    <row r="56" spans="1:5" x14ac:dyDescent="0.5">
      <c r="A56" s="10">
        <v>54</v>
      </c>
      <c r="B56" s="10" t="s">
        <v>86</v>
      </c>
      <c r="C56" s="46">
        <v>5575.22</v>
      </c>
      <c r="D56" s="47">
        <v>5873.92</v>
      </c>
      <c r="E56" s="48">
        <f t="shared" si="0"/>
        <v>12142.47</v>
      </c>
    </row>
    <row r="57" spans="1:5" x14ac:dyDescent="0.5">
      <c r="A57" s="10">
        <v>55</v>
      </c>
      <c r="B57" s="10" t="s">
        <v>87</v>
      </c>
      <c r="C57" s="46">
        <v>284.12</v>
      </c>
      <c r="D57" s="47">
        <v>306.72000000000003</v>
      </c>
      <c r="E57" s="48">
        <f t="shared" si="0"/>
        <v>12441.74</v>
      </c>
    </row>
    <row r="58" spans="1:5" x14ac:dyDescent="0.5">
      <c r="A58" s="10">
        <v>56</v>
      </c>
      <c r="B58" s="10" t="s">
        <v>88</v>
      </c>
      <c r="C58" s="46">
        <v>1657.63</v>
      </c>
      <c r="D58" s="47">
        <v>1732.2800000000002</v>
      </c>
      <c r="E58" s="48">
        <f t="shared" si="0"/>
        <v>12044.02</v>
      </c>
    </row>
    <row r="59" spans="1:5" x14ac:dyDescent="0.5">
      <c r="A59" s="10">
        <v>57</v>
      </c>
      <c r="B59" s="10" t="s">
        <v>89</v>
      </c>
      <c r="C59" s="46">
        <v>8045.07</v>
      </c>
      <c r="D59" s="47">
        <v>8617.9699999999993</v>
      </c>
      <c r="E59" s="48">
        <f t="shared" si="0"/>
        <v>12345.71</v>
      </c>
    </row>
    <row r="60" spans="1:5" x14ac:dyDescent="0.5">
      <c r="A60" s="10">
        <v>58</v>
      </c>
      <c r="B60" s="10" t="s">
        <v>90</v>
      </c>
      <c r="C60" s="46">
        <v>1588.52</v>
      </c>
      <c r="D60" s="47">
        <v>1852.82</v>
      </c>
      <c r="E60" s="48">
        <f t="shared" si="0"/>
        <v>13442.54</v>
      </c>
    </row>
    <row r="61" spans="1:5" x14ac:dyDescent="0.5">
      <c r="A61" s="10">
        <v>59</v>
      </c>
      <c r="B61" s="10" t="s">
        <v>91</v>
      </c>
      <c r="C61" s="46">
        <v>4144.78</v>
      </c>
      <c r="D61" s="47">
        <v>4790.33</v>
      </c>
      <c r="E61" s="48">
        <f t="shared" si="0"/>
        <v>13320.02</v>
      </c>
    </row>
    <row r="62" spans="1:5" x14ac:dyDescent="0.5">
      <c r="A62" s="10">
        <v>60</v>
      </c>
      <c r="B62" s="10" t="s">
        <v>92</v>
      </c>
      <c r="C62" s="46">
        <v>2977.97</v>
      </c>
      <c r="D62" s="47">
        <v>3105.87</v>
      </c>
      <c r="E62" s="48">
        <f t="shared" si="0"/>
        <v>12019.98</v>
      </c>
    </row>
    <row r="63" spans="1:5" x14ac:dyDescent="0.5">
      <c r="A63" s="10">
        <v>61</v>
      </c>
      <c r="B63" s="10" t="s">
        <v>93</v>
      </c>
      <c r="C63" s="46">
        <v>1016.28</v>
      </c>
      <c r="D63" s="47">
        <v>1067.18</v>
      </c>
      <c r="E63" s="48">
        <f t="shared" si="0"/>
        <v>12102.23</v>
      </c>
    </row>
    <row r="64" spans="1:5" x14ac:dyDescent="0.5">
      <c r="A64" s="10">
        <v>62</v>
      </c>
      <c r="B64" s="10" t="s">
        <v>94</v>
      </c>
      <c r="C64" s="46">
        <v>6213.36</v>
      </c>
      <c r="D64" s="47">
        <v>7260.0099999999993</v>
      </c>
      <c r="E64" s="48">
        <f t="shared" si="0"/>
        <v>13466.4</v>
      </c>
    </row>
    <row r="65" spans="1:5" x14ac:dyDescent="0.5">
      <c r="A65" s="10">
        <v>63</v>
      </c>
      <c r="B65" s="10" t="s">
        <v>95</v>
      </c>
      <c r="C65" s="46">
        <v>107.61</v>
      </c>
      <c r="D65" s="47">
        <v>120.51</v>
      </c>
      <c r="E65" s="48">
        <f t="shared" si="0"/>
        <v>12906.59</v>
      </c>
    </row>
    <row r="66" spans="1:5" x14ac:dyDescent="0.5">
      <c r="A66" s="10">
        <v>64</v>
      </c>
      <c r="B66" s="10" t="s">
        <v>96</v>
      </c>
      <c r="C66" s="46">
        <v>17866.740000000002</v>
      </c>
      <c r="D66" s="47">
        <v>24299.18</v>
      </c>
      <c r="E66" s="48">
        <f t="shared" si="0"/>
        <v>15674.27</v>
      </c>
    </row>
    <row r="67" spans="1:5" x14ac:dyDescent="0.5">
      <c r="A67" s="10">
        <v>65</v>
      </c>
      <c r="B67" s="10" t="s">
        <v>97</v>
      </c>
      <c r="C67" s="46">
        <v>173.33</v>
      </c>
      <c r="D67" s="47">
        <v>182.63000000000002</v>
      </c>
      <c r="E67" s="48">
        <f t="shared" si="0"/>
        <v>12143.37</v>
      </c>
    </row>
    <row r="68" spans="1:5" x14ac:dyDescent="0.5">
      <c r="A68" s="10">
        <v>66</v>
      </c>
      <c r="B68" s="10" t="s">
        <v>98</v>
      </c>
      <c r="C68" s="46">
        <v>673.44</v>
      </c>
      <c r="D68" s="47">
        <v>725.84</v>
      </c>
      <c r="E68" s="48">
        <f t="shared" ref="E68:E131" si="1">ROUND($G$2*D68/C68,2)</f>
        <v>12421.75</v>
      </c>
    </row>
    <row r="69" spans="1:5" x14ac:dyDescent="0.5">
      <c r="A69" s="10">
        <v>67</v>
      </c>
      <c r="B69" s="10" t="s">
        <v>99</v>
      </c>
      <c r="C69" s="46">
        <v>1191.05</v>
      </c>
      <c r="D69" s="47">
        <v>1256.7</v>
      </c>
      <c r="E69" s="48">
        <f t="shared" si="1"/>
        <v>12160.25</v>
      </c>
    </row>
    <row r="70" spans="1:5" x14ac:dyDescent="0.5">
      <c r="A70" s="10">
        <v>68</v>
      </c>
      <c r="B70" s="10" t="s">
        <v>100</v>
      </c>
      <c r="C70" s="46">
        <v>195.49</v>
      </c>
      <c r="D70" s="47">
        <v>214.59</v>
      </c>
      <c r="E70" s="48">
        <f t="shared" si="1"/>
        <v>12651.03</v>
      </c>
    </row>
    <row r="71" spans="1:5" x14ac:dyDescent="0.5">
      <c r="A71" s="10">
        <v>69</v>
      </c>
      <c r="B71" s="10" t="s">
        <v>101</v>
      </c>
      <c r="C71" s="46">
        <v>1966.16</v>
      </c>
      <c r="D71" s="47">
        <v>2264.61</v>
      </c>
      <c r="E71" s="48">
        <f t="shared" si="1"/>
        <v>13274.42</v>
      </c>
    </row>
    <row r="72" spans="1:5" x14ac:dyDescent="0.5">
      <c r="A72" s="10">
        <v>70</v>
      </c>
      <c r="B72" s="10" t="s">
        <v>102</v>
      </c>
      <c r="C72" s="46">
        <v>668.26</v>
      </c>
      <c r="D72" s="47">
        <v>698.91</v>
      </c>
      <c r="E72" s="48">
        <f t="shared" si="1"/>
        <v>12053.6</v>
      </c>
    </row>
    <row r="73" spans="1:5" x14ac:dyDescent="0.5">
      <c r="A73" s="10">
        <v>71</v>
      </c>
      <c r="B73" s="10" t="s">
        <v>103</v>
      </c>
      <c r="C73" s="46">
        <v>796.01</v>
      </c>
      <c r="D73" s="47">
        <v>860.26</v>
      </c>
      <c r="E73" s="48">
        <f t="shared" si="1"/>
        <v>12455.24</v>
      </c>
    </row>
    <row r="74" spans="1:5" x14ac:dyDescent="0.5">
      <c r="A74" s="10">
        <v>72</v>
      </c>
      <c r="B74" s="10" t="s">
        <v>104</v>
      </c>
      <c r="C74" s="46">
        <v>2247.0100000000002</v>
      </c>
      <c r="D74" s="47">
        <v>2429.11</v>
      </c>
      <c r="E74" s="48">
        <f t="shared" si="1"/>
        <v>12459</v>
      </c>
    </row>
    <row r="75" spans="1:5" x14ac:dyDescent="0.5">
      <c r="A75" s="10">
        <v>73</v>
      </c>
      <c r="B75" s="10" t="s">
        <v>105</v>
      </c>
      <c r="C75" s="46">
        <v>540.39</v>
      </c>
      <c r="D75" s="47">
        <v>600.09</v>
      </c>
      <c r="E75" s="48">
        <f t="shared" si="1"/>
        <v>12798.23</v>
      </c>
    </row>
    <row r="76" spans="1:5" x14ac:dyDescent="0.5">
      <c r="A76" s="10">
        <v>74</v>
      </c>
      <c r="B76" s="10" t="s">
        <v>106</v>
      </c>
      <c r="C76" s="46">
        <v>789.12</v>
      </c>
      <c r="D76" s="47">
        <v>851.87</v>
      </c>
      <c r="E76" s="48">
        <f t="shared" si="1"/>
        <v>12441.46</v>
      </c>
    </row>
    <row r="77" spans="1:5" x14ac:dyDescent="0.5">
      <c r="A77" s="10">
        <v>75</v>
      </c>
      <c r="B77" s="10" t="s">
        <v>107</v>
      </c>
      <c r="C77" s="46">
        <v>212.55</v>
      </c>
      <c r="D77" s="47">
        <v>222.65</v>
      </c>
      <c r="E77" s="48">
        <f t="shared" si="1"/>
        <v>12072.65</v>
      </c>
    </row>
    <row r="78" spans="1:5" x14ac:dyDescent="0.5">
      <c r="A78" s="10">
        <v>76</v>
      </c>
      <c r="B78" s="10" t="s">
        <v>108</v>
      </c>
      <c r="C78" s="46">
        <v>2460.91</v>
      </c>
      <c r="D78" s="47">
        <v>2503.66</v>
      </c>
      <c r="E78" s="48">
        <f t="shared" si="1"/>
        <v>11725.21</v>
      </c>
    </row>
    <row r="79" spans="1:5" x14ac:dyDescent="0.5">
      <c r="A79" s="10">
        <v>77</v>
      </c>
      <c r="B79" s="10" t="s">
        <v>109</v>
      </c>
      <c r="C79" s="46">
        <v>7186.58</v>
      </c>
      <c r="D79" s="47">
        <v>8678.5399999999991</v>
      </c>
      <c r="E79" s="48">
        <f t="shared" si="1"/>
        <v>13917.63</v>
      </c>
    </row>
    <row r="80" spans="1:5" x14ac:dyDescent="0.5">
      <c r="A80" s="10">
        <v>78</v>
      </c>
      <c r="B80" s="10" t="s">
        <v>110</v>
      </c>
      <c r="C80" s="46">
        <v>1432.21</v>
      </c>
      <c r="D80" s="47">
        <v>1587.51</v>
      </c>
      <c r="E80" s="48">
        <f t="shared" si="1"/>
        <v>12774.7</v>
      </c>
    </row>
    <row r="81" spans="1:5" x14ac:dyDescent="0.5">
      <c r="A81" s="10">
        <v>79</v>
      </c>
      <c r="B81" s="10" t="s">
        <v>111</v>
      </c>
      <c r="C81" s="46">
        <v>818.2</v>
      </c>
      <c r="D81" s="47">
        <v>868.35</v>
      </c>
      <c r="E81" s="48">
        <f t="shared" si="1"/>
        <v>12231.4</v>
      </c>
    </row>
    <row r="82" spans="1:5" x14ac:dyDescent="0.5">
      <c r="A82" s="10">
        <v>80</v>
      </c>
      <c r="B82" s="10" t="s">
        <v>112</v>
      </c>
      <c r="C82" s="46">
        <v>8638.89</v>
      </c>
      <c r="D82" s="47">
        <v>11302.39</v>
      </c>
      <c r="E82" s="48">
        <f t="shared" si="1"/>
        <v>15078.33</v>
      </c>
    </row>
    <row r="83" spans="1:5" x14ac:dyDescent="0.5">
      <c r="A83" s="10">
        <v>81</v>
      </c>
      <c r="B83" s="10" t="s">
        <v>113</v>
      </c>
      <c r="C83" s="46">
        <v>1124.33</v>
      </c>
      <c r="D83" s="47">
        <v>1182.78</v>
      </c>
      <c r="E83" s="48">
        <f t="shared" si="1"/>
        <v>12124.14</v>
      </c>
    </row>
    <row r="84" spans="1:5" x14ac:dyDescent="0.5">
      <c r="A84" s="10">
        <v>82</v>
      </c>
      <c r="B84" s="10" t="s">
        <v>114</v>
      </c>
      <c r="C84" s="46">
        <v>444.94</v>
      </c>
      <c r="D84" s="47">
        <v>472.59</v>
      </c>
      <c r="E84" s="48">
        <f t="shared" si="1"/>
        <v>12241.2</v>
      </c>
    </row>
    <row r="85" spans="1:5" x14ac:dyDescent="0.5">
      <c r="A85" s="10">
        <v>83</v>
      </c>
      <c r="B85" s="10" t="s">
        <v>115</v>
      </c>
      <c r="C85" s="46">
        <v>4435.8100000000004</v>
      </c>
      <c r="D85" s="47">
        <v>5140.71</v>
      </c>
      <c r="E85" s="48">
        <f t="shared" si="1"/>
        <v>13356.45</v>
      </c>
    </row>
    <row r="86" spans="1:5" x14ac:dyDescent="0.5">
      <c r="A86" s="10">
        <v>84</v>
      </c>
      <c r="B86" s="10" t="s">
        <v>116</v>
      </c>
      <c r="C86" s="46">
        <v>5164.92</v>
      </c>
      <c r="D86" s="47">
        <v>5659.52</v>
      </c>
      <c r="E86" s="48">
        <f t="shared" si="1"/>
        <v>12628.65</v>
      </c>
    </row>
    <row r="87" spans="1:5" x14ac:dyDescent="0.5">
      <c r="A87" s="10">
        <v>85</v>
      </c>
      <c r="B87" s="10" t="s">
        <v>117</v>
      </c>
      <c r="C87" s="46">
        <v>3429.72</v>
      </c>
      <c r="D87" s="47">
        <v>3593.47</v>
      </c>
      <c r="E87" s="48">
        <f t="shared" si="1"/>
        <v>12075.25</v>
      </c>
    </row>
    <row r="88" spans="1:5" x14ac:dyDescent="0.5">
      <c r="A88" s="10">
        <v>86</v>
      </c>
      <c r="B88" s="10" t="s">
        <v>118</v>
      </c>
      <c r="C88" s="46">
        <v>2075.59</v>
      </c>
      <c r="D88" s="47">
        <v>2380.3900000000003</v>
      </c>
      <c r="E88" s="48">
        <f t="shared" si="1"/>
        <v>13217.44</v>
      </c>
    </row>
    <row r="89" spans="1:5" x14ac:dyDescent="0.5">
      <c r="A89" s="10">
        <v>87</v>
      </c>
      <c r="B89" s="10" t="s">
        <v>119</v>
      </c>
      <c r="C89" s="46">
        <v>218.86</v>
      </c>
      <c r="D89" s="47">
        <v>241.76000000000002</v>
      </c>
      <c r="E89" s="48">
        <f t="shared" si="1"/>
        <v>12730.9</v>
      </c>
    </row>
    <row r="90" spans="1:5" x14ac:dyDescent="0.5">
      <c r="A90" s="10">
        <v>88</v>
      </c>
      <c r="B90" s="10" t="s">
        <v>120</v>
      </c>
      <c r="C90" s="46">
        <v>4422.62</v>
      </c>
      <c r="D90" s="47">
        <v>5232.82</v>
      </c>
      <c r="E90" s="48">
        <f t="shared" si="1"/>
        <v>13636.32</v>
      </c>
    </row>
    <row r="91" spans="1:5" x14ac:dyDescent="0.5">
      <c r="A91" s="10">
        <v>89</v>
      </c>
      <c r="B91" s="10" t="s">
        <v>121</v>
      </c>
      <c r="C91" s="46">
        <v>11158.55</v>
      </c>
      <c r="D91" s="47">
        <v>14412.029999999999</v>
      </c>
      <c r="E91" s="48">
        <f t="shared" si="1"/>
        <v>14885.33</v>
      </c>
    </row>
    <row r="92" spans="1:5" x14ac:dyDescent="0.5">
      <c r="A92" s="10">
        <v>90</v>
      </c>
      <c r="B92" s="10" t="s">
        <v>122</v>
      </c>
      <c r="C92" s="46">
        <v>4065.42</v>
      </c>
      <c r="D92" s="47">
        <v>4071.92</v>
      </c>
      <c r="E92" s="48">
        <f t="shared" si="1"/>
        <v>11543.43</v>
      </c>
    </row>
    <row r="93" spans="1:5" x14ac:dyDescent="0.5">
      <c r="A93" s="10">
        <v>91</v>
      </c>
      <c r="B93" s="10" t="s">
        <v>123</v>
      </c>
      <c r="C93" s="46">
        <v>2041.28</v>
      </c>
      <c r="D93" s="47">
        <v>2186.73</v>
      </c>
      <c r="E93" s="48">
        <f t="shared" si="1"/>
        <v>12346.21</v>
      </c>
    </row>
    <row r="94" spans="1:5" x14ac:dyDescent="0.5">
      <c r="A94" s="10">
        <v>92</v>
      </c>
      <c r="B94" s="10" t="s">
        <v>124</v>
      </c>
      <c r="C94" s="46">
        <v>786.04</v>
      </c>
      <c r="D94" s="47">
        <v>839.39</v>
      </c>
      <c r="E94" s="48">
        <f t="shared" si="1"/>
        <v>12307.22</v>
      </c>
    </row>
    <row r="95" spans="1:5" x14ac:dyDescent="0.5">
      <c r="A95" s="10">
        <v>93</v>
      </c>
      <c r="B95" s="10" t="s">
        <v>125</v>
      </c>
      <c r="C95" s="46">
        <v>16097.48</v>
      </c>
      <c r="D95" s="47">
        <v>21295.41</v>
      </c>
      <c r="E95" s="48">
        <f t="shared" si="1"/>
        <v>15246.46</v>
      </c>
    </row>
    <row r="96" spans="1:5" x14ac:dyDescent="0.5">
      <c r="A96" s="10">
        <v>94</v>
      </c>
      <c r="B96" s="10" t="s">
        <v>126</v>
      </c>
      <c r="C96" s="46">
        <v>3819.19</v>
      </c>
      <c r="D96" s="47">
        <v>4311.84</v>
      </c>
      <c r="E96" s="48">
        <f t="shared" si="1"/>
        <v>13011.65</v>
      </c>
    </row>
    <row r="97" spans="1:5" x14ac:dyDescent="0.5">
      <c r="A97" s="10">
        <v>95</v>
      </c>
      <c r="B97" s="10" t="s">
        <v>127</v>
      </c>
      <c r="C97" s="46">
        <v>3031.8</v>
      </c>
      <c r="D97" s="47">
        <v>4165.3900000000003</v>
      </c>
      <c r="E97" s="48">
        <f t="shared" si="1"/>
        <v>15834.2</v>
      </c>
    </row>
    <row r="98" spans="1:5" x14ac:dyDescent="0.5">
      <c r="A98" s="10">
        <v>96</v>
      </c>
      <c r="B98" s="10" t="s">
        <v>128</v>
      </c>
      <c r="C98" s="46">
        <v>3437.08</v>
      </c>
      <c r="D98" s="47">
        <v>3900.43</v>
      </c>
      <c r="E98" s="48">
        <f t="shared" si="1"/>
        <v>13078.68</v>
      </c>
    </row>
    <row r="99" spans="1:5" x14ac:dyDescent="0.5">
      <c r="A99" s="10">
        <v>97</v>
      </c>
      <c r="B99" s="10" t="s">
        <v>129</v>
      </c>
      <c r="C99" s="46">
        <v>3882.31</v>
      </c>
      <c r="D99" s="47">
        <v>4080.0099999999998</v>
      </c>
      <c r="E99" s="48">
        <f t="shared" si="1"/>
        <v>12111.89</v>
      </c>
    </row>
    <row r="100" spans="1:5" x14ac:dyDescent="0.5">
      <c r="A100" s="10">
        <v>98</v>
      </c>
      <c r="B100" s="10" t="s">
        <v>130</v>
      </c>
      <c r="C100" s="46">
        <v>113.82</v>
      </c>
      <c r="D100" s="47">
        <v>126.16999999999999</v>
      </c>
      <c r="E100" s="48">
        <f t="shared" si="1"/>
        <v>12775.52</v>
      </c>
    </row>
    <row r="101" spans="1:5" x14ac:dyDescent="0.5">
      <c r="A101" s="10">
        <v>99</v>
      </c>
      <c r="B101" s="10" t="s">
        <v>131</v>
      </c>
      <c r="C101" s="46">
        <v>1575.09</v>
      </c>
      <c r="D101" s="47">
        <v>1687.84</v>
      </c>
      <c r="E101" s="48">
        <f t="shared" si="1"/>
        <v>12350</v>
      </c>
    </row>
    <row r="102" spans="1:5" x14ac:dyDescent="0.5">
      <c r="A102" s="10">
        <v>100</v>
      </c>
      <c r="B102" s="10" t="s">
        <v>132</v>
      </c>
      <c r="C102" s="46">
        <v>331.81</v>
      </c>
      <c r="D102" s="47">
        <v>378.86</v>
      </c>
      <c r="E102" s="48">
        <f t="shared" si="1"/>
        <v>13159.22</v>
      </c>
    </row>
    <row r="103" spans="1:5" x14ac:dyDescent="0.5">
      <c r="A103" s="10">
        <v>101</v>
      </c>
      <c r="B103" s="10" t="s">
        <v>133</v>
      </c>
      <c r="C103" s="46">
        <v>3175.32</v>
      </c>
      <c r="D103" s="47">
        <v>3437.3700000000003</v>
      </c>
      <c r="E103" s="48">
        <f t="shared" si="1"/>
        <v>12476.13</v>
      </c>
    </row>
    <row r="104" spans="1:5" x14ac:dyDescent="0.5">
      <c r="A104" s="10">
        <v>102</v>
      </c>
      <c r="B104" s="10" t="s">
        <v>134</v>
      </c>
      <c r="C104" s="46">
        <v>712.09</v>
      </c>
      <c r="D104" s="47">
        <v>749.19</v>
      </c>
      <c r="E104" s="48">
        <f t="shared" si="1"/>
        <v>12125.45</v>
      </c>
    </row>
    <row r="105" spans="1:5" x14ac:dyDescent="0.5">
      <c r="A105" s="10">
        <v>103</v>
      </c>
      <c r="B105" s="10" t="s">
        <v>135</v>
      </c>
      <c r="C105" s="46">
        <v>11552.81</v>
      </c>
      <c r="D105" s="47">
        <v>14061.71</v>
      </c>
      <c r="E105" s="48">
        <f t="shared" si="1"/>
        <v>14027.86</v>
      </c>
    </row>
    <row r="106" spans="1:5" x14ac:dyDescent="0.5">
      <c r="A106" s="10">
        <v>104</v>
      </c>
      <c r="B106" s="10" t="s">
        <v>136</v>
      </c>
      <c r="C106" s="46">
        <v>4832.57</v>
      </c>
      <c r="D106" s="47">
        <v>6342.84</v>
      </c>
      <c r="E106" s="48">
        <f t="shared" si="1"/>
        <v>15126.78</v>
      </c>
    </row>
    <row r="107" spans="1:5" x14ac:dyDescent="0.5">
      <c r="A107" s="10">
        <v>105</v>
      </c>
      <c r="B107" s="10" t="s">
        <v>137</v>
      </c>
      <c r="C107" s="46">
        <v>1046.6300000000001</v>
      </c>
      <c r="D107" s="47">
        <v>1097.0800000000002</v>
      </c>
      <c r="E107" s="48">
        <f t="shared" si="1"/>
        <v>12080.53</v>
      </c>
    </row>
    <row r="108" spans="1:5" x14ac:dyDescent="0.5">
      <c r="A108" s="10">
        <v>106</v>
      </c>
      <c r="B108" s="10" t="s">
        <v>138</v>
      </c>
      <c r="C108" s="46">
        <v>1007</v>
      </c>
      <c r="D108" s="47">
        <v>1102</v>
      </c>
      <c r="E108" s="48">
        <f t="shared" si="1"/>
        <v>12612.26</v>
      </c>
    </row>
    <row r="109" spans="1:5" x14ac:dyDescent="0.5">
      <c r="A109" s="10">
        <v>107</v>
      </c>
      <c r="B109" s="10" t="s">
        <v>139</v>
      </c>
      <c r="C109" s="46">
        <v>2245.58</v>
      </c>
      <c r="D109" s="47">
        <v>2368.63</v>
      </c>
      <c r="E109" s="48">
        <f t="shared" si="1"/>
        <v>12156.53</v>
      </c>
    </row>
    <row r="110" spans="1:5" x14ac:dyDescent="0.5">
      <c r="A110" s="10">
        <v>108</v>
      </c>
      <c r="B110" s="10" t="s">
        <v>140</v>
      </c>
      <c r="C110" s="46">
        <v>1661.1</v>
      </c>
      <c r="D110" s="47">
        <v>1758.05</v>
      </c>
      <c r="E110" s="48">
        <f t="shared" si="1"/>
        <v>12197.66</v>
      </c>
    </row>
    <row r="111" spans="1:5" x14ac:dyDescent="0.5">
      <c r="A111" s="10">
        <v>109</v>
      </c>
      <c r="B111" s="10" t="s">
        <v>141</v>
      </c>
      <c r="C111" s="46">
        <v>1764.97</v>
      </c>
      <c r="D111" s="47">
        <v>2063.27</v>
      </c>
      <c r="E111" s="48">
        <f t="shared" si="1"/>
        <v>13472.86</v>
      </c>
    </row>
    <row r="112" spans="1:5" x14ac:dyDescent="0.5">
      <c r="A112" s="10">
        <v>110</v>
      </c>
      <c r="B112" s="10" t="s">
        <v>142</v>
      </c>
      <c r="C112" s="46">
        <v>2156.2800000000002</v>
      </c>
      <c r="D112" s="47">
        <v>2452.3300000000004</v>
      </c>
      <c r="E112" s="48">
        <f t="shared" si="1"/>
        <v>13107.34</v>
      </c>
    </row>
    <row r="113" spans="1:5" x14ac:dyDescent="0.5">
      <c r="A113" s="10">
        <v>111</v>
      </c>
      <c r="B113" s="10" t="s">
        <v>143</v>
      </c>
      <c r="C113" s="46">
        <v>1345.07</v>
      </c>
      <c r="D113" s="47">
        <v>1541.97</v>
      </c>
      <c r="E113" s="48">
        <f t="shared" si="1"/>
        <v>13212.1</v>
      </c>
    </row>
    <row r="114" spans="1:5" x14ac:dyDescent="0.5">
      <c r="A114" s="10">
        <v>112</v>
      </c>
      <c r="B114" s="10" t="s">
        <v>144</v>
      </c>
      <c r="C114" s="46">
        <v>500.38</v>
      </c>
      <c r="D114" s="47">
        <v>532.08000000000004</v>
      </c>
      <c r="E114" s="48">
        <f t="shared" si="1"/>
        <v>12255.13</v>
      </c>
    </row>
    <row r="115" spans="1:5" x14ac:dyDescent="0.5">
      <c r="A115" s="10">
        <v>113</v>
      </c>
      <c r="B115" s="10" t="s">
        <v>145</v>
      </c>
      <c r="C115" s="46">
        <v>1238.29</v>
      </c>
      <c r="D115" s="47">
        <v>1351.69</v>
      </c>
      <c r="E115" s="48">
        <f t="shared" si="1"/>
        <v>12580.44</v>
      </c>
    </row>
    <row r="116" spans="1:5" x14ac:dyDescent="0.5">
      <c r="A116" s="10">
        <v>114</v>
      </c>
      <c r="B116" s="10" t="s">
        <v>146</v>
      </c>
      <c r="C116" s="46">
        <v>590.16999999999996</v>
      </c>
      <c r="D116" s="47">
        <v>645.66999999999996</v>
      </c>
      <c r="E116" s="48">
        <f t="shared" si="1"/>
        <v>12608.82</v>
      </c>
    </row>
    <row r="117" spans="1:5" x14ac:dyDescent="0.5">
      <c r="A117" s="10">
        <v>115</v>
      </c>
      <c r="B117" s="10" t="s">
        <v>147</v>
      </c>
      <c r="C117" s="46">
        <v>1262.6199999999999</v>
      </c>
      <c r="D117" s="47">
        <v>1347.82</v>
      </c>
      <c r="E117" s="48">
        <f t="shared" si="1"/>
        <v>12302.69</v>
      </c>
    </row>
    <row r="118" spans="1:5" x14ac:dyDescent="0.5">
      <c r="A118" s="10">
        <v>116</v>
      </c>
      <c r="B118" s="10" t="s">
        <v>148</v>
      </c>
      <c r="C118" s="46">
        <v>1112.3599999999999</v>
      </c>
      <c r="D118" s="47">
        <v>1307.4099999999999</v>
      </c>
      <c r="E118" s="48">
        <f t="shared" si="1"/>
        <v>13545.88</v>
      </c>
    </row>
    <row r="119" spans="1:5" x14ac:dyDescent="0.5">
      <c r="A119" s="10">
        <v>117</v>
      </c>
      <c r="B119" s="10" t="s">
        <v>149</v>
      </c>
      <c r="C119" s="46">
        <v>1195.25</v>
      </c>
      <c r="D119" s="47">
        <v>1233.75</v>
      </c>
      <c r="E119" s="48">
        <f t="shared" si="1"/>
        <v>11896.23</v>
      </c>
    </row>
    <row r="120" spans="1:5" x14ac:dyDescent="0.5">
      <c r="A120" s="10">
        <v>118</v>
      </c>
      <c r="B120" s="10" t="s">
        <v>150</v>
      </c>
      <c r="C120" s="46">
        <v>4377.33</v>
      </c>
      <c r="D120" s="47">
        <v>4496.7299999999996</v>
      </c>
      <c r="E120" s="48">
        <f t="shared" si="1"/>
        <v>11839.37</v>
      </c>
    </row>
    <row r="121" spans="1:5" x14ac:dyDescent="0.5">
      <c r="A121" s="10">
        <v>119</v>
      </c>
      <c r="B121" s="10" t="s">
        <v>151</v>
      </c>
      <c r="C121" s="46">
        <v>2666.42</v>
      </c>
      <c r="D121" s="47">
        <v>2918.67</v>
      </c>
      <c r="E121" s="48">
        <f t="shared" si="1"/>
        <v>12615.29</v>
      </c>
    </row>
    <row r="122" spans="1:5" x14ac:dyDescent="0.5">
      <c r="A122" s="10">
        <v>120</v>
      </c>
      <c r="B122" s="10" t="s">
        <v>152</v>
      </c>
      <c r="C122" s="46">
        <v>176.44</v>
      </c>
      <c r="D122" s="47">
        <v>185.24</v>
      </c>
      <c r="E122" s="48">
        <f t="shared" si="1"/>
        <v>12099.81</v>
      </c>
    </row>
    <row r="123" spans="1:5" x14ac:dyDescent="0.5">
      <c r="A123" s="10">
        <v>121</v>
      </c>
      <c r="B123" s="10" t="s">
        <v>153</v>
      </c>
      <c r="C123" s="46">
        <v>566.79999999999995</v>
      </c>
      <c r="D123" s="47">
        <v>608.65</v>
      </c>
      <c r="E123" s="48">
        <f t="shared" si="1"/>
        <v>12375.95</v>
      </c>
    </row>
    <row r="124" spans="1:5" x14ac:dyDescent="0.5">
      <c r="A124" s="10">
        <v>122</v>
      </c>
      <c r="B124" s="10" t="s">
        <v>154</v>
      </c>
      <c r="C124" s="46">
        <v>320.64</v>
      </c>
      <c r="D124" s="47">
        <v>345.94</v>
      </c>
      <c r="E124" s="48">
        <f t="shared" si="1"/>
        <v>12434.38</v>
      </c>
    </row>
    <row r="125" spans="1:5" x14ac:dyDescent="0.5">
      <c r="A125" s="10">
        <v>123</v>
      </c>
      <c r="B125" s="10" t="s">
        <v>155</v>
      </c>
      <c r="C125" s="46">
        <v>131.72</v>
      </c>
      <c r="D125" s="47">
        <v>147.47</v>
      </c>
      <c r="E125" s="48">
        <f t="shared" si="1"/>
        <v>12903.07</v>
      </c>
    </row>
    <row r="126" spans="1:5" x14ac:dyDescent="0.5">
      <c r="A126" s="10">
        <v>124</v>
      </c>
      <c r="B126" s="10" t="s">
        <v>156</v>
      </c>
      <c r="C126" s="46">
        <v>2106.61</v>
      </c>
      <c r="D126" s="47">
        <v>2452.61</v>
      </c>
      <c r="E126" s="48">
        <f t="shared" si="1"/>
        <v>13417.92</v>
      </c>
    </row>
    <row r="127" spans="1:5" x14ac:dyDescent="0.5">
      <c r="A127" s="10">
        <v>125</v>
      </c>
      <c r="B127" s="10" t="s">
        <v>157</v>
      </c>
      <c r="C127" s="46">
        <v>113.44</v>
      </c>
      <c r="D127" s="47">
        <v>128.59</v>
      </c>
      <c r="E127" s="48">
        <f t="shared" si="1"/>
        <v>13064.17</v>
      </c>
    </row>
    <row r="128" spans="1:5" x14ac:dyDescent="0.5">
      <c r="A128" s="10">
        <v>126</v>
      </c>
      <c r="B128" s="10" t="s">
        <v>158</v>
      </c>
      <c r="C128" s="46">
        <v>4555.51</v>
      </c>
      <c r="D128" s="47">
        <v>5130.71</v>
      </c>
      <c r="E128" s="48">
        <f t="shared" si="1"/>
        <v>12980.2</v>
      </c>
    </row>
    <row r="129" spans="1:5" x14ac:dyDescent="0.5">
      <c r="A129" s="10">
        <v>127</v>
      </c>
      <c r="B129" s="10" t="s">
        <v>159</v>
      </c>
      <c r="C129" s="46">
        <v>330.76</v>
      </c>
      <c r="D129" s="47">
        <v>338.51</v>
      </c>
      <c r="E129" s="48">
        <f t="shared" si="1"/>
        <v>11795.04</v>
      </c>
    </row>
    <row r="130" spans="1:5" x14ac:dyDescent="0.5">
      <c r="A130" s="10">
        <v>128</v>
      </c>
      <c r="B130" s="10" t="s">
        <v>160</v>
      </c>
      <c r="C130" s="46">
        <v>4016.75</v>
      </c>
      <c r="D130" s="47">
        <v>4206.3999999999996</v>
      </c>
      <c r="E130" s="48">
        <f t="shared" si="1"/>
        <v>12069.15</v>
      </c>
    </row>
    <row r="131" spans="1:5" x14ac:dyDescent="0.5">
      <c r="A131" s="10">
        <v>129</v>
      </c>
      <c r="B131" s="10" t="s">
        <v>161</v>
      </c>
      <c r="C131" s="46">
        <v>1285.21</v>
      </c>
      <c r="D131" s="47">
        <v>1319.26</v>
      </c>
      <c r="E131" s="48">
        <f t="shared" si="1"/>
        <v>11830.34</v>
      </c>
    </row>
    <row r="132" spans="1:5" x14ac:dyDescent="0.5">
      <c r="A132" s="10">
        <v>130</v>
      </c>
      <c r="B132" s="10" t="s">
        <v>162</v>
      </c>
      <c r="C132" s="46">
        <v>2286.14</v>
      </c>
      <c r="D132" s="47">
        <v>2390.14</v>
      </c>
      <c r="E132" s="48">
        <f t="shared" ref="E132:E171" si="2">ROUND($G$2*D132/C132,2)</f>
        <v>12049.29</v>
      </c>
    </row>
    <row r="133" spans="1:5" x14ac:dyDescent="0.5">
      <c r="A133" s="10">
        <v>131</v>
      </c>
      <c r="B133" s="10" t="s">
        <v>163</v>
      </c>
      <c r="C133" s="46">
        <v>5959.07</v>
      </c>
      <c r="D133" s="47">
        <v>6488.62</v>
      </c>
      <c r="E133" s="48">
        <f t="shared" si="2"/>
        <v>12549.16</v>
      </c>
    </row>
    <row r="134" spans="1:5" x14ac:dyDescent="0.5">
      <c r="A134" s="10">
        <v>132</v>
      </c>
      <c r="B134" s="10" t="s">
        <v>164</v>
      </c>
      <c r="C134" s="46">
        <v>5202.7700000000004</v>
      </c>
      <c r="D134" s="47">
        <v>5583.1200000000008</v>
      </c>
      <c r="E134" s="48">
        <f t="shared" si="2"/>
        <v>12367.54</v>
      </c>
    </row>
    <row r="135" spans="1:5" x14ac:dyDescent="0.5">
      <c r="A135" s="10">
        <v>133</v>
      </c>
      <c r="B135" s="10" t="s">
        <v>165</v>
      </c>
      <c r="C135" s="46">
        <v>382.91</v>
      </c>
      <c r="D135" s="47">
        <v>449.11</v>
      </c>
      <c r="E135" s="48">
        <f t="shared" si="2"/>
        <v>13517.52</v>
      </c>
    </row>
    <row r="136" spans="1:5" x14ac:dyDescent="0.5">
      <c r="A136" s="10">
        <v>134</v>
      </c>
      <c r="B136" s="10" t="s">
        <v>166</v>
      </c>
      <c r="C136" s="46">
        <v>1273.45</v>
      </c>
      <c r="D136" s="47">
        <v>1410.8</v>
      </c>
      <c r="E136" s="48">
        <f t="shared" si="2"/>
        <v>12768.05</v>
      </c>
    </row>
    <row r="137" spans="1:5" x14ac:dyDescent="0.5">
      <c r="A137" s="10">
        <v>135</v>
      </c>
      <c r="B137" s="10" t="s">
        <v>167</v>
      </c>
      <c r="C137" s="46">
        <v>14780.92</v>
      </c>
      <c r="D137" s="47">
        <v>17914.57</v>
      </c>
      <c r="E137" s="48">
        <f t="shared" si="2"/>
        <v>13968.37</v>
      </c>
    </row>
    <row r="138" spans="1:5" x14ac:dyDescent="0.5">
      <c r="A138" s="10">
        <v>136</v>
      </c>
      <c r="B138" s="10" t="s">
        <v>168</v>
      </c>
      <c r="C138" s="46">
        <v>401</v>
      </c>
      <c r="D138" s="47">
        <v>448.35</v>
      </c>
      <c r="E138" s="48">
        <f t="shared" si="2"/>
        <v>12885.87</v>
      </c>
    </row>
    <row r="139" spans="1:5" x14ac:dyDescent="0.5">
      <c r="A139" s="10">
        <v>137</v>
      </c>
      <c r="B139" s="10" t="s">
        <v>169</v>
      </c>
      <c r="C139" s="46">
        <v>1685.88</v>
      </c>
      <c r="D139" s="47">
        <v>1810.0800000000002</v>
      </c>
      <c r="E139" s="48">
        <f t="shared" si="2"/>
        <v>12374.06</v>
      </c>
    </row>
    <row r="140" spans="1:5" x14ac:dyDescent="0.5">
      <c r="A140" s="10">
        <v>138</v>
      </c>
      <c r="B140" s="10" t="s">
        <v>170</v>
      </c>
      <c r="C140" s="46">
        <v>6640.99</v>
      </c>
      <c r="D140" s="47">
        <v>7841.6399999999994</v>
      </c>
      <c r="E140" s="48">
        <f t="shared" si="2"/>
        <v>13608.65</v>
      </c>
    </row>
    <row r="141" spans="1:5" x14ac:dyDescent="0.5">
      <c r="A141" s="10">
        <v>139</v>
      </c>
      <c r="B141" s="10" t="s">
        <v>171</v>
      </c>
      <c r="C141" s="46">
        <v>1904.85</v>
      </c>
      <c r="D141" s="47">
        <v>2008</v>
      </c>
      <c r="E141" s="48">
        <f t="shared" si="2"/>
        <v>12149.09</v>
      </c>
    </row>
    <row r="142" spans="1:5" x14ac:dyDescent="0.5">
      <c r="A142" s="10">
        <v>140</v>
      </c>
      <c r="B142" s="10" t="s">
        <v>172</v>
      </c>
      <c r="C142" s="46">
        <v>844.21</v>
      </c>
      <c r="D142" s="47">
        <v>933.81000000000006</v>
      </c>
      <c r="E142" s="48">
        <f t="shared" si="2"/>
        <v>12748.2</v>
      </c>
    </row>
    <row r="143" spans="1:5" x14ac:dyDescent="0.5">
      <c r="A143" s="10">
        <v>141</v>
      </c>
      <c r="B143" s="10" t="s">
        <v>173</v>
      </c>
      <c r="C143" s="46">
        <v>797.68</v>
      </c>
      <c r="D143" s="47">
        <v>917.53</v>
      </c>
      <c r="E143" s="48">
        <f t="shared" si="2"/>
        <v>13256.61</v>
      </c>
    </row>
    <row r="144" spans="1:5" x14ac:dyDescent="0.5">
      <c r="A144" s="10">
        <v>142</v>
      </c>
      <c r="B144" s="10" t="s">
        <v>174</v>
      </c>
      <c r="C144" s="46">
        <v>2142.15</v>
      </c>
      <c r="D144" s="47">
        <v>2256.9</v>
      </c>
      <c r="E144" s="48">
        <f t="shared" si="2"/>
        <v>12142.37</v>
      </c>
    </row>
    <row r="145" spans="1:5" x14ac:dyDescent="0.5">
      <c r="A145" s="10">
        <v>143</v>
      </c>
      <c r="B145" s="10" t="s">
        <v>175</v>
      </c>
      <c r="C145" s="46">
        <v>4121.21</v>
      </c>
      <c r="D145" s="47">
        <v>5100.3499999999995</v>
      </c>
      <c r="E145" s="48">
        <f t="shared" si="2"/>
        <v>14263.17</v>
      </c>
    </row>
    <row r="146" spans="1:5" x14ac:dyDescent="0.5">
      <c r="A146" s="10">
        <v>144</v>
      </c>
      <c r="B146" s="10" t="s">
        <v>176</v>
      </c>
      <c r="C146" s="46">
        <v>6717.76</v>
      </c>
      <c r="D146" s="47">
        <v>7211.91</v>
      </c>
      <c r="E146" s="48">
        <f t="shared" si="2"/>
        <v>12372.76</v>
      </c>
    </row>
    <row r="147" spans="1:5" x14ac:dyDescent="0.5">
      <c r="A147" s="10">
        <v>145</v>
      </c>
      <c r="B147" s="10" t="s">
        <v>177</v>
      </c>
      <c r="C147" s="46">
        <v>69</v>
      </c>
      <c r="D147" s="47">
        <v>73.150000000000006</v>
      </c>
      <c r="E147" s="48">
        <f t="shared" si="2"/>
        <v>12218.17</v>
      </c>
    </row>
    <row r="148" spans="1:5" x14ac:dyDescent="0.5">
      <c r="A148" s="10">
        <v>146</v>
      </c>
      <c r="B148" s="10" t="s">
        <v>178</v>
      </c>
      <c r="C148" s="46">
        <v>3331.68</v>
      </c>
      <c r="D148" s="47">
        <v>3935.7799999999997</v>
      </c>
      <c r="E148" s="48">
        <f t="shared" si="2"/>
        <v>13614.71</v>
      </c>
    </row>
    <row r="149" spans="1:5" x14ac:dyDescent="0.5">
      <c r="A149" s="10">
        <v>147</v>
      </c>
      <c r="B149" s="10" t="s">
        <v>179</v>
      </c>
      <c r="C149" s="46">
        <v>273.81</v>
      </c>
      <c r="D149" s="47">
        <v>305.86</v>
      </c>
      <c r="E149" s="48">
        <f t="shared" si="2"/>
        <v>12874.02</v>
      </c>
    </row>
    <row r="150" spans="1:5" x14ac:dyDescent="0.5">
      <c r="A150" s="10">
        <v>148</v>
      </c>
      <c r="B150" s="10" t="s">
        <v>180</v>
      </c>
      <c r="C150" s="46">
        <v>4889.26</v>
      </c>
      <c r="D150" s="47">
        <v>5468.6100000000006</v>
      </c>
      <c r="E150" s="48">
        <f t="shared" si="2"/>
        <v>12890.65</v>
      </c>
    </row>
    <row r="151" spans="1:5" x14ac:dyDescent="0.5">
      <c r="A151" s="10">
        <v>149</v>
      </c>
      <c r="B151" s="10" t="s">
        <v>181</v>
      </c>
      <c r="C151" s="46">
        <v>122.49</v>
      </c>
      <c r="D151" s="47">
        <v>130.59</v>
      </c>
      <c r="E151" s="48">
        <f t="shared" si="2"/>
        <v>12287.12</v>
      </c>
    </row>
    <row r="152" spans="1:5" x14ac:dyDescent="0.5">
      <c r="A152" s="10">
        <v>150</v>
      </c>
      <c r="B152" s="10" t="s">
        <v>182</v>
      </c>
      <c r="C152" s="46">
        <v>262.58999999999997</v>
      </c>
      <c r="D152" s="47">
        <v>289.44</v>
      </c>
      <c r="E152" s="48">
        <f t="shared" si="2"/>
        <v>12703.44</v>
      </c>
    </row>
    <row r="153" spans="1:5" x14ac:dyDescent="0.5">
      <c r="A153" s="10">
        <v>151</v>
      </c>
      <c r="B153" s="10" t="s">
        <v>183</v>
      </c>
      <c r="C153" s="46">
        <v>18119.62</v>
      </c>
      <c r="D153" s="47">
        <v>23561.55</v>
      </c>
      <c r="E153" s="48">
        <f t="shared" si="2"/>
        <v>14986.34</v>
      </c>
    </row>
    <row r="154" spans="1:5" x14ac:dyDescent="0.5">
      <c r="A154" s="10">
        <v>152</v>
      </c>
      <c r="B154" s="10" t="s">
        <v>184</v>
      </c>
      <c r="C154" s="46">
        <v>2361.48</v>
      </c>
      <c r="D154" s="47">
        <v>2613.48</v>
      </c>
      <c r="E154" s="48">
        <f t="shared" si="2"/>
        <v>12754.86</v>
      </c>
    </row>
    <row r="155" spans="1:5" x14ac:dyDescent="0.5">
      <c r="A155" s="10">
        <v>153</v>
      </c>
      <c r="B155" s="10" t="s">
        <v>185</v>
      </c>
      <c r="C155" s="46">
        <v>2654.24</v>
      </c>
      <c r="D155" s="47">
        <v>3007.1899999999996</v>
      </c>
      <c r="E155" s="48">
        <f t="shared" si="2"/>
        <v>13057.55</v>
      </c>
    </row>
    <row r="156" spans="1:5" x14ac:dyDescent="0.5">
      <c r="A156" s="10">
        <v>154</v>
      </c>
      <c r="B156" s="10" t="s">
        <v>186</v>
      </c>
      <c r="C156" s="46">
        <v>562.02</v>
      </c>
      <c r="D156" s="47">
        <v>643.47</v>
      </c>
      <c r="E156" s="48">
        <f t="shared" si="2"/>
        <v>13195.25</v>
      </c>
    </row>
    <row r="157" spans="1:5" x14ac:dyDescent="0.5">
      <c r="A157" s="10">
        <v>155</v>
      </c>
      <c r="B157" s="10" t="s">
        <v>187</v>
      </c>
      <c r="C157" s="46">
        <v>9293.17</v>
      </c>
      <c r="D157" s="47">
        <v>10236.57</v>
      </c>
      <c r="E157" s="48">
        <f t="shared" si="2"/>
        <v>12694.97</v>
      </c>
    </row>
    <row r="158" spans="1:5" x14ac:dyDescent="0.5">
      <c r="A158" s="10">
        <v>156</v>
      </c>
      <c r="B158" s="10" t="s">
        <v>188</v>
      </c>
      <c r="C158" s="46">
        <v>6734.5</v>
      </c>
      <c r="D158" s="47">
        <v>8285.15</v>
      </c>
      <c r="E158" s="48">
        <f t="shared" si="2"/>
        <v>14178.68</v>
      </c>
    </row>
    <row r="159" spans="1:5" x14ac:dyDescent="0.5">
      <c r="A159" s="10">
        <v>157</v>
      </c>
      <c r="B159" s="10" t="s">
        <v>189</v>
      </c>
      <c r="C159" s="46">
        <v>2001.67</v>
      </c>
      <c r="D159" s="47">
        <v>2017.77</v>
      </c>
      <c r="E159" s="48">
        <f t="shared" si="2"/>
        <v>11617.7</v>
      </c>
    </row>
    <row r="160" spans="1:5" x14ac:dyDescent="0.5">
      <c r="A160" s="10">
        <v>158</v>
      </c>
      <c r="B160" s="10" t="s">
        <v>190</v>
      </c>
      <c r="C160" s="46">
        <v>5226.1400000000003</v>
      </c>
      <c r="D160" s="47">
        <v>5287.14</v>
      </c>
      <c r="E160" s="48">
        <f t="shared" si="2"/>
        <v>11659.52</v>
      </c>
    </row>
    <row r="161" spans="1:5" x14ac:dyDescent="0.5">
      <c r="A161" s="10">
        <v>159</v>
      </c>
      <c r="B161" s="10" t="s">
        <v>191</v>
      </c>
      <c r="C161" s="46">
        <v>3586.83</v>
      </c>
      <c r="D161" s="47">
        <v>3966.13</v>
      </c>
      <c r="E161" s="48">
        <f t="shared" si="2"/>
        <v>12743.75</v>
      </c>
    </row>
    <row r="162" spans="1:5" x14ac:dyDescent="0.5">
      <c r="A162" s="10">
        <v>160</v>
      </c>
      <c r="B162" s="10" t="s">
        <v>192</v>
      </c>
      <c r="C162" s="46">
        <v>561.49</v>
      </c>
      <c r="D162" s="47">
        <v>613.94000000000005</v>
      </c>
      <c r="E162" s="48">
        <f t="shared" si="2"/>
        <v>12601.58</v>
      </c>
    </row>
    <row r="163" spans="1:5" x14ac:dyDescent="0.5">
      <c r="A163" s="10">
        <v>161</v>
      </c>
      <c r="B163" s="10" t="s">
        <v>193</v>
      </c>
      <c r="C163" s="46">
        <v>3649.92</v>
      </c>
      <c r="D163" s="47">
        <v>3726.92</v>
      </c>
      <c r="E163" s="48">
        <f t="shared" si="2"/>
        <v>11768.14</v>
      </c>
    </row>
    <row r="164" spans="1:5" x14ac:dyDescent="0.5">
      <c r="A164" s="10">
        <v>162</v>
      </c>
      <c r="B164" s="10" t="s">
        <v>194</v>
      </c>
      <c r="C164" s="46">
        <v>1084.8599999999999</v>
      </c>
      <c r="D164" s="47">
        <v>1288.3599999999999</v>
      </c>
      <c r="E164" s="48">
        <f t="shared" si="2"/>
        <v>13686.88</v>
      </c>
    </row>
    <row r="165" spans="1:5" x14ac:dyDescent="0.5">
      <c r="A165" s="10">
        <v>163</v>
      </c>
      <c r="B165" s="10" t="s">
        <v>195</v>
      </c>
      <c r="C165" s="46">
        <v>2985.57</v>
      </c>
      <c r="D165" s="47">
        <v>3982.2200000000003</v>
      </c>
      <c r="E165" s="48">
        <f t="shared" si="2"/>
        <v>15372.3</v>
      </c>
    </row>
    <row r="166" spans="1:5" x14ac:dyDescent="0.5">
      <c r="A166" s="10">
        <v>164</v>
      </c>
      <c r="B166" s="10" t="s">
        <v>196</v>
      </c>
      <c r="C166" s="46">
        <v>3694.59</v>
      </c>
      <c r="D166" s="47">
        <v>4295.34</v>
      </c>
      <c r="E166" s="48">
        <f t="shared" si="2"/>
        <v>13399</v>
      </c>
    </row>
    <row r="167" spans="1:5" x14ac:dyDescent="0.5">
      <c r="A167" s="10">
        <v>165</v>
      </c>
      <c r="B167" s="10" t="s">
        <v>197</v>
      </c>
      <c r="C167" s="46">
        <v>1498.63</v>
      </c>
      <c r="D167" s="47">
        <v>1738.5800000000002</v>
      </c>
      <c r="E167" s="48">
        <f t="shared" si="2"/>
        <v>13370.3</v>
      </c>
    </row>
    <row r="168" spans="1:5" x14ac:dyDescent="0.5">
      <c r="A168" s="10">
        <v>166</v>
      </c>
      <c r="B168" s="10" t="s">
        <v>198</v>
      </c>
      <c r="C168" s="46">
        <v>2168.9699999999998</v>
      </c>
      <c r="D168" s="47">
        <v>2404.02</v>
      </c>
      <c r="E168" s="48">
        <f t="shared" si="2"/>
        <v>12773.96</v>
      </c>
    </row>
    <row r="169" spans="1:5" x14ac:dyDescent="0.5">
      <c r="A169" s="10">
        <v>167</v>
      </c>
      <c r="B169" s="10" t="s">
        <v>199</v>
      </c>
      <c r="C169" s="46">
        <v>1640.18</v>
      </c>
      <c r="D169" s="47">
        <v>1725.23</v>
      </c>
      <c r="E169" s="48">
        <f t="shared" si="2"/>
        <v>12122.62</v>
      </c>
    </row>
    <row r="170" spans="1:5" x14ac:dyDescent="0.5">
      <c r="A170" s="10">
        <v>168</v>
      </c>
      <c r="B170" s="10" t="s">
        <v>200</v>
      </c>
      <c r="C170" s="46">
        <v>914.34</v>
      </c>
      <c r="D170" s="47">
        <v>968.99</v>
      </c>
      <c r="E170" s="48">
        <f t="shared" si="2"/>
        <v>12213.85</v>
      </c>
    </row>
    <row r="171" spans="1:5" x14ac:dyDescent="0.5">
      <c r="A171" s="10">
        <v>169</v>
      </c>
      <c r="B171" s="10" t="s">
        <v>201</v>
      </c>
      <c r="C171" s="46">
        <v>1098.06</v>
      </c>
      <c r="D171" s="47">
        <v>1165.51</v>
      </c>
      <c r="E171" s="48">
        <f t="shared" si="2"/>
        <v>12232.94</v>
      </c>
    </row>
    <row r="172" spans="1:5" x14ac:dyDescent="0.5">
      <c r="C172" s="7">
        <f t="shared" ref="C172:D172" si="3">SUM(C3:C171)</f>
        <v>467870.44</v>
      </c>
      <c r="D172" s="7">
        <f t="shared" si="3"/>
        <v>545133.71000000008</v>
      </c>
    </row>
    <row r="174" spans="1:5" x14ac:dyDescent="0.5">
      <c r="A174" s="7" t="s">
        <v>202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55A9-35A6-48C5-812B-B4CC7772667C}">
  <sheetPr>
    <pageSetUpPr fitToPage="1"/>
  </sheetPr>
  <dimension ref="A1:R172"/>
  <sheetViews>
    <sheetView workbookViewId="0">
      <selection activeCell="L17" sqref="L17"/>
    </sheetView>
  </sheetViews>
  <sheetFormatPr defaultColWidth="9.06640625" defaultRowHeight="14.25" x14ac:dyDescent="0.45"/>
  <cols>
    <col min="1" max="1" width="5" style="1" bestFit="1" customWidth="1"/>
    <col min="2" max="2" width="14.86328125" style="1" bestFit="1" customWidth="1"/>
    <col min="3" max="5" width="9.06640625" style="1"/>
    <col min="6" max="6" width="72.19921875" style="1" hidden="1" customWidth="1"/>
    <col min="7" max="7" width="9.06640625" style="1"/>
    <col min="8" max="9" width="12.1328125" style="1" bestFit="1" customWidth="1"/>
    <col min="10" max="10" width="11.1328125" style="1" bestFit="1" customWidth="1"/>
    <col min="11" max="11" width="9.06640625" style="1"/>
    <col min="12" max="13" width="9.06640625" style="1" customWidth="1"/>
    <col min="14" max="14" width="9.06640625" style="1"/>
    <col min="15" max="15" width="3.59765625" style="1" bestFit="1" customWidth="1"/>
    <col min="16" max="16" width="10.59765625" style="1" customWidth="1"/>
    <col min="17" max="17" width="11" style="1" customWidth="1"/>
    <col min="18" max="16384" width="9.06640625" style="1"/>
  </cols>
  <sheetData>
    <row r="1" spans="1:18" ht="23.25" x14ac:dyDescent="0.7">
      <c r="A1" s="87" t="s">
        <v>562</v>
      </c>
      <c r="B1" s="88"/>
      <c r="C1" s="88"/>
      <c r="D1" s="88"/>
      <c r="E1" s="88"/>
      <c r="F1" s="88"/>
      <c r="G1" s="88"/>
      <c r="H1" s="88"/>
      <c r="I1" s="88"/>
      <c r="J1" s="88"/>
      <c r="L1" s="89" t="s">
        <v>555</v>
      </c>
      <c r="M1" s="89"/>
      <c r="N1" s="89"/>
      <c r="O1" s="89"/>
      <c r="P1" s="89"/>
      <c r="Q1" s="89"/>
      <c r="R1" s="89"/>
    </row>
    <row r="2" spans="1:18" s="19" customFormat="1" x14ac:dyDescent="0.45">
      <c r="A2" s="32" t="s">
        <v>204</v>
      </c>
      <c r="B2" s="18" t="s">
        <v>205</v>
      </c>
      <c r="C2" s="18"/>
      <c r="D2" s="18"/>
      <c r="E2" s="33" t="s">
        <v>206</v>
      </c>
      <c r="F2" s="33" t="s">
        <v>207</v>
      </c>
      <c r="G2" s="18"/>
      <c r="H2" s="18" t="s">
        <v>208</v>
      </c>
      <c r="I2" s="18" t="s">
        <v>209</v>
      </c>
      <c r="J2" s="34" t="s">
        <v>210</v>
      </c>
      <c r="N2" s="1"/>
      <c r="O2" s="1"/>
      <c r="P2" s="19" t="s">
        <v>554</v>
      </c>
      <c r="Q2" s="19" t="s">
        <v>553</v>
      </c>
    </row>
    <row r="3" spans="1:18" x14ac:dyDescent="0.45">
      <c r="A3" s="2">
        <v>1</v>
      </c>
      <c r="B3" s="2" t="s">
        <v>213</v>
      </c>
      <c r="E3" s="5" t="s">
        <v>549</v>
      </c>
      <c r="F3" s="3" t="s">
        <v>203</v>
      </c>
      <c r="G3" s="1" t="s">
        <v>214</v>
      </c>
      <c r="H3" s="49">
        <f t="shared" ref="H3:H30" si="0">VLOOKUP(G3,$O$3:$Q$10,2,FALSE)</f>
        <v>0</v>
      </c>
      <c r="I3" s="49">
        <f t="shared" ref="I3:I30" si="1">VLOOKUP(G3,$O$3:$Q$10,3,FALSE)</f>
        <v>13315</v>
      </c>
      <c r="J3" s="49">
        <v>0</v>
      </c>
      <c r="K3" s="49"/>
      <c r="N3" s="28" t="s">
        <v>211</v>
      </c>
      <c r="O3" s="29" t="s">
        <v>212</v>
      </c>
      <c r="P3" s="30">
        <v>3060</v>
      </c>
      <c r="Q3" s="30">
        <v>7227</v>
      </c>
    </row>
    <row r="4" spans="1:18" x14ac:dyDescent="0.45">
      <c r="A4" s="2">
        <v>2</v>
      </c>
      <c r="B4" s="2" t="s">
        <v>217</v>
      </c>
      <c r="E4" s="3" t="s">
        <v>218</v>
      </c>
      <c r="F4" s="3" t="s">
        <v>219</v>
      </c>
      <c r="G4" s="1" t="s">
        <v>214</v>
      </c>
      <c r="H4" s="49">
        <f t="shared" si="0"/>
        <v>0</v>
      </c>
      <c r="I4" s="49">
        <f t="shared" si="1"/>
        <v>13315</v>
      </c>
      <c r="J4" s="49">
        <v>0</v>
      </c>
      <c r="K4" s="49"/>
      <c r="N4" s="28" t="s">
        <v>215</v>
      </c>
      <c r="O4" s="29" t="s">
        <v>216</v>
      </c>
      <c r="P4" s="31">
        <v>8058</v>
      </c>
      <c r="Q4" s="30">
        <v>8058</v>
      </c>
    </row>
    <row r="5" spans="1:18" x14ac:dyDescent="0.45">
      <c r="A5" s="2">
        <v>3</v>
      </c>
      <c r="B5" s="2" t="s">
        <v>222</v>
      </c>
      <c r="E5" s="3" t="s">
        <v>223</v>
      </c>
      <c r="F5" s="3" t="s">
        <v>224</v>
      </c>
      <c r="G5" s="1" t="s">
        <v>212</v>
      </c>
      <c r="H5" s="49">
        <f t="shared" si="0"/>
        <v>3060</v>
      </c>
      <c r="I5" s="49">
        <f t="shared" si="1"/>
        <v>7227</v>
      </c>
      <c r="J5" s="49">
        <f>VLOOKUP(E5,'[2]SY 23-24 Magnet Tuition Rates'!$C$6:$G$18,5,FALSE)</f>
        <v>3000</v>
      </c>
      <c r="K5" s="49"/>
      <c r="N5" s="28" t="s">
        <v>220</v>
      </c>
      <c r="O5" s="29" t="s">
        <v>221</v>
      </c>
      <c r="P5" s="30">
        <v>3060</v>
      </c>
      <c r="Q5" s="30">
        <v>7227</v>
      </c>
    </row>
    <row r="6" spans="1:18" x14ac:dyDescent="0.45">
      <c r="A6" s="2">
        <v>4</v>
      </c>
      <c r="B6" s="2" t="s">
        <v>227</v>
      </c>
      <c r="E6" s="3" t="s">
        <v>228</v>
      </c>
      <c r="F6" s="3" t="s">
        <v>229</v>
      </c>
      <c r="G6" s="1" t="s">
        <v>212</v>
      </c>
      <c r="H6" s="49">
        <f t="shared" si="0"/>
        <v>3060</v>
      </c>
      <c r="I6" s="49">
        <f t="shared" si="1"/>
        <v>7227</v>
      </c>
      <c r="J6" s="49">
        <f>VLOOKUP(E6,'[2]SY 23-24 Magnet Tuition Rates'!$C$6:$G$18,5,FALSE)</f>
        <v>3000</v>
      </c>
      <c r="K6" s="49"/>
      <c r="N6" s="28" t="s">
        <v>225</v>
      </c>
      <c r="O6" s="29" t="s">
        <v>226</v>
      </c>
      <c r="P6" s="30">
        <v>8344</v>
      </c>
      <c r="Q6" s="30">
        <v>8344</v>
      </c>
    </row>
    <row r="7" spans="1:18" x14ac:dyDescent="0.45">
      <c r="A7" s="2">
        <v>5</v>
      </c>
      <c r="B7" s="2" t="s">
        <v>232</v>
      </c>
      <c r="E7" s="3" t="s">
        <v>233</v>
      </c>
      <c r="F7" s="3" t="s">
        <v>234</v>
      </c>
      <c r="G7" s="1" t="s">
        <v>212</v>
      </c>
      <c r="H7" s="49">
        <f t="shared" si="0"/>
        <v>3060</v>
      </c>
      <c r="I7" s="49">
        <f t="shared" si="1"/>
        <v>7227</v>
      </c>
      <c r="J7" s="49">
        <f>VLOOKUP(E7,'[2]SY 23-24 Magnet Tuition Rates'!$C$6:$G$18,5,FALSE)</f>
        <v>3000</v>
      </c>
      <c r="K7" s="49"/>
      <c r="N7" s="28" t="s">
        <v>230</v>
      </c>
      <c r="O7" s="29" t="s">
        <v>231</v>
      </c>
      <c r="P7" s="31">
        <v>10652</v>
      </c>
      <c r="Q7" s="30">
        <v>10652</v>
      </c>
    </row>
    <row r="8" spans="1:18" x14ac:dyDescent="0.45">
      <c r="A8" s="2">
        <v>6</v>
      </c>
      <c r="B8" s="2" t="s">
        <v>236</v>
      </c>
      <c r="E8" s="3" t="s">
        <v>237</v>
      </c>
      <c r="F8" s="3" t="s">
        <v>238</v>
      </c>
      <c r="G8" s="1" t="s">
        <v>212</v>
      </c>
      <c r="H8" s="49">
        <f t="shared" si="0"/>
        <v>3060</v>
      </c>
      <c r="I8" s="49">
        <f t="shared" si="1"/>
        <v>7227</v>
      </c>
      <c r="J8" s="49">
        <f>VLOOKUP(E8,'[2]SY 23-24 Magnet Tuition Rates'!$C$6:$G$18,5,FALSE)</f>
        <v>3000</v>
      </c>
      <c r="K8" s="49"/>
      <c r="N8" s="28" t="s">
        <v>235</v>
      </c>
      <c r="O8" s="29" t="s">
        <v>214</v>
      </c>
      <c r="P8" s="30">
        <v>0</v>
      </c>
      <c r="Q8" s="30">
        <v>13315</v>
      </c>
    </row>
    <row r="9" spans="1:18" x14ac:dyDescent="0.45">
      <c r="A9" s="2">
        <v>7</v>
      </c>
      <c r="B9" s="2" t="s">
        <v>241</v>
      </c>
      <c r="E9" s="5" t="s">
        <v>550</v>
      </c>
      <c r="F9" s="3" t="s">
        <v>546</v>
      </c>
      <c r="G9" s="1" t="s">
        <v>212</v>
      </c>
      <c r="H9" s="49">
        <f t="shared" si="0"/>
        <v>3060</v>
      </c>
      <c r="I9" s="49">
        <f t="shared" si="1"/>
        <v>7227</v>
      </c>
      <c r="J9" s="49">
        <v>0</v>
      </c>
      <c r="K9" s="49"/>
      <c r="N9" s="28" t="s">
        <v>239</v>
      </c>
      <c r="O9" s="29" t="s">
        <v>240</v>
      </c>
      <c r="P9" s="31">
        <v>6924</v>
      </c>
      <c r="Q9" s="30">
        <v>6924</v>
      </c>
    </row>
    <row r="10" spans="1:18" x14ac:dyDescent="0.45">
      <c r="A10" s="2">
        <v>8</v>
      </c>
      <c r="B10" s="2" t="s">
        <v>244</v>
      </c>
      <c r="E10" s="3" t="s">
        <v>245</v>
      </c>
      <c r="F10" s="3" t="s">
        <v>246</v>
      </c>
      <c r="G10" s="1" t="s">
        <v>214</v>
      </c>
      <c r="H10" s="49">
        <f t="shared" si="0"/>
        <v>0</v>
      </c>
      <c r="I10" s="49">
        <f t="shared" si="1"/>
        <v>13315</v>
      </c>
      <c r="J10" s="49">
        <v>0</v>
      </c>
      <c r="K10" s="49"/>
      <c r="N10" s="28" t="s">
        <v>242</v>
      </c>
      <c r="O10" s="29" t="s">
        <v>243</v>
      </c>
      <c r="P10" s="30">
        <v>5238</v>
      </c>
      <c r="Q10" s="30">
        <v>5238</v>
      </c>
    </row>
    <row r="11" spans="1:18" x14ac:dyDescent="0.45">
      <c r="A11" s="2">
        <v>9</v>
      </c>
      <c r="B11" s="2" t="s">
        <v>247</v>
      </c>
      <c r="E11" s="3" t="s">
        <v>248</v>
      </c>
      <c r="F11" s="1" t="s">
        <v>249</v>
      </c>
      <c r="G11" s="1" t="s">
        <v>214</v>
      </c>
      <c r="H11" s="49">
        <f t="shared" si="0"/>
        <v>0</v>
      </c>
      <c r="I11" s="49">
        <f t="shared" si="1"/>
        <v>13315</v>
      </c>
      <c r="J11" s="49">
        <v>0</v>
      </c>
      <c r="K11" s="49"/>
    </row>
    <row r="12" spans="1:18" x14ac:dyDescent="0.45">
      <c r="A12" s="2">
        <v>10</v>
      </c>
      <c r="B12" s="2" t="s">
        <v>250</v>
      </c>
      <c r="E12" s="1" t="s">
        <v>251</v>
      </c>
      <c r="F12" s="1" t="s">
        <v>252</v>
      </c>
      <c r="G12" s="1" t="s">
        <v>214</v>
      </c>
      <c r="H12" s="49">
        <f t="shared" si="0"/>
        <v>0</v>
      </c>
      <c r="I12" s="49">
        <f t="shared" si="1"/>
        <v>13315</v>
      </c>
      <c r="J12" s="49">
        <v>0</v>
      </c>
      <c r="K12" s="49"/>
    </row>
    <row r="13" spans="1:18" x14ac:dyDescent="0.45">
      <c r="A13" s="2">
        <v>11</v>
      </c>
      <c r="B13" s="2" t="s">
        <v>253</v>
      </c>
      <c r="E13" s="3" t="s">
        <v>254</v>
      </c>
      <c r="F13" s="1" t="s">
        <v>255</v>
      </c>
      <c r="G13" s="1" t="s">
        <v>214</v>
      </c>
      <c r="H13" s="49">
        <f t="shared" si="0"/>
        <v>0</v>
      </c>
      <c r="I13" s="49">
        <f t="shared" si="1"/>
        <v>13315</v>
      </c>
      <c r="J13" s="49">
        <v>0</v>
      </c>
      <c r="K13" s="49"/>
    </row>
    <row r="14" spans="1:18" x14ac:dyDescent="0.45">
      <c r="A14" s="2">
        <v>12</v>
      </c>
      <c r="B14" s="2" t="s">
        <v>256</v>
      </c>
      <c r="E14" s="3" t="s">
        <v>257</v>
      </c>
      <c r="F14" s="1" t="s">
        <v>258</v>
      </c>
      <c r="G14" s="1" t="s">
        <v>214</v>
      </c>
      <c r="H14" s="49">
        <f t="shared" si="0"/>
        <v>0</v>
      </c>
      <c r="I14" s="49">
        <f t="shared" si="1"/>
        <v>13315</v>
      </c>
      <c r="J14" s="49">
        <v>0</v>
      </c>
      <c r="K14" s="49"/>
    </row>
    <row r="15" spans="1:18" x14ac:dyDescent="0.45">
      <c r="A15" s="2">
        <v>13</v>
      </c>
      <c r="B15" s="2" t="s">
        <v>259</v>
      </c>
      <c r="E15" s="3" t="s">
        <v>260</v>
      </c>
      <c r="F15" s="1" t="s">
        <v>261</v>
      </c>
      <c r="G15" s="1" t="s">
        <v>214</v>
      </c>
      <c r="H15" s="49">
        <f t="shared" si="0"/>
        <v>0</v>
      </c>
      <c r="I15" s="49">
        <f t="shared" si="1"/>
        <v>13315</v>
      </c>
      <c r="J15" s="49">
        <v>0</v>
      </c>
      <c r="K15" s="49"/>
    </row>
    <row r="16" spans="1:18" x14ac:dyDescent="0.45">
      <c r="A16" s="2">
        <v>14</v>
      </c>
      <c r="B16" s="2" t="s">
        <v>262</v>
      </c>
      <c r="E16" s="4" t="s">
        <v>263</v>
      </c>
      <c r="F16" s="1" t="s">
        <v>264</v>
      </c>
      <c r="G16" s="1" t="s">
        <v>214</v>
      </c>
      <c r="H16" s="49">
        <f t="shared" si="0"/>
        <v>0</v>
      </c>
      <c r="I16" s="49">
        <f t="shared" si="1"/>
        <v>13315</v>
      </c>
      <c r="J16" s="49">
        <v>0</v>
      </c>
      <c r="K16" s="49"/>
    </row>
    <row r="17" spans="1:11" x14ac:dyDescent="0.45">
      <c r="A17" s="2">
        <v>15</v>
      </c>
      <c r="B17" s="2" t="s">
        <v>265</v>
      </c>
      <c r="E17" s="4" t="s">
        <v>266</v>
      </c>
      <c r="F17" s="1" t="s">
        <v>267</v>
      </c>
      <c r="G17" s="1" t="s">
        <v>214</v>
      </c>
      <c r="H17" s="49">
        <f t="shared" si="0"/>
        <v>0</v>
      </c>
      <c r="I17" s="49">
        <f t="shared" si="1"/>
        <v>13315</v>
      </c>
      <c r="J17" s="49">
        <v>0</v>
      </c>
      <c r="K17" s="49"/>
    </row>
    <row r="18" spans="1:11" x14ac:dyDescent="0.45">
      <c r="A18" s="2">
        <v>16</v>
      </c>
      <c r="B18" s="2" t="s">
        <v>268</v>
      </c>
      <c r="E18" s="3" t="s">
        <v>269</v>
      </c>
      <c r="F18" s="1" t="s">
        <v>270</v>
      </c>
      <c r="G18" s="1" t="s">
        <v>214</v>
      </c>
      <c r="H18" s="49">
        <f t="shared" si="0"/>
        <v>0</v>
      </c>
      <c r="I18" s="49">
        <f t="shared" si="1"/>
        <v>13315</v>
      </c>
      <c r="J18" s="49">
        <v>0</v>
      </c>
      <c r="K18" s="49"/>
    </row>
    <row r="19" spans="1:11" x14ac:dyDescent="0.45">
      <c r="A19" s="2">
        <v>17</v>
      </c>
      <c r="B19" s="2" t="s">
        <v>271</v>
      </c>
      <c r="E19" s="3" t="s">
        <v>272</v>
      </c>
      <c r="F19" s="1" t="s">
        <v>273</v>
      </c>
      <c r="G19" s="1" t="s">
        <v>214</v>
      </c>
      <c r="H19" s="49">
        <f t="shared" si="0"/>
        <v>0</v>
      </c>
      <c r="I19" s="49">
        <f t="shared" si="1"/>
        <v>13315</v>
      </c>
      <c r="J19" s="49">
        <v>0</v>
      </c>
      <c r="K19" s="49"/>
    </row>
    <row r="20" spans="1:11" x14ac:dyDescent="0.45">
      <c r="A20" s="2">
        <v>18</v>
      </c>
      <c r="B20" s="2" t="s">
        <v>274</v>
      </c>
      <c r="E20" s="3" t="s">
        <v>275</v>
      </c>
      <c r="F20" s="1" t="s">
        <v>276</v>
      </c>
      <c r="G20" s="1" t="s">
        <v>214</v>
      </c>
      <c r="H20" s="49">
        <f t="shared" si="0"/>
        <v>0</v>
      </c>
      <c r="I20" s="49">
        <f t="shared" si="1"/>
        <v>13315</v>
      </c>
      <c r="J20" s="49">
        <v>0</v>
      </c>
      <c r="K20" s="49"/>
    </row>
    <row r="21" spans="1:11" x14ac:dyDescent="0.45">
      <c r="A21" s="2">
        <v>19</v>
      </c>
      <c r="B21" s="2" t="s">
        <v>277</v>
      </c>
      <c r="E21" s="3" t="s">
        <v>278</v>
      </c>
      <c r="F21" s="1" t="s">
        <v>279</v>
      </c>
      <c r="G21" s="1" t="s">
        <v>214</v>
      </c>
      <c r="H21" s="49">
        <f t="shared" si="0"/>
        <v>0</v>
      </c>
      <c r="I21" s="49">
        <f t="shared" si="1"/>
        <v>13315</v>
      </c>
      <c r="J21" s="49">
        <v>0</v>
      </c>
      <c r="K21" s="49"/>
    </row>
    <row r="22" spans="1:11" x14ac:dyDescent="0.45">
      <c r="A22" s="2">
        <v>20</v>
      </c>
      <c r="B22" s="2" t="s">
        <v>280</v>
      </c>
      <c r="E22" s="3" t="s">
        <v>281</v>
      </c>
      <c r="F22" s="1" t="s">
        <v>282</v>
      </c>
      <c r="G22" s="1" t="s">
        <v>214</v>
      </c>
      <c r="H22" s="49">
        <f t="shared" si="0"/>
        <v>0</v>
      </c>
      <c r="I22" s="49">
        <f t="shared" si="1"/>
        <v>13315</v>
      </c>
      <c r="J22" s="49">
        <v>0</v>
      </c>
      <c r="K22" s="49"/>
    </row>
    <row r="23" spans="1:11" x14ac:dyDescent="0.45">
      <c r="A23" s="2">
        <v>21</v>
      </c>
      <c r="B23" s="2" t="s">
        <v>283</v>
      </c>
      <c r="E23" s="3" t="s">
        <v>284</v>
      </c>
      <c r="F23" s="1" t="s">
        <v>285</v>
      </c>
      <c r="G23" s="1" t="s">
        <v>214</v>
      </c>
      <c r="H23" s="49">
        <f t="shared" si="0"/>
        <v>0</v>
      </c>
      <c r="I23" s="49">
        <f t="shared" si="1"/>
        <v>13315</v>
      </c>
      <c r="J23" s="49">
        <v>0</v>
      </c>
      <c r="K23" s="49"/>
    </row>
    <row r="24" spans="1:11" x14ac:dyDescent="0.45">
      <c r="A24" s="2">
        <v>22</v>
      </c>
      <c r="B24" s="2" t="s">
        <v>286</v>
      </c>
      <c r="E24" s="3" t="s">
        <v>287</v>
      </c>
      <c r="F24" s="1" t="s">
        <v>288</v>
      </c>
      <c r="G24" s="1" t="s">
        <v>214</v>
      </c>
      <c r="H24" s="49">
        <f t="shared" si="0"/>
        <v>0</v>
      </c>
      <c r="I24" s="49">
        <f t="shared" si="1"/>
        <v>13315</v>
      </c>
      <c r="J24" s="49">
        <v>0</v>
      </c>
      <c r="K24" s="49"/>
    </row>
    <row r="25" spans="1:11" x14ac:dyDescent="0.45">
      <c r="A25" s="2">
        <v>23</v>
      </c>
      <c r="B25" s="2" t="s">
        <v>289</v>
      </c>
      <c r="E25" s="1" t="s">
        <v>290</v>
      </c>
      <c r="F25" s="1" t="s">
        <v>291</v>
      </c>
      <c r="G25" s="1" t="s">
        <v>214</v>
      </c>
      <c r="H25" s="49">
        <f t="shared" si="0"/>
        <v>0</v>
      </c>
      <c r="I25" s="49">
        <f t="shared" si="1"/>
        <v>13315</v>
      </c>
      <c r="J25" s="49">
        <v>0</v>
      </c>
      <c r="K25" s="49"/>
    </row>
    <row r="26" spans="1:11" x14ac:dyDescent="0.45">
      <c r="A26" s="2">
        <v>24</v>
      </c>
      <c r="B26" s="2" t="s">
        <v>292</v>
      </c>
      <c r="E26" s="3" t="s">
        <v>293</v>
      </c>
      <c r="F26" s="1" t="s">
        <v>294</v>
      </c>
      <c r="G26" s="1" t="s">
        <v>214</v>
      </c>
      <c r="H26" s="49">
        <f t="shared" si="0"/>
        <v>0</v>
      </c>
      <c r="I26" s="49">
        <f t="shared" si="1"/>
        <v>13315</v>
      </c>
      <c r="J26" s="49">
        <v>0</v>
      </c>
      <c r="K26" s="49"/>
    </row>
    <row r="27" spans="1:11" x14ac:dyDescent="0.45">
      <c r="A27" s="2">
        <v>25</v>
      </c>
      <c r="B27" s="2" t="s">
        <v>295</v>
      </c>
      <c r="E27" s="3" t="s">
        <v>296</v>
      </c>
      <c r="F27" s="1" t="s">
        <v>297</v>
      </c>
      <c r="G27" s="1" t="s">
        <v>214</v>
      </c>
      <c r="H27" s="49">
        <f t="shared" si="0"/>
        <v>0</v>
      </c>
      <c r="I27" s="49">
        <f t="shared" si="1"/>
        <v>13315</v>
      </c>
      <c r="J27" s="49">
        <v>0</v>
      </c>
      <c r="K27" s="49"/>
    </row>
    <row r="28" spans="1:11" x14ac:dyDescent="0.45">
      <c r="A28" s="2">
        <v>26</v>
      </c>
      <c r="B28" s="2" t="s">
        <v>298</v>
      </c>
      <c r="E28" s="3" t="s">
        <v>299</v>
      </c>
      <c r="F28" s="1" t="s">
        <v>300</v>
      </c>
      <c r="G28" s="1" t="s">
        <v>214</v>
      </c>
      <c r="H28" s="49">
        <f t="shared" si="0"/>
        <v>0</v>
      </c>
      <c r="I28" s="49">
        <f t="shared" si="1"/>
        <v>13315</v>
      </c>
      <c r="J28" s="49">
        <v>0</v>
      </c>
      <c r="K28" s="49"/>
    </row>
    <row r="29" spans="1:11" x14ac:dyDescent="0.45">
      <c r="A29" s="2">
        <v>27</v>
      </c>
      <c r="B29" s="2" t="s">
        <v>301</v>
      </c>
      <c r="E29" s="3" t="s">
        <v>302</v>
      </c>
      <c r="F29" s="1" t="s">
        <v>303</v>
      </c>
      <c r="G29" s="1" t="s">
        <v>214</v>
      </c>
      <c r="H29" s="49">
        <f t="shared" si="0"/>
        <v>0</v>
      </c>
      <c r="I29" s="49">
        <f t="shared" si="1"/>
        <v>13315</v>
      </c>
      <c r="J29" s="49">
        <v>0</v>
      </c>
      <c r="K29" s="49"/>
    </row>
    <row r="30" spans="1:11" x14ac:dyDescent="0.45">
      <c r="A30" s="2">
        <v>28</v>
      </c>
      <c r="B30" s="2" t="s">
        <v>304</v>
      </c>
      <c r="E30" s="3" t="s">
        <v>305</v>
      </c>
      <c r="F30" s="1" t="s">
        <v>306</v>
      </c>
      <c r="G30" s="1" t="s">
        <v>214</v>
      </c>
      <c r="H30" s="49">
        <f t="shared" si="0"/>
        <v>0</v>
      </c>
      <c r="I30" s="49">
        <f t="shared" si="1"/>
        <v>13315</v>
      </c>
      <c r="J30" s="49">
        <v>0</v>
      </c>
      <c r="K30" s="49"/>
    </row>
    <row r="31" spans="1:11" x14ac:dyDescent="0.45">
      <c r="A31" s="2">
        <v>29</v>
      </c>
      <c r="B31" s="2" t="s">
        <v>307</v>
      </c>
      <c r="E31" s="3" t="s">
        <v>308</v>
      </c>
      <c r="F31" s="1" t="s">
        <v>309</v>
      </c>
      <c r="G31" s="1" t="s">
        <v>231</v>
      </c>
      <c r="H31" s="49">
        <f>VLOOKUP(G31,$O$3:$Q$10,2,FALSE)</f>
        <v>10652</v>
      </c>
      <c r="I31" s="49">
        <f>VLOOKUP(G31,$O$3:$Q$10,3,FALSE)</f>
        <v>10652</v>
      </c>
      <c r="J31" s="49">
        <f>VLOOKUP(E31,'[2]SY 23-24 Magnet Tuition Rates'!$C$6:$G$18,5,FALSE)</f>
        <v>3465</v>
      </c>
      <c r="K31" s="49"/>
    </row>
    <row r="32" spans="1:11" x14ac:dyDescent="0.45">
      <c r="A32" s="2">
        <v>30</v>
      </c>
      <c r="B32" s="2" t="s">
        <v>310</v>
      </c>
      <c r="E32" s="3" t="s">
        <v>311</v>
      </c>
      <c r="F32" s="3" t="s">
        <v>312</v>
      </c>
      <c r="G32" s="1" t="s">
        <v>212</v>
      </c>
      <c r="H32" s="49">
        <f t="shared" ref="H32:H61" si="2">VLOOKUP(G32,$O$3:$Q$10,2,FALSE)</f>
        <v>3060</v>
      </c>
      <c r="I32" s="49">
        <f t="shared" ref="I32:I61" si="3">VLOOKUP(G32,$O$3:$Q$10,3,FALSE)</f>
        <v>7227</v>
      </c>
      <c r="J32" s="49">
        <v>0</v>
      </c>
      <c r="K32" s="49"/>
    </row>
    <row r="33" spans="1:11" x14ac:dyDescent="0.45">
      <c r="A33" s="2">
        <v>31</v>
      </c>
      <c r="B33" s="2" t="s">
        <v>313</v>
      </c>
      <c r="E33" s="3" t="s">
        <v>314</v>
      </c>
      <c r="F33" s="3" t="s">
        <v>315</v>
      </c>
      <c r="G33" s="1" t="s">
        <v>212</v>
      </c>
      <c r="H33" s="49">
        <f t="shared" si="2"/>
        <v>3060</v>
      </c>
      <c r="I33" s="49">
        <f t="shared" si="3"/>
        <v>7227</v>
      </c>
      <c r="J33" s="49">
        <v>0</v>
      </c>
      <c r="K33" s="49"/>
    </row>
    <row r="34" spans="1:11" x14ac:dyDescent="0.45">
      <c r="A34" s="2">
        <v>32</v>
      </c>
      <c r="B34" s="2" t="s">
        <v>316</v>
      </c>
      <c r="E34" s="3" t="s">
        <v>317</v>
      </c>
      <c r="F34" s="3" t="s">
        <v>318</v>
      </c>
      <c r="G34" s="1" t="s">
        <v>212</v>
      </c>
      <c r="H34" s="49">
        <f t="shared" si="2"/>
        <v>3060</v>
      </c>
      <c r="I34" s="49">
        <f t="shared" si="3"/>
        <v>7227</v>
      </c>
      <c r="J34" s="49">
        <v>0</v>
      </c>
      <c r="K34" s="49"/>
    </row>
    <row r="35" spans="1:11" x14ac:dyDescent="0.45">
      <c r="A35" s="2">
        <v>33</v>
      </c>
      <c r="B35" s="2" t="s">
        <v>319</v>
      </c>
      <c r="E35" s="3" t="s">
        <v>320</v>
      </c>
      <c r="F35" s="3" t="s">
        <v>321</v>
      </c>
      <c r="G35" s="1" t="s">
        <v>212</v>
      </c>
      <c r="H35" s="49">
        <f t="shared" si="2"/>
        <v>3060</v>
      </c>
      <c r="I35" s="49">
        <f t="shared" si="3"/>
        <v>7227</v>
      </c>
      <c r="J35" s="49">
        <v>0</v>
      </c>
      <c r="K35" s="49"/>
    </row>
    <row r="36" spans="1:11" x14ac:dyDescent="0.45">
      <c r="A36" s="2">
        <v>34</v>
      </c>
      <c r="B36" s="2" t="s">
        <v>322</v>
      </c>
      <c r="E36" s="3" t="s">
        <v>323</v>
      </c>
      <c r="F36" s="3" t="s">
        <v>324</v>
      </c>
      <c r="G36" s="1" t="s">
        <v>212</v>
      </c>
      <c r="H36" s="49">
        <f t="shared" si="2"/>
        <v>3060</v>
      </c>
      <c r="I36" s="49">
        <f t="shared" si="3"/>
        <v>7227</v>
      </c>
      <c r="J36" s="49">
        <v>0</v>
      </c>
      <c r="K36" s="49"/>
    </row>
    <row r="37" spans="1:11" x14ac:dyDescent="0.45">
      <c r="A37" s="2">
        <v>35</v>
      </c>
      <c r="B37" s="2" t="s">
        <v>325</v>
      </c>
      <c r="E37" s="3" t="s">
        <v>326</v>
      </c>
      <c r="F37" s="3" t="s">
        <v>327</v>
      </c>
      <c r="G37" s="1" t="s">
        <v>212</v>
      </c>
      <c r="H37" s="49">
        <f t="shared" si="2"/>
        <v>3060</v>
      </c>
      <c r="I37" s="49">
        <f t="shared" si="3"/>
        <v>7227</v>
      </c>
      <c r="J37" s="49">
        <v>0</v>
      </c>
      <c r="K37" s="49"/>
    </row>
    <row r="38" spans="1:11" x14ac:dyDescent="0.45">
      <c r="A38" s="2">
        <v>36</v>
      </c>
      <c r="B38" s="2" t="s">
        <v>328</v>
      </c>
      <c r="E38" s="3" t="s">
        <v>329</v>
      </c>
      <c r="F38" s="3" t="s">
        <v>330</v>
      </c>
      <c r="G38" s="1" t="s">
        <v>212</v>
      </c>
      <c r="H38" s="49">
        <f t="shared" si="2"/>
        <v>3060</v>
      </c>
      <c r="I38" s="49">
        <f t="shared" si="3"/>
        <v>7227</v>
      </c>
      <c r="J38" s="49">
        <v>0</v>
      </c>
      <c r="K38" s="49"/>
    </row>
    <row r="39" spans="1:11" x14ac:dyDescent="0.45">
      <c r="A39" s="2">
        <v>37</v>
      </c>
      <c r="B39" s="2" t="s">
        <v>331</v>
      </c>
      <c r="E39" s="3" t="s">
        <v>332</v>
      </c>
      <c r="F39" s="3" t="s">
        <v>333</v>
      </c>
      <c r="G39" s="1" t="s">
        <v>212</v>
      </c>
      <c r="H39" s="49">
        <f t="shared" si="2"/>
        <v>3060</v>
      </c>
      <c r="I39" s="49">
        <f t="shared" si="3"/>
        <v>7227</v>
      </c>
      <c r="J39" s="49">
        <v>0</v>
      </c>
      <c r="K39" s="49"/>
    </row>
    <row r="40" spans="1:11" x14ac:dyDescent="0.45">
      <c r="A40" s="2">
        <v>38</v>
      </c>
      <c r="B40" s="2" t="s">
        <v>334</v>
      </c>
      <c r="E40" s="3" t="s">
        <v>335</v>
      </c>
      <c r="F40" s="3" t="s">
        <v>336</v>
      </c>
      <c r="G40" s="1" t="s">
        <v>212</v>
      </c>
      <c r="H40" s="49">
        <f t="shared" si="2"/>
        <v>3060</v>
      </c>
      <c r="I40" s="49">
        <f t="shared" si="3"/>
        <v>7227</v>
      </c>
      <c r="J40" s="49">
        <v>0</v>
      </c>
      <c r="K40" s="49"/>
    </row>
    <row r="41" spans="1:11" x14ac:dyDescent="0.45">
      <c r="A41" s="2">
        <v>39</v>
      </c>
      <c r="B41" s="2" t="s">
        <v>337</v>
      </c>
      <c r="E41" s="3" t="s">
        <v>338</v>
      </c>
      <c r="F41" s="3" t="s">
        <v>339</v>
      </c>
      <c r="G41" s="1" t="s">
        <v>212</v>
      </c>
      <c r="H41" s="49">
        <f t="shared" si="2"/>
        <v>3060</v>
      </c>
      <c r="I41" s="49">
        <f t="shared" si="3"/>
        <v>7227</v>
      </c>
      <c r="J41" s="49">
        <v>0</v>
      </c>
      <c r="K41" s="49"/>
    </row>
    <row r="42" spans="1:11" x14ac:dyDescent="0.45">
      <c r="A42" s="2">
        <v>40</v>
      </c>
      <c r="B42" s="2" t="s">
        <v>340</v>
      </c>
      <c r="E42" s="3" t="s">
        <v>341</v>
      </c>
      <c r="F42" s="3" t="s">
        <v>342</v>
      </c>
      <c r="G42" s="1" t="s">
        <v>212</v>
      </c>
      <c r="H42" s="49">
        <f t="shared" si="2"/>
        <v>3060</v>
      </c>
      <c r="I42" s="49">
        <f t="shared" si="3"/>
        <v>7227</v>
      </c>
      <c r="J42" s="49">
        <v>0</v>
      </c>
      <c r="K42" s="49"/>
    </row>
    <row r="43" spans="1:11" x14ac:dyDescent="0.45">
      <c r="A43" s="2">
        <v>41</v>
      </c>
      <c r="B43" s="2" t="s">
        <v>343</v>
      </c>
      <c r="E43" s="3" t="s">
        <v>344</v>
      </c>
      <c r="F43" s="3" t="s">
        <v>345</v>
      </c>
      <c r="G43" s="1" t="s">
        <v>212</v>
      </c>
      <c r="H43" s="49">
        <f t="shared" si="2"/>
        <v>3060</v>
      </c>
      <c r="I43" s="49">
        <f t="shared" si="3"/>
        <v>7227</v>
      </c>
      <c r="J43" s="49">
        <v>0</v>
      </c>
      <c r="K43" s="49"/>
    </row>
    <row r="44" spans="1:11" x14ac:dyDescent="0.45">
      <c r="A44" s="2">
        <v>42</v>
      </c>
      <c r="B44" s="2" t="s">
        <v>346</v>
      </c>
      <c r="E44" s="3" t="s">
        <v>347</v>
      </c>
      <c r="F44" s="3" t="s">
        <v>348</v>
      </c>
      <c r="G44" s="1" t="s">
        <v>212</v>
      </c>
      <c r="H44" s="49">
        <f t="shared" si="2"/>
        <v>3060</v>
      </c>
      <c r="I44" s="49">
        <f t="shared" si="3"/>
        <v>7227</v>
      </c>
      <c r="J44" s="49">
        <v>0</v>
      </c>
      <c r="K44" s="49"/>
    </row>
    <row r="45" spans="1:11" x14ac:dyDescent="0.45">
      <c r="A45" s="2">
        <v>43</v>
      </c>
      <c r="B45" s="2" t="s">
        <v>349</v>
      </c>
      <c r="E45" s="3" t="s">
        <v>350</v>
      </c>
      <c r="F45" s="3" t="s">
        <v>351</v>
      </c>
      <c r="G45" s="1" t="s">
        <v>212</v>
      </c>
      <c r="H45" s="49">
        <f t="shared" si="2"/>
        <v>3060</v>
      </c>
      <c r="I45" s="49">
        <f t="shared" si="3"/>
        <v>7227</v>
      </c>
      <c r="J45" s="49">
        <v>0</v>
      </c>
      <c r="K45" s="49"/>
    </row>
    <row r="46" spans="1:11" x14ac:dyDescent="0.45">
      <c r="A46" s="2">
        <v>44</v>
      </c>
      <c r="B46" s="2" t="s">
        <v>352</v>
      </c>
      <c r="E46" s="3" t="s">
        <v>353</v>
      </c>
      <c r="F46" s="3" t="s">
        <v>354</v>
      </c>
      <c r="G46" s="1" t="s">
        <v>212</v>
      </c>
      <c r="H46" s="49">
        <f t="shared" si="2"/>
        <v>3060</v>
      </c>
      <c r="I46" s="49">
        <f t="shared" si="3"/>
        <v>7227</v>
      </c>
      <c r="J46" s="49">
        <v>0</v>
      </c>
      <c r="K46" s="49"/>
    </row>
    <row r="47" spans="1:11" x14ac:dyDescent="0.45">
      <c r="A47" s="2">
        <v>45</v>
      </c>
      <c r="B47" s="2" t="s">
        <v>355</v>
      </c>
      <c r="E47" s="3" t="s">
        <v>356</v>
      </c>
      <c r="F47" s="3" t="s">
        <v>357</v>
      </c>
      <c r="G47" s="1" t="s">
        <v>212</v>
      </c>
      <c r="H47" s="49">
        <f t="shared" si="2"/>
        <v>3060</v>
      </c>
      <c r="I47" s="49">
        <f t="shared" si="3"/>
        <v>7227</v>
      </c>
      <c r="J47" s="49">
        <f>VLOOKUP(E47,'[2]SY 23-24 Magnet Tuition Rates'!$C$6:$G$18,5,FALSE)</f>
        <v>3712</v>
      </c>
      <c r="K47" s="49"/>
    </row>
    <row r="48" spans="1:11" x14ac:dyDescent="0.45">
      <c r="A48" s="2">
        <v>46</v>
      </c>
      <c r="B48" s="2" t="s">
        <v>358</v>
      </c>
      <c r="E48" s="3" t="s">
        <v>359</v>
      </c>
      <c r="F48" s="3" t="s">
        <v>360</v>
      </c>
      <c r="G48" s="1" t="s">
        <v>212</v>
      </c>
      <c r="H48" s="49">
        <f t="shared" si="2"/>
        <v>3060</v>
      </c>
      <c r="I48" s="49">
        <f t="shared" si="3"/>
        <v>7227</v>
      </c>
      <c r="J48" s="49">
        <f>VLOOKUP(E48,'[2]SY 23-24 Magnet Tuition Rates'!$C$6:$G$18,5,FALSE)</f>
        <v>3712</v>
      </c>
      <c r="K48" s="49"/>
    </row>
    <row r="49" spans="1:11" x14ac:dyDescent="0.45">
      <c r="A49" s="2">
        <v>47</v>
      </c>
      <c r="B49" s="2" t="s">
        <v>361</v>
      </c>
      <c r="E49" s="3" t="s">
        <v>362</v>
      </c>
      <c r="F49" s="3" t="s">
        <v>363</v>
      </c>
      <c r="G49" s="1" t="s">
        <v>212</v>
      </c>
      <c r="H49" s="49">
        <f t="shared" si="2"/>
        <v>3060</v>
      </c>
      <c r="I49" s="49">
        <f t="shared" si="3"/>
        <v>7227</v>
      </c>
      <c r="J49" s="49">
        <f>VLOOKUP(E49,'[2]SY 23-24 Magnet Tuition Rates'!$C$6:$G$18,5,FALSE)</f>
        <v>3712</v>
      </c>
      <c r="K49" s="49"/>
    </row>
    <row r="50" spans="1:11" x14ac:dyDescent="0.45">
      <c r="A50" s="2">
        <v>48</v>
      </c>
      <c r="B50" s="2" t="s">
        <v>364</v>
      </c>
      <c r="E50" s="1" t="s">
        <v>365</v>
      </c>
      <c r="F50" s="3" t="s">
        <v>366</v>
      </c>
      <c r="G50" s="1" t="s">
        <v>212</v>
      </c>
      <c r="H50" s="49">
        <f t="shared" si="2"/>
        <v>3060</v>
      </c>
      <c r="I50" s="49">
        <f t="shared" si="3"/>
        <v>7227</v>
      </c>
      <c r="J50" s="49">
        <v>0</v>
      </c>
      <c r="K50" s="49"/>
    </row>
    <row r="51" spans="1:11" x14ac:dyDescent="0.45">
      <c r="A51" s="2">
        <v>49</v>
      </c>
      <c r="B51" s="2" t="s">
        <v>367</v>
      </c>
      <c r="E51" s="4" t="s">
        <v>368</v>
      </c>
      <c r="F51" s="3" t="s">
        <v>369</v>
      </c>
      <c r="G51" s="1" t="s">
        <v>212</v>
      </c>
      <c r="H51" s="49">
        <f t="shared" si="2"/>
        <v>3060</v>
      </c>
      <c r="I51" s="49">
        <f t="shared" si="3"/>
        <v>7227</v>
      </c>
      <c r="J51" s="49">
        <f>VLOOKUP(E51,'[2]SY 23-24 Magnet Tuition Rates'!$C$6:$G$18,5,FALSE)</f>
        <v>4049</v>
      </c>
      <c r="K51" s="49"/>
    </row>
    <row r="52" spans="1:11" x14ac:dyDescent="0.45">
      <c r="A52" s="2">
        <v>50</v>
      </c>
      <c r="B52" s="2" t="s">
        <v>370</v>
      </c>
      <c r="E52" s="3" t="s">
        <v>371</v>
      </c>
      <c r="F52" s="3" t="s">
        <v>372</v>
      </c>
      <c r="G52" s="1" t="s">
        <v>212</v>
      </c>
      <c r="H52" s="49">
        <f t="shared" si="2"/>
        <v>3060</v>
      </c>
      <c r="I52" s="49">
        <f t="shared" si="3"/>
        <v>7227</v>
      </c>
      <c r="J52" s="49">
        <f>VLOOKUP(E52,'[2]SY 23-24 Magnet Tuition Rates'!$C$6:$G$18,5,FALSE)</f>
        <v>4049</v>
      </c>
      <c r="K52" s="49"/>
    </row>
    <row r="53" spans="1:11" x14ac:dyDescent="0.45">
      <c r="A53" s="2">
        <v>51</v>
      </c>
      <c r="B53" s="2" t="s">
        <v>373</v>
      </c>
      <c r="E53" s="3" t="s">
        <v>374</v>
      </c>
      <c r="F53" s="3" t="s">
        <v>375</v>
      </c>
      <c r="G53" s="1" t="s">
        <v>212</v>
      </c>
      <c r="H53" s="49">
        <f t="shared" si="2"/>
        <v>3060</v>
      </c>
      <c r="I53" s="49">
        <f t="shared" si="3"/>
        <v>7227</v>
      </c>
      <c r="J53" s="49">
        <f>VLOOKUP(E53,'[2]SY 23-24 Magnet Tuition Rates'!$C$6:$G$18,5,FALSE)</f>
        <v>4049</v>
      </c>
      <c r="K53" s="49"/>
    </row>
    <row r="54" spans="1:11" x14ac:dyDescent="0.45">
      <c r="A54" s="2">
        <v>52</v>
      </c>
      <c r="B54" s="2" t="s">
        <v>376</v>
      </c>
      <c r="E54" s="3" t="s">
        <v>377</v>
      </c>
      <c r="F54" s="3" t="s">
        <v>378</v>
      </c>
      <c r="G54" s="1" t="s">
        <v>212</v>
      </c>
      <c r="H54" s="49">
        <f t="shared" si="2"/>
        <v>3060</v>
      </c>
      <c r="I54" s="49">
        <f t="shared" si="3"/>
        <v>7227</v>
      </c>
      <c r="J54" s="49">
        <v>0</v>
      </c>
      <c r="K54" s="49"/>
    </row>
    <row r="55" spans="1:11" x14ac:dyDescent="0.45">
      <c r="A55" s="2">
        <v>53</v>
      </c>
      <c r="B55" s="2" t="s">
        <v>379</v>
      </c>
      <c r="E55" s="3" t="s">
        <v>380</v>
      </c>
      <c r="F55" s="3" t="s">
        <v>381</v>
      </c>
      <c r="G55" s="1" t="s">
        <v>212</v>
      </c>
      <c r="H55" s="49">
        <f t="shared" si="2"/>
        <v>3060</v>
      </c>
      <c r="I55" s="49">
        <f t="shared" si="3"/>
        <v>7227</v>
      </c>
      <c r="J55" s="49">
        <v>0</v>
      </c>
      <c r="K55" s="49"/>
    </row>
    <row r="56" spans="1:11" x14ac:dyDescent="0.45">
      <c r="A56" s="2">
        <v>54</v>
      </c>
      <c r="B56" s="2" t="s">
        <v>382</v>
      </c>
      <c r="E56" s="3" t="s">
        <v>383</v>
      </c>
      <c r="F56" s="3" t="s">
        <v>384</v>
      </c>
      <c r="G56" s="1" t="s">
        <v>212</v>
      </c>
      <c r="H56" s="49">
        <f t="shared" si="2"/>
        <v>3060</v>
      </c>
      <c r="I56" s="49">
        <f t="shared" si="3"/>
        <v>7227</v>
      </c>
      <c r="J56" s="49">
        <v>0</v>
      </c>
      <c r="K56" s="49"/>
    </row>
    <row r="57" spans="1:11" x14ac:dyDescent="0.45">
      <c r="A57" s="2">
        <v>55</v>
      </c>
      <c r="B57" s="2" t="s">
        <v>385</v>
      </c>
      <c r="E57" s="3" t="s">
        <v>386</v>
      </c>
      <c r="F57" s="3" t="s">
        <v>387</v>
      </c>
      <c r="G57" s="1" t="s">
        <v>212</v>
      </c>
      <c r="H57" s="49">
        <f t="shared" si="2"/>
        <v>3060</v>
      </c>
      <c r="I57" s="49">
        <f t="shared" si="3"/>
        <v>7227</v>
      </c>
      <c r="J57" s="49">
        <v>0</v>
      </c>
      <c r="K57" s="49"/>
    </row>
    <row r="58" spans="1:11" x14ac:dyDescent="0.45">
      <c r="A58" s="2">
        <v>56</v>
      </c>
      <c r="B58" s="2" t="s">
        <v>388</v>
      </c>
      <c r="E58" s="3" t="s">
        <v>389</v>
      </c>
      <c r="F58" s="3" t="s">
        <v>390</v>
      </c>
      <c r="G58" s="1" t="s">
        <v>212</v>
      </c>
      <c r="H58" s="49">
        <f t="shared" si="2"/>
        <v>3060</v>
      </c>
      <c r="I58" s="49">
        <f t="shared" si="3"/>
        <v>7227</v>
      </c>
      <c r="J58" s="49">
        <v>0</v>
      </c>
      <c r="K58" s="49"/>
    </row>
    <row r="59" spans="1:11" x14ac:dyDescent="0.45">
      <c r="A59" s="2">
        <v>57</v>
      </c>
      <c r="B59" s="2" t="s">
        <v>391</v>
      </c>
      <c r="E59" s="3" t="s">
        <v>392</v>
      </c>
      <c r="F59" s="3" t="s">
        <v>393</v>
      </c>
      <c r="G59" s="1" t="s">
        <v>212</v>
      </c>
      <c r="H59" s="49">
        <f t="shared" si="2"/>
        <v>3060</v>
      </c>
      <c r="I59" s="49">
        <f t="shared" si="3"/>
        <v>7227</v>
      </c>
      <c r="J59" s="49">
        <v>0</v>
      </c>
      <c r="K59" s="49"/>
    </row>
    <row r="60" spans="1:11" x14ac:dyDescent="0.45">
      <c r="A60" s="2">
        <v>58</v>
      </c>
      <c r="B60" s="2" t="s">
        <v>394</v>
      </c>
      <c r="E60" s="3" t="s">
        <v>395</v>
      </c>
      <c r="F60" s="3" t="s">
        <v>396</v>
      </c>
      <c r="G60" s="1" t="s">
        <v>212</v>
      </c>
      <c r="H60" s="49">
        <f t="shared" si="2"/>
        <v>3060</v>
      </c>
      <c r="I60" s="49">
        <f t="shared" si="3"/>
        <v>7227</v>
      </c>
      <c r="J60" s="49">
        <v>0</v>
      </c>
      <c r="K60" s="49"/>
    </row>
    <row r="61" spans="1:11" x14ac:dyDescent="0.45">
      <c r="A61" s="2">
        <v>59</v>
      </c>
      <c r="B61" s="2" t="s">
        <v>397</v>
      </c>
      <c r="E61" s="3" t="s">
        <v>398</v>
      </c>
      <c r="F61" s="3" t="s">
        <v>399</v>
      </c>
      <c r="G61" s="1" t="s">
        <v>212</v>
      </c>
      <c r="H61" s="49">
        <f t="shared" si="2"/>
        <v>3060</v>
      </c>
      <c r="I61" s="49">
        <f t="shared" si="3"/>
        <v>7227</v>
      </c>
      <c r="J61" s="49">
        <f>VLOOKUP(E61,'[2]SY 23-24 Magnet Tuition Rates'!$C$6:$G$18,5,FALSE)</f>
        <v>5663</v>
      </c>
      <c r="K61" s="49"/>
    </row>
    <row r="62" spans="1:11" x14ac:dyDescent="0.45">
      <c r="A62" s="2">
        <v>60</v>
      </c>
      <c r="B62" s="2" t="s">
        <v>400</v>
      </c>
      <c r="H62" s="49"/>
      <c r="I62" s="49"/>
      <c r="J62" s="49"/>
      <c r="K62" s="49"/>
    </row>
    <row r="63" spans="1:11" x14ac:dyDescent="0.45">
      <c r="A63" s="2">
        <v>61</v>
      </c>
      <c r="B63" s="2" t="s">
        <v>401</v>
      </c>
      <c r="H63" s="49"/>
      <c r="I63" s="49"/>
      <c r="J63" s="49"/>
      <c r="K63" s="49"/>
    </row>
    <row r="64" spans="1:11" x14ac:dyDescent="0.45">
      <c r="A64" s="2">
        <v>62</v>
      </c>
      <c r="B64" s="2" t="s">
        <v>402</v>
      </c>
      <c r="H64" s="49"/>
      <c r="I64" s="49"/>
      <c r="J64" s="49"/>
      <c r="K64" s="49"/>
    </row>
    <row r="65" spans="1:11" x14ac:dyDescent="0.45">
      <c r="A65" s="2">
        <v>63</v>
      </c>
      <c r="B65" s="2" t="s">
        <v>403</v>
      </c>
      <c r="H65" s="49"/>
      <c r="I65" s="49"/>
      <c r="J65" s="49"/>
      <c r="K65" s="49"/>
    </row>
    <row r="66" spans="1:11" x14ac:dyDescent="0.45">
      <c r="A66" s="2">
        <v>64</v>
      </c>
      <c r="B66" s="2" t="s">
        <v>404</v>
      </c>
      <c r="H66" s="49"/>
      <c r="I66" s="49"/>
      <c r="J66" s="49"/>
      <c r="K66" s="49"/>
    </row>
    <row r="67" spans="1:11" x14ac:dyDescent="0.45">
      <c r="A67" s="2">
        <v>65</v>
      </c>
      <c r="B67" s="2" t="s">
        <v>405</v>
      </c>
      <c r="H67" s="49"/>
      <c r="I67" s="49"/>
      <c r="J67" s="49"/>
      <c r="K67" s="49"/>
    </row>
    <row r="68" spans="1:11" x14ac:dyDescent="0.45">
      <c r="A68" s="2">
        <v>66</v>
      </c>
      <c r="B68" s="2" t="s">
        <v>406</v>
      </c>
      <c r="H68" s="49"/>
      <c r="I68" s="49"/>
      <c r="J68" s="49"/>
      <c r="K68" s="49"/>
    </row>
    <row r="69" spans="1:11" x14ac:dyDescent="0.45">
      <c r="A69" s="2">
        <v>67</v>
      </c>
      <c r="B69" s="2" t="s">
        <v>407</v>
      </c>
      <c r="H69" s="49"/>
      <c r="I69" s="49"/>
      <c r="J69" s="49"/>
      <c r="K69" s="49"/>
    </row>
    <row r="70" spans="1:11" x14ac:dyDescent="0.45">
      <c r="A70" s="2">
        <v>68</v>
      </c>
      <c r="B70" s="2" t="s">
        <v>408</v>
      </c>
      <c r="H70" s="49"/>
      <c r="I70" s="49"/>
      <c r="J70" s="49"/>
      <c r="K70" s="49"/>
    </row>
    <row r="71" spans="1:11" x14ac:dyDescent="0.45">
      <c r="A71" s="2">
        <v>69</v>
      </c>
      <c r="B71" s="2" t="s">
        <v>409</v>
      </c>
      <c r="H71" s="49"/>
      <c r="I71" s="49"/>
      <c r="J71" s="49"/>
      <c r="K71" s="49"/>
    </row>
    <row r="72" spans="1:11" x14ac:dyDescent="0.45">
      <c r="A72" s="2">
        <v>70</v>
      </c>
      <c r="B72" s="2" t="s">
        <v>410</v>
      </c>
      <c r="H72" s="49"/>
      <c r="I72" s="49"/>
      <c r="J72" s="49"/>
      <c r="K72" s="49"/>
    </row>
    <row r="73" spans="1:11" x14ac:dyDescent="0.45">
      <c r="A73" s="2">
        <v>71</v>
      </c>
      <c r="B73" s="2" t="s">
        <v>411</v>
      </c>
      <c r="H73" s="49"/>
      <c r="I73" s="49"/>
      <c r="J73" s="49"/>
      <c r="K73" s="49"/>
    </row>
    <row r="74" spans="1:11" x14ac:dyDescent="0.45">
      <c r="A74" s="2">
        <v>72</v>
      </c>
      <c r="B74" s="2" t="s">
        <v>412</v>
      </c>
      <c r="H74" s="49"/>
      <c r="I74" s="49"/>
      <c r="J74" s="49"/>
      <c r="K74" s="49"/>
    </row>
    <row r="75" spans="1:11" x14ac:dyDescent="0.45">
      <c r="A75" s="2">
        <v>73</v>
      </c>
      <c r="B75" s="2" t="s">
        <v>413</v>
      </c>
      <c r="H75" s="49"/>
      <c r="I75" s="49"/>
      <c r="J75" s="49"/>
      <c r="K75" s="49"/>
    </row>
    <row r="76" spans="1:11" x14ac:dyDescent="0.45">
      <c r="A76" s="2">
        <v>74</v>
      </c>
      <c r="B76" s="2" t="s">
        <v>414</v>
      </c>
      <c r="H76" s="49"/>
      <c r="I76" s="49"/>
      <c r="J76" s="49"/>
      <c r="K76" s="49"/>
    </row>
    <row r="77" spans="1:11" x14ac:dyDescent="0.45">
      <c r="A77" s="2">
        <v>75</v>
      </c>
      <c r="B77" s="2" t="s">
        <v>415</v>
      </c>
      <c r="H77" s="49"/>
      <c r="I77" s="49"/>
      <c r="J77" s="49"/>
      <c r="K77" s="49"/>
    </row>
    <row r="78" spans="1:11" x14ac:dyDescent="0.45">
      <c r="A78" s="2">
        <v>76</v>
      </c>
      <c r="B78" s="2" t="s">
        <v>416</v>
      </c>
      <c r="H78" s="49"/>
      <c r="I78" s="49"/>
      <c r="J78" s="49"/>
      <c r="K78" s="49"/>
    </row>
    <row r="79" spans="1:11" x14ac:dyDescent="0.45">
      <c r="A79" s="2">
        <v>77</v>
      </c>
      <c r="B79" s="2" t="s">
        <v>417</v>
      </c>
      <c r="H79" s="49"/>
      <c r="I79" s="49"/>
      <c r="J79" s="49"/>
      <c r="K79" s="49"/>
    </row>
    <row r="80" spans="1:11" x14ac:dyDescent="0.45">
      <c r="A80" s="2">
        <v>78</v>
      </c>
      <c r="B80" s="2" t="s">
        <v>418</v>
      </c>
      <c r="H80" s="49"/>
      <c r="I80" s="49"/>
      <c r="J80" s="49"/>
      <c r="K80" s="49"/>
    </row>
    <row r="81" spans="1:11" x14ac:dyDescent="0.45">
      <c r="A81" s="2">
        <v>79</v>
      </c>
      <c r="B81" s="2" t="s">
        <v>419</v>
      </c>
      <c r="H81" s="49"/>
      <c r="I81" s="49"/>
      <c r="J81" s="49"/>
      <c r="K81" s="49"/>
    </row>
    <row r="82" spans="1:11" x14ac:dyDescent="0.45">
      <c r="A82" s="2">
        <v>80</v>
      </c>
      <c r="B82" s="2" t="s">
        <v>420</v>
      </c>
      <c r="H82" s="49"/>
      <c r="I82" s="49"/>
      <c r="J82" s="49"/>
      <c r="K82" s="49"/>
    </row>
    <row r="83" spans="1:11" x14ac:dyDescent="0.45">
      <c r="A83" s="2">
        <v>81</v>
      </c>
      <c r="B83" s="2" t="s">
        <v>421</v>
      </c>
      <c r="H83" s="49"/>
      <c r="I83" s="49"/>
      <c r="J83" s="49"/>
      <c r="K83" s="49"/>
    </row>
    <row r="84" spans="1:11" x14ac:dyDescent="0.45">
      <c r="A84" s="2">
        <v>82</v>
      </c>
      <c r="B84" s="2" t="s">
        <v>422</v>
      </c>
      <c r="H84" s="49"/>
      <c r="I84" s="49"/>
      <c r="J84" s="49"/>
      <c r="K84" s="49"/>
    </row>
    <row r="85" spans="1:11" x14ac:dyDescent="0.45">
      <c r="A85" s="2">
        <v>83</v>
      </c>
      <c r="B85" s="2" t="s">
        <v>423</v>
      </c>
      <c r="H85" s="49"/>
      <c r="I85" s="49"/>
      <c r="J85" s="49"/>
      <c r="K85" s="49"/>
    </row>
    <row r="86" spans="1:11" x14ac:dyDescent="0.45">
      <c r="A86" s="2">
        <v>84</v>
      </c>
      <c r="B86" s="2" t="s">
        <v>424</v>
      </c>
      <c r="H86" s="49"/>
      <c r="I86" s="49"/>
      <c r="J86" s="49"/>
      <c r="K86" s="49"/>
    </row>
    <row r="87" spans="1:11" x14ac:dyDescent="0.45">
      <c r="A87" s="2">
        <v>85</v>
      </c>
      <c r="B87" s="2" t="s">
        <v>425</v>
      </c>
      <c r="H87" s="49"/>
      <c r="I87" s="49"/>
      <c r="J87" s="49"/>
      <c r="K87" s="49"/>
    </row>
    <row r="88" spans="1:11" x14ac:dyDescent="0.45">
      <c r="A88" s="2">
        <v>86</v>
      </c>
      <c r="B88" s="2" t="s">
        <v>426</v>
      </c>
      <c r="H88" s="49"/>
      <c r="I88" s="49"/>
      <c r="J88" s="49"/>
      <c r="K88" s="49"/>
    </row>
    <row r="89" spans="1:11" x14ac:dyDescent="0.45">
      <c r="A89" s="2">
        <v>87</v>
      </c>
      <c r="B89" s="2" t="s">
        <v>427</v>
      </c>
      <c r="H89" s="49"/>
      <c r="I89" s="49"/>
      <c r="J89" s="49"/>
      <c r="K89" s="49"/>
    </row>
    <row r="90" spans="1:11" x14ac:dyDescent="0.45">
      <c r="A90" s="2">
        <v>88</v>
      </c>
      <c r="B90" s="2" t="s">
        <v>428</v>
      </c>
      <c r="H90" s="49"/>
      <c r="I90" s="49"/>
      <c r="J90" s="49"/>
      <c r="K90" s="49"/>
    </row>
    <row r="91" spans="1:11" x14ac:dyDescent="0.45">
      <c r="A91" s="2">
        <v>89</v>
      </c>
      <c r="B91" s="2" t="s">
        <v>429</v>
      </c>
      <c r="H91" s="49"/>
      <c r="I91" s="49"/>
      <c r="J91" s="49"/>
      <c r="K91" s="49"/>
    </row>
    <row r="92" spans="1:11" x14ac:dyDescent="0.45">
      <c r="A92" s="2">
        <v>90</v>
      </c>
      <c r="B92" s="2" t="s">
        <v>430</v>
      </c>
      <c r="H92" s="49"/>
      <c r="I92" s="49"/>
      <c r="J92" s="49"/>
      <c r="K92" s="49"/>
    </row>
    <row r="93" spans="1:11" x14ac:dyDescent="0.45">
      <c r="A93" s="2">
        <v>91</v>
      </c>
      <c r="B93" s="2" t="s">
        <v>431</v>
      </c>
      <c r="H93" s="49"/>
      <c r="I93" s="49"/>
      <c r="J93" s="49"/>
      <c r="K93" s="49"/>
    </row>
    <row r="94" spans="1:11" x14ac:dyDescent="0.45">
      <c r="A94" s="2">
        <v>92</v>
      </c>
      <c r="B94" s="2" t="s">
        <v>432</v>
      </c>
      <c r="H94" s="49"/>
      <c r="I94" s="49"/>
      <c r="J94" s="49"/>
      <c r="K94" s="49"/>
    </row>
    <row r="95" spans="1:11" x14ac:dyDescent="0.45">
      <c r="A95" s="2">
        <v>93</v>
      </c>
      <c r="B95" s="2" t="s">
        <v>433</v>
      </c>
      <c r="H95" s="49"/>
      <c r="I95" s="49"/>
      <c r="J95" s="49"/>
      <c r="K95" s="49"/>
    </row>
    <row r="96" spans="1:11" x14ac:dyDescent="0.45">
      <c r="A96" s="2">
        <v>94</v>
      </c>
      <c r="B96" s="2" t="s">
        <v>434</v>
      </c>
      <c r="H96" s="49"/>
      <c r="I96" s="49"/>
      <c r="J96" s="49"/>
      <c r="K96" s="49"/>
    </row>
    <row r="97" spans="1:11" x14ac:dyDescent="0.45">
      <c r="A97" s="2">
        <v>95</v>
      </c>
      <c r="B97" s="2" t="s">
        <v>435</v>
      </c>
      <c r="H97" s="49"/>
      <c r="I97" s="49"/>
      <c r="J97" s="49"/>
      <c r="K97" s="49"/>
    </row>
    <row r="98" spans="1:11" x14ac:dyDescent="0.45">
      <c r="A98" s="2">
        <v>96</v>
      </c>
      <c r="B98" s="2" t="s">
        <v>436</v>
      </c>
      <c r="H98" s="49"/>
      <c r="I98" s="49"/>
      <c r="J98" s="49"/>
      <c r="K98" s="49"/>
    </row>
    <row r="99" spans="1:11" x14ac:dyDescent="0.45">
      <c r="A99" s="2">
        <v>97</v>
      </c>
      <c r="B99" s="2" t="s">
        <v>437</v>
      </c>
      <c r="H99" s="49"/>
      <c r="I99" s="49"/>
      <c r="J99" s="49"/>
      <c r="K99" s="49"/>
    </row>
    <row r="100" spans="1:11" x14ac:dyDescent="0.45">
      <c r="A100" s="2">
        <v>98</v>
      </c>
      <c r="B100" s="2" t="s">
        <v>438</v>
      </c>
      <c r="H100" s="49"/>
      <c r="I100" s="49"/>
      <c r="J100" s="49"/>
      <c r="K100" s="49"/>
    </row>
    <row r="101" spans="1:11" x14ac:dyDescent="0.45">
      <c r="A101" s="2">
        <v>99</v>
      </c>
      <c r="B101" s="2" t="s">
        <v>439</v>
      </c>
      <c r="H101" s="49"/>
      <c r="I101" s="49"/>
      <c r="J101" s="49"/>
      <c r="K101" s="49"/>
    </row>
    <row r="102" spans="1:11" x14ac:dyDescent="0.45">
      <c r="A102" s="2">
        <v>100</v>
      </c>
      <c r="B102" s="2" t="s">
        <v>440</v>
      </c>
      <c r="H102" s="49"/>
      <c r="I102" s="49"/>
      <c r="J102" s="49"/>
      <c r="K102" s="49"/>
    </row>
    <row r="103" spans="1:11" x14ac:dyDescent="0.45">
      <c r="A103" s="2">
        <v>101</v>
      </c>
      <c r="B103" s="2" t="s">
        <v>441</v>
      </c>
      <c r="H103" s="49"/>
      <c r="I103" s="49"/>
      <c r="J103" s="49"/>
      <c r="K103" s="49"/>
    </row>
    <row r="104" spans="1:11" x14ac:dyDescent="0.45">
      <c r="A104" s="2">
        <v>102</v>
      </c>
      <c r="B104" s="2" t="s">
        <v>442</v>
      </c>
      <c r="H104" s="49"/>
      <c r="I104" s="49"/>
      <c r="J104" s="49"/>
      <c r="K104" s="49"/>
    </row>
    <row r="105" spans="1:11" x14ac:dyDescent="0.45">
      <c r="A105" s="2">
        <v>103</v>
      </c>
      <c r="B105" s="2" t="s">
        <v>443</v>
      </c>
      <c r="H105" s="49"/>
      <c r="I105" s="49"/>
      <c r="J105" s="49"/>
      <c r="K105" s="49"/>
    </row>
    <row r="106" spans="1:11" x14ac:dyDescent="0.45">
      <c r="A106" s="2">
        <v>104</v>
      </c>
      <c r="B106" s="2" t="s">
        <v>444</v>
      </c>
      <c r="H106" s="49"/>
      <c r="I106" s="49"/>
      <c r="J106" s="49"/>
      <c r="K106" s="49"/>
    </row>
    <row r="107" spans="1:11" x14ac:dyDescent="0.45">
      <c r="A107" s="2">
        <v>105</v>
      </c>
      <c r="B107" s="2" t="s">
        <v>445</v>
      </c>
      <c r="H107" s="49"/>
      <c r="I107" s="49"/>
      <c r="J107" s="49"/>
      <c r="K107" s="49"/>
    </row>
    <row r="108" spans="1:11" x14ac:dyDescent="0.45">
      <c r="A108" s="2">
        <v>106</v>
      </c>
      <c r="B108" s="2" t="s">
        <v>446</v>
      </c>
      <c r="H108" s="49"/>
      <c r="I108" s="49"/>
      <c r="J108" s="49"/>
      <c r="K108" s="49"/>
    </row>
    <row r="109" spans="1:11" x14ac:dyDescent="0.45">
      <c r="A109" s="2">
        <v>107</v>
      </c>
      <c r="B109" s="2" t="s">
        <v>447</v>
      </c>
      <c r="H109" s="49"/>
      <c r="I109" s="49"/>
      <c r="J109" s="49"/>
      <c r="K109" s="49"/>
    </row>
    <row r="110" spans="1:11" x14ac:dyDescent="0.45">
      <c r="A110" s="2">
        <v>108</v>
      </c>
      <c r="B110" s="2" t="s">
        <v>448</v>
      </c>
      <c r="H110" s="49"/>
      <c r="I110" s="49"/>
      <c r="J110" s="49"/>
      <c r="K110" s="49"/>
    </row>
    <row r="111" spans="1:11" x14ac:dyDescent="0.45">
      <c r="A111" s="2">
        <v>109</v>
      </c>
      <c r="B111" s="2" t="s">
        <v>449</v>
      </c>
      <c r="H111" s="49"/>
      <c r="I111" s="49"/>
      <c r="J111" s="49"/>
      <c r="K111" s="49"/>
    </row>
    <row r="112" spans="1:11" x14ac:dyDescent="0.45">
      <c r="A112" s="2">
        <v>110</v>
      </c>
      <c r="B112" s="2" t="s">
        <v>450</v>
      </c>
      <c r="H112" s="49"/>
      <c r="I112" s="49"/>
      <c r="J112" s="49"/>
      <c r="K112" s="49"/>
    </row>
    <row r="113" spans="1:11" x14ac:dyDescent="0.45">
      <c r="A113" s="2">
        <v>111</v>
      </c>
      <c r="B113" s="2" t="s">
        <v>451</v>
      </c>
      <c r="H113" s="49"/>
      <c r="I113" s="49"/>
      <c r="J113" s="49"/>
      <c r="K113" s="49"/>
    </row>
    <row r="114" spans="1:11" x14ac:dyDescent="0.45">
      <c r="A114" s="2">
        <v>112</v>
      </c>
      <c r="B114" s="2" t="s">
        <v>452</v>
      </c>
      <c r="H114" s="49"/>
      <c r="I114" s="49"/>
      <c r="J114" s="49"/>
      <c r="K114" s="49"/>
    </row>
    <row r="115" spans="1:11" x14ac:dyDescent="0.45">
      <c r="A115" s="2">
        <v>113</v>
      </c>
      <c r="B115" s="2" t="s">
        <v>453</v>
      </c>
      <c r="H115" s="49"/>
      <c r="I115" s="49"/>
      <c r="J115" s="49"/>
      <c r="K115" s="49"/>
    </row>
    <row r="116" spans="1:11" x14ac:dyDescent="0.45">
      <c r="A116" s="2">
        <v>114</v>
      </c>
      <c r="B116" s="2" t="s">
        <v>454</v>
      </c>
      <c r="H116" s="49"/>
      <c r="I116" s="49"/>
      <c r="J116" s="49"/>
      <c r="K116" s="49"/>
    </row>
    <row r="117" spans="1:11" x14ac:dyDescent="0.45">
      <c r="A117" s="2">
        <v>115</v>
      </c>
      <c r="B117" s="2" t="s">
        <v>455</v>
      </c>
      <c r="H117" s="49"/>
      <c r="I117" s="49"/>
      <c r="J117" s="49"/>
      <c r="K117" s="49"/>
    </row>
    <row r="118" spans="1:11" x14ac:dyDescent="0.45">
      <c r="A118" s="2">
        <v>116</v>
      </c>
      <c r="B118" s="2" t="s">
        <v>456</v>
      </c>
      <c r="H118" s="49"/>
      <c r="I118" s="49"/>
      <c r="J118" s="49"/>
      <c r="K118" s="49"/>
    </row>
    <row r="119" spans="1:11" x14ac:dyDescent="0.45">
      <c r="A119" s="2">
        <v>117</v>
      </c>
      <c r="B119" s="2" t="s">
        <v>457</v>
      </c>
      <c r="H119" s="49"/>
      <c r="I119" s="49"/>
      <c r="J119" s="49"/>
      <c r="K119" s="49"/>
    </row>
    <row r="120" spans="1:11" x14ac:dyDescent="0.45">
      <c r="A120" s="2">
        <v>118</v>
      </c>
      <c r="B120" s="2" t="s">
        <v>458</v>
      </c>
      <c r="H120" s="49"/>
      <c r="I120" s="49"/>
      <c r="J120" s="49"/>
      <c r="K120" s="49"/>
    </row>
    <row r="121" spans="1:11" x14ac:dyDescent="0.45">
      <c r="A121" s="2">
        <v>119</v>
      </c>
      <c r="B121" s="2" t="s">
        <v>459</v>
      </c>
      <c r="H121" s="49"/>
      <c r="I121" s="49"/>
      <c r="J121" s="49"/>
      <c r="K121" s="49"/>
    </row>
    <row r="122" spans="1:11" x14ac:dyDescent="0.45">
      <c r="A122" s="2">
        <v>120</v>
      </c>
      <c r="B122" s="2" t="s">
        <v>460</v>
      </c>
      <c r="H122" s="49"/>
      <c r="I122" s="49"/>
      <c r="J122" s="49"/>
      <c r="K122" s="49"/>
    </row>
    <row r="123" spans="1:11" x14ac:dyDescent="0.45">
      <c r="A123" s="2">
        <v>121</v>
      </c>
      <c r="B123" s="2" t="s">
        <v>461</v>
      </c>
      <c r="H123" s="49"/>
      <c r="I123" s="49"/>
      <c r="J123" s="49"/>
      <c r="K123" s="49"/>
    </row>
    <row r="124" spans="1:11" x14ac:dyDescent="0.45">
      <c r="A124" s="2">
        <v>122</v>
      </c>
      <c r="B124" s="2" t="s">
        <v>462</v>
      </c>
      <c r="H124" s="49"/>
      <c r="I124" s="49"/>
      <c r="J124" s="49"/>
      <c r="K124" s="49"/>
    </row>
    <row r="125" spans="1:11" x14ac:dyDescent="0.45">
      <c r="A125" s="2">
        <v>123</v>
      </c>
      <c r="B125" s="2" t="s">
        <v>463</v>
      </c>
      <c r="H125" s="49"/>
      <c r="I125" s="49"/>
      <c r="J125" s="49"/>
      <c r="K125" s="49"/>
    </row>
    <row r="126" spans="1:11" x14ac:dyDescent="0.45">
      <c r="A126" s="2">
        <v>124</v>
      </c>
      <c r="B126" s="2" t="s">
        <v>464</v>
      </c>
      <c r="H126" s="49"/>
      <c r="I126" s="49"/>
      <c r="J126" s="49"/>
      <c r="K126" s="49"/>
    </row>
    <row r="127" spans="1:11" x14ac:dyDescent="0.45">
      <c r="A127" s="2">
        <v>125</v>
      </c>
      <c r="B127" s="2" t="s">
        <v>465</v>
      </c>
      <c r="H127" s="49"/>
      <c r="I127" s="49"/>
      <c r="J127" s="49"/>
      <c r="K127" s="49"/>
    </row>
    <row r="128" spans="1:11" x14ac:dyDescent="0.45">
      <c r="A128" s="2">
        <v>126</v>
      </c>
      <c r="B128" s="2" t="s">
        <v>466</v>
      </c>
      <c r="H128" s="49"/>
      <c r="I128" s="49"/>
      <c r="J128" s="49"/>
      <c r="K128" s="49"/>
    </row>
    <row r="129" spans="1:11" x14ac:dyDescent="0.45">
      <c r="A129" s="2">
        <v>127</v>
      </c>
      <c r="B129" s="2" t="s">
        <v>467</v>
      </c>
      <c r="H129" s="49"/>
      <c r="I129" s="49"/>
      <c r="J129" s="49"/>
      <c r="K129" s="49"/>
    </row>
    <row r="130" spans="1:11" x14ac:dyDescent="0.45">
      <c r="A130" s="2">
        <v>128</v>
      </c>
      <c r="B130" s="2" t="s">
        <v>468</v>
      </c>
      <c r="H130" s="49"/>
      <c r="I130" s="49"/>
      <c r="J130" s="49"/>
      <c r="K130" s="49"/>
    </row>
    <row r="131" spans="1:11" x14ac:dyDescent="0.45">
      <c r="A131" s="2">
        <v>129</v>
      </c>
      <c r="B131" s="2" t="s">
        <v>469</v>
      </c>
      <c r="H131" s="49"/>
      <c r="I131" s="49"/>
      <c r="J131" s="49"/>
      <c r="K131" s="49"/>
    </row>
    <row r="132" spans="1:11" x14ac:dyDescent="0.45">
      <c r="A132" s="2">
        <v>130</v>
      </c>
      <c r="B132" s="2" t="s">
        <v>470</v>
      </c>
      <c r="H132" s="49"/>
      <c r="I132" s="49"/>
      <c r="J132" s="49"/>
      <c r="K132" s="49"/>
    </row>
    <row r="133" spans="1:11" x14ac:dyDescent="0.45">
      <c r="A133" s="2">
        <v>131</v>
      </c>
      <c r="B133" s="2" t="s">
        <v>471</v>
      </c>
      <c r="H133" s="49"/>
      <c r="I133" s="49"/>
      <c r="J133" s="49"/>
      <c r="K133" s="49"/>
    </row>
    <row r="134" spans="1:11" x14ac:dyDescent="0.45">
      <c r="A134" s="2">
        <v>132</v>
      </c>
      <c r="B134" s="2" t="s">
        <v>472</v>
      </c>
      <c r="H134" s="49"/>
      <c r="I134" s="49"/>
      <c r="J134" s="49"/>
      <c r="K134" s="49"/>
    </row>
    <row r="135" spans="1:11" x14ac:dyDescent="0.45">
      <c r="A135" s="2">
        <v>133</v>
      </c>
      <c r="B135" s="2" t="s">
        <v>473</v>
      </c>
      <c r="H135" s="49"/>
      <c r="I135" s="49"/>
      <c r="J135" s="49"/>
      <c r="K135" s="49"/>
    </row>
    <row r="136" spans="1:11" x14ac:dyDescent="0.45">
      <c r="A136" s="2">
        <v>134</v>
      </c>
      <c r="B136" s="2" t="s">
        <v>474</v>
      </c>
      <c r="H136" s="49"/>
      <c r="I136" s="49"/>
      <c r="J136" s="49"/>
      <c r="K136" s="49"/>
    </row>
    <row r="137" spans="1:11" x14ac:dyDescent="0.45">
      <c r="A137" s="2">
        <v>135</v>
      </c>
      <c r="B137" s="2" t="s">
        <v>475</v>
      </c>
      <c r="H137" s="49"/>
      <c r="I137" s="49"/>
      <c r="J137" s="49"/>
      <c r="K137" s="49"/>
    </row>
    <row r="138" spans="1:11" x14ac:dyDescent="0.45">
      <c r="A138" s="2">
        <v>136</v>
      </c>
      <c r="B138" s="2" t="s">
        <v>476</v>
      </c>
      <c r="H138" s="49"/>
      <c r="I138" s="49"/>
      <c r="J138" s="49"/>
      <c r="K138" s="49"/>
    </row>
    <row r="139" spans="1:11" x14ac:dyDescent="0.45">
      <c r="A139" s="2">
        <v>137</v>
      </c>
      <c r="B139" s="2" t="s">
        <v>477</v>
      </c>
      <c r="H139" s="49"/>
      <c r="I139" s="49"/>
      <c r="J139" s="49"/>
      <c r="K139" s="49"/>
    </row>
    <row r="140" spans="1:11" x14ac:dyDescent="0.45">
      <c r="A140" s="2">
        <v>138</v>
      </c>
      <c r="B140" s="2" t="s">
        <v>478</v>
      </c>
      <c r="H140" s="49"/>
      <c r="I140" s="49"/>
      <c r="J140" s="49"/>
      <c r="K140" s="49"/>
    </row>
    <row r="141" spans="1:11" x14ac:dyDescent="0.45">
      <c r="A141" s="2">
        <v>139</v>
      </c>
      <c r="B141" s="2" t="s">
        <v>479</v>
      </c>
      <c r="H141" s="49"/>
      <c r="I141" s="49"/>
      <c r="J141" s="49"/>
      <c r="K141" s="49"/>
    </row>
    <row r="142" spans="1:11" x14ac:dyDescent="0.45">
      <c r="A142" s="2">
        <v>140</v>
      </c>
      <c r="B142" s="2" t="s">
        <v>480</v>
      </c>
      <c r="H142" s="49"/>
      <c r="I142" s="49"/>
      <c r="J142" s="49"/>
      <c r="K142" s="49"/>
    </row>
    <row r="143" spans="1:11" x14ac:dyDescent="0.45">
      <c r="A143" s="2">
        <v>141</v>
      </c>
      <c r="B143" s="2" t="s">
        <v>481</v>
      </c>
      <c r="H143" s="49"/>
      <c r="I143" s="49"/>
      <c r="J143" s="49"/>
      <c r="K143" s="49"/>
    </row>
    <row r="144" spans="1:11" x14ac:dyDescent="0.45">
      <c r="A144" s="2">
        <v>142</v>
      </c>
      <c r="B144" s="2" t="s">
        <v>482</v>
      </c>
      <c r="H144" s="49"/>
      <c r="I144" s="49"/>
      <c r="J144" s="49"/>
      <c r="K144" s="49"/>
    </row>
    <row r="145" spans="1:11" x14ac:dyDescent="0.45">
      <c r="A145" s="2">
        <v>143</v>
      </c>
      <c r="B145" s="2" t="s">
        <v>483</v>
      </c>
      <c r="H145" s="49"/>
      <c r="I145" s="49"/>
      <c r="J145" s="49"/>
      <c r="K145" s="49"/>
    </row>
    <row r="146" spans="1:11" x14ac:dyDescent="0.45">
      <c r="A146" s="2">
        <v>144</v>
      </c>
      <c r="B146" s="2" t="s">
        <v>484</v>
      </c>
      <c r="H146" s="49"/>
      <c r="I146" s="49"/>
      <c r="J146" s="49"/>
      <c r="K146" s="49"/>
    </row>
    <row r="147" spans="1:11" x14ac:dyDescent="0.45">
      <c r="A147" s="2">
        <v>145</v>
      </c>
      <c r="B147" s="2" t="s">
        <v>485</v>
      </c>
      <c r="H147" s="49"/>
      <c r="I147" s="49"/>
      <c r="J147" s="49"/>
      <c r="K147" s="49"/>
    </row>
    <row r="148" spans="1:11" x14ac:dyDescent="0.45">
      <c r="A148" s="2">
        <v>146</v>
      </c>
      <c r="B148" s="2" t="s">
        <v>486</v>
      </c>
      <c r="H148" s="49"/>
      <c r="I148" s="49"/>
      <c r="J148" s="49"/>
      <c r="K148" s="49"/>
    </row>
    <row r="149" spans="1:11" x14ac:dyDescent="0.45">
      <c r="A149" s="2">
        <v>147</v>
      </c>
      <c r="B149" s="2" t="s">
        <v>487</v>
      </c>
      <c r="H149" s="49"/>
      <c r="I149" s="49"/>
      <c r="J149" s="49"/>
      <c r="K149" s="49"/>
    </row>
    <row r="150" spans="1:11" x14ac:dyDescent="0.45">
      <c r="A150" s="2">
        <v>148</v>
      </c>
      <c r="B150" s="2" t="s">
        <v>488</v>
      </c>
      <c r="H150" s="49"/>
      <c r="I150" s="49"/>
      <c r="J150" s="49"/>
      <c r="K150" s="49"/>
    </row>
    <row r="151" spans="1:11" x14ac:dyDescent="0.45">
      <c r="A151" s="2">
        <v>149</v>
      </c>
      <c r="B151" s="2" t="s">
        <v>489</v>
      </c>
      <c r="H151" s="49"/>
      <c r="I151" s="49"/>
      <c r="J151" s="49"/>
      <c r="K151" s="49"/>
    </row>
    <row r="152" spans="1:11" x14ac:dyDescent="0.45">
      <c r="A152" s="2">
        <v>150</v>
      </c>
      <c r="B152" s="2" t="s">
        <v>490</v>
      </c>
      <c r="H152" s="49"/>
      <c r="I152" s="49"/>
      <c r="J152" s="49"/>
      <c r="K152" s="49"/>
    </row>
    <row r="153" spans="1:11" x14ac:dyDescent="0.45">
      <c r="A153" s="2">
        <v>151</v>
      </c>
      <c r="B153" s="2" t="s">
        <v>491</v>
      </c>
      <c r="H153" s="49"/>
      <c r="I153" s="49"/>
      <c r="J153" s="49"/>
      <c r="K153" s="49"/>
    </row>
    <row r="154" spans="1:11" x14ac:dyDescent="0.45">
      <c r="A154" s="2">
        <v>152</v>
      </c>
      <c r="B154" s="2" t="s">
        <v>492</v>
      </c>
      <c r="H154" s="49"/>
      <c r="I154" s="49"/>
      <c r="J154" s="49"/>
      <c r="K154" s="49"/>
    </row>
    <row r="155" spans="1:11" x14ac:dyDescent="0.45">
      <c r="A155" s="2">
        <v>153</v>
      </c>
      <c r="B155" s="2" t="s">
        <v>493</v>
      </c>
      <c r="H155" s="49"/>
      <c r="I155" s="49"/>
      <c r="J155" s="49"/>
      <c r="K155" s="49"/>
    </row>
    <row r="156" spans="1:11" x14ac:dyDescent="0.45">
      <c r="A156" s="2">
        <v>154</v>
      </c>
      <c r="B156" s="2" t="s">
        <v>494</v>
      </c>
      <c r="H156" s="49"/>
      <c r="I156" s="49"/>
      <c r="J156" s="49"/>
      <c r="K156" s="49"/>
    </row>
    <row r="157" spans="1:11" x14ac:dyDescent="0.45">
      <c r="A157" s="2">
        <v>155</v>
      </c>
      <c r="B157" s="2" t="s">
        <v>495</v>
      </c>
      <c r="H157" s="49"/>
      <c r="I157" s="49"/>
      <c r="J157" s="49"/>
      <c r="K157" s="49"/>
    </row>
    <row r="158" spans="1:11" x14ac:dyDescent="0.45">
      <c r="A158" s="2">
        <v>156</v>
      </c>
      <c r="B158" s="2" t="s">
        <v>496</v>
      </c>
      <c r="H158" s="49"/>
      <c r="I158" s="49"/>
      <c r="J158" s="49"/>
      <c r="K158" s="49"/>
    </row>
    <row r="159" spans="1:11" x14ac:dyDescent="0.45">
      <c r="A159" s="2">
        <v>157</v>
      </c>
      <c r="B159" s="2" t="s">
        <v>497</v>
      </c>
      <c r="H159" s="49"/>
      <c r="I159" s="49"/>
      <c r="J159" s="49"/>
      <c r="K159" s="49"/>
    </row>
    <row r="160" spans="1:11" x14ac:dyDescent="0.45">
      <c r="A160" s="2">
        <v>158</v>
      </c>
      <c r="B160" s="2" t="s">
        <v>498</v>
      </c>
      <c r="H160" s="49"/>
      <c r="I160" s="49"/>
      <c r="J160" s="49"/>
      <c r="K160" s="49"/>
    </row>
    <row r="161" spans="1:11" x14ac:dyDescent="0.45">
      <c r="A161" s="2">
        <v>159</v>
      </c>
      <c r="B161" s="2" t="s">
        <v>499</v>
      </c>
      <c r="H161" s="49"/>
      <c r="I161" s="49"/>
      <c r="J161" s="49"/>
      <c r="K161" s="49"/>
    </row>
    <row r="162" spans="1:11" x14ac:dyDescent="0.45">
      <c r="A162" s="2">
        <v>160</v>
      </c>
      <c r="B162" s="2" t="s">
        <v>500</v>
      </c>
      <c r="H162" s="49"/>
      <c r="I162" s="49"/>
      <c r="J162" s="49"/>
      <c r="K162" s="49"/>
    </row>
    <row r="163" spans="1:11" x14ac:dyDescent="0.45">
      <c r="A163" s="2">
        <v>161</v>
      </c>
      <c r="B163" s="2" t="s">
        <v>501</v>
      </c>
      <c r="H163" s="49"/>
      <c r="I163" s="49"/>
      <c r="J163" s="49"/>
      <c r="K163" s="49"/>
    </row>
    <row r="164" spans="1:11" x14ac:dyDescent="0.45">
      <c r="A164" s="2">
        <v>162</v>
      </c>
      <c r="B164" s="2" t="s">
        <v>502</v>
      </c>
      <c r="H164" s="49"/>
      <c r="I164" s="49"/>
      <c r="J164" s="49"/>
      <c r="K164" s="49"/>
    </row>
    <row r="165" spans="1:11" x14ac:dyDescent="0.45">
      <c r="A165" s="2">
        <v>163</v>
      </c>
      <c r="B165" s="2" t="s">
        <v>503</v>
      </c>
      <c r="H165" s="49"/>
      <c r="I165" s="49"/>
      <c r="J165" s="49"/>
      <c r="K165" s="49"/>
    </row>
    <row r="166" spans="1:11" x14ac:dyDescent="0.45">
      <c r="A166" s="2">
        <v>164</v>
      </c>
      <c r="B166" s="2" t="s">
        <v>504</v>
      </c>
      <c r="H166" s="49"/>
      <c r="I166" s="49"/>
      <c r="J166" s="49"/>
      <c r="K166" s="49"/>
    </row>
    <row r="167" spans="1:11" x14ac:dyDescent="0.45">
      <c r="A167" s="2">
        <v>165</v>
      </c>
      <c r="B167" s="2" t="s">
        <v>505</v>
      </c>
      <c r="H167" s="49"/>
      <c r="I167" s="49"/>
      <c r="J167" s="49"/>
      <c r="K167" s="49"/>
    </row>
    <row r="168" spans="1:11" x14ac:dyDescent="0.45">
      <c r="A168" s="2">
        <v>166</v>
      </c>
      <c r="B168" s="2" t="s">
        <v>506</v>
      </c>
      <c r="H168" s="49"/>
      <c r="I168" s="49"/>
      <c r="J168" s="49"/>
      <c r="K168" s="49"/>
    </row>
    <row r="169" spans="1:11" x14ac:dyDescent="0.45">
      <c r="A169" s="2">
        <v>167</v>
      </c>
      <c r="B169" s="2" t="s">
        <v>507</v>
      </c>
      <c r="H169" s="49"/>
      <c r="I169" s="49"/>
      <c r="J169" s="49"/>
      <c r="K169" s="49"/>
    </row>
    <row r="170" spans="1:11" x14ac:dyDescent="0.45">
      <c r="A170" s="2">
        <v>168</v>
      </c>
      <c r="B170" s="2" t="s">
        <v>508</v>
      </c>
      <c r="H170" s="49"/>
      <c r="I170" s="49"/>
      <c r="J170" s="49"/>
      <c r="K170" s="49"/>
    </row>
    <row r="171" spans="1:11" x14ac:dyDescent="0.45">
      <c r="A171" s="2">
        <v>169</v>
      </c>
      <c r="B171" s="2" t="s">
        <v>509</v>
      </c>
      <c r="H171" s="49"/>
      <c r="I171" s="49"/>
      <c r="J171" s="49"/>
      <c r="K171" s="49"/>
    </row>
    <row r="172" spans="1:11" x14ac:dyDescent="0.45">
      <c r="H172" s="49"/>
      <c r="I172" s="49"/>
      <c r="J172" s="49"/>
      <c r="K172" s="49"/>
    </row>
  </sheetData>
  <mergeCells count="2">
    <mergeCell ref="A1:J1"/>
    <mergeCell ref="L1:R1"/>
  </mergeCells>
  <phoneticPr fontId="8" type="noConversion"/>
  <pageMargins left="0.7" right="0.7" top="0.75" bottom="0.75" header="0.3" footer="0.3"/>
  <pageSetup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Local and Regional BOEGrant Cal</vt:lpstr>
      <vt:lpstr>PSIS Reporting used for BOE Cal</vt:lpstr>
      <vt:lpstr>Sending Dist Weighted Fund PP</vt:lpstr>
      <vt:lpstr>Codes Rates Tuition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Markoski, Tom</dc:creator>
  <cp:lastModifiedBy>Korkutovic, Meliha</cp:lastModifiedBy>
  <dcterms:created xsi:type="dcterms:W3CDTF">2026-06-17T18:47:29Z</dcterms:created>
  <dcterms:modified xsi:type="dcterms:W3CDTF">2026-07-24T15:14:13Z</dcterms:modified>
</cp:coreProperties>
</file>