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https://ctgovexec-my.sharepoint.com/personal/alycia_trakas_ct_gov/Documents/Desktop/"/>
    </mc:Choice>
  </mc:AlternateContent>
  <xr:revisionPtr revIDLastSave="103" documentId="8_{BA049DFD-E5BE-49EF-AA46-31A2D1C7D599}" xr6:coauthVersionLast="47" xr6:coauthVersionMax="47" xr10:uidLastSave="{589EC09D-8665-4643-81A7-F945E0DF3691}"/>
  <workbookProtection workbookAlgorithmName="SHA-512" workbookHashValue="RD+MUkUv9hbKQVBBFh8DOANfwoqu+/UdK1yoM9HUv+P1W9vooUlVHq3v+rr0IImb9D4vHPcn2AVrJD28Z8aFkQ==" workbookSaltValue="e1Pbei8vDtnUTITl5jngJQ==" workbookSpinCount="100000" lockStructure="1"/>
  <bookViews>
    <workbookView xWindow="38280" yWindow="-120" windowWidth="29040" windowHeight="15720" firstSheet="9" activeTab="9" xr2:uid="{00000000-000D-0000-FFFF-FFFF00000000}"/>
  </bookViews>
  <sheets>
    <sheet name="Approp Path" sheetId="4" r:id="rId1"/>
    <sheet name="Prior Year Funding Levels" sheetId="1" r:id="rId2"/>
    <sheet name="Prior Year Penalties" sheetId="45" r:id="rId3"/>
    <sheet name="Inflation" sheetId="5" r:id="rId4"/>
    <sheet name="APPE" sheetId="21" state="hidden" r:id="rId5"/>
    <sheet name="APPE Public &amp; CJ" sheetId="43" state="hidden" r:id="rId6"/>
    <sheet name="Childcount 2007" sheetId="34" state="hidden" r:id="rId7"/>
    <sheet name="Admin Maximums" sheetId="36" state="hidden" r:id="rId8"/>
    <sheet name="Other Activities Maxmiums" sheetId="37" state="hidden" r:id="rId9"/>
    <sheet name="State-Level Activities" sheetId="39" r:id="rId10"/>
    <sheet name="Summary Table" sheetId="42" state="hidden" r:id="rId11"/>
  </sheets>
  <definedNames>
    <definedName name="admin">'Admin Maximums'!$A$4:$Z$61</definedName>
    <definedName name="admin_year">'Admin Maximums'!$A$3:$Z$3</definedName>
    <definedName name="APPE">APPE!$A$4:$D$54</definedName>
    <definedName name="APPE_title_row">APPE!$A$3:$D$3</definedName>
    <definedName name="childcount2007">'Childcount 2007'!$A$4:$H$60</definedName>
    <definedName name="fund_table">'Prior Year Funding Levels'!$A$2:$AB$62</definedName>
    <definedName name="FY_Inflation">Inflation!$A$24:$AAF$24</definedName>
    <definedName name="FY_Inflation_year_row">Inflation!$A$8:$AF$8</definedName>
    <definedName name="other">'Other Activities Maxmiums'!$A$5:$DA$61</definedName>
    <definedName name="other_label">'Other Activities Maxmiums'!$A$2:$DA$2</definedName>
    <definedName name="penalty_table">'Prior Year Penalties'!$A$2:$AM$61</definedName>
    <definedName name="_xlnm.Print_Area" localSheetId="4">APPE!$A$1:$M$54</definedName>
    <definedName name="_xlnm.Print_Area" localSheetId="9">'State-Level Activities'!$A$1:$M$201</definedName>
    <definedName name="_xlnm.Print_Area" localSheetId="10">'Summary Table'!$A$1:$J$92</definedName>
    <definedName name="Prior_Year_Penalties_Year_Row">'Prior Year Penalties'!$A$1:$AM$1</definedName>
    <definedName name="summary_part_b">'Summary Table'!$A$4:$J$68</definedName>
    <definedName name="summary_part_b_titles">'Summary Table'!$A$2:$J$2</definedName>
    <definedName name="var_table">'Approp Path'!$A$2:$F$33</definedName>
    <definedName name="year_row">'Prior Year Funding Levels'!$A$1:$AN$1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M3" i="1" l="1"/>
  <c r="AM4" i="1"/>
  <c r="AM5" i="1"/>
  <c r="AM6" i="1"/>
  <c r="AM7" i="1"/>
  <c r="AM8" i="1"/>
  <c r="AM9" i="1"/>
  <c r="AM10"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2" i="1"/>
  <c r="AK62" i="1"/>
  <c r="F30" i="4"/>
  <c r="B29" i="4"/>
  <c r="CG1" i="37" l="1"/>
  <c r="CG57" i="37" s="1"/>
  <c r="CF1" i="37"/>
  <c r="CF61" i="37" s="1"/>
  <c r="CE1" i="37"/>
  <c r="CE61" i="37" s="1"/>
  <c r="CD1" i="37"/>
  <c r="E56" i="43"/>
  <c r="E57" i="43"/>
  <c r="AH24" i="5"/>
  <c r="AI24" i="5"/>
  <c r="AJ27" i="5" s="1"/>
  <c r="AK27" i="5" s="1"/>
  <c r="AL27" i="5" s="1"/>
  <c r="AM27" i="5" s="1"/>
  <c r="AN27" i="5" s="1"/>
  <c r="AJ24" i="5"/>
  <c r="AK24" i="5"/>
  <c r="AL24" i="5"/>
  <c r="AM24" i="5"/>
  <c r="AN24" i="5"/>
  <c r="AH27" i="5"/>
  <c r="AI27" i="5"/>
  <c r="AC61" i="45"/>
  <c r="D30" i="4"/>
  <c r="AD24" i="5"/>
  <c r="CG61" i="37" l="1"/>
  <c r="CE56" i="37"/>
  <c r="CE58" i="37"/>
  <c r="CE62" i="37"/>
  <c r="CF56" i="37"/>
  <c r="CF58" i="37"/>
  <c r="CF62" i="37"/>
  <c r="CG56" i="37"/>
  <c r="CG58" i="37"/>
  <c r="CG62" i="37"/>
  <c r="CD58" i="37"/>
  <c r="CD62" i="37"/>
  <c r="CD57" i="37"/>
  <c r="CD61" i="37"/>
  <c r="CE57" i="37"/>
  <c r="CD56" i="37"/>
  <c r="CF57" i="37"/>
  <c r="J53" i="43"/>
  <c r="CC1" i="37"/>
  <c r="CB1" i="37"/>
  <c r="CA1" i="37"/>
  <c r="BZ1" i="37"/>
  <c r="Z70" i="1"/>
  <c r="X56" i="36"/>
  <c r="X55" i="36"/>
  <c r="AB69" i="1"/>
  <c r="AB71" i="1"/>
  <c r="AB70" i="1"/>
  <c r="AB68" i="1"/>
  <c r="AB64" i="1"/>
  <c r="AB62" i="1"/>
  <c r="W61" i="36"/>
  <c r="X61" i="36"/>
  <c r="AA71" i="1"/>
  <c r="AA70" i="1"/>
  <c r="AA69" i="1"/>
  <c r="AA68" i="1"/>
  <c r="X59" i="36"/>
  <c r="X57" i="36"/>
  <c r="W59" i="36"/>
  <c r="W57" i="36"/>
  <c r="W56" i="36"/>
  <c r="W55" i="36"/>
  <c r="J52" i="43"/>
  <c r="AB72" i="1" l="1"/>
  <c r="AA72" i="1"/>
  <c r="AB61" i="45"/>
  <c r="AA61" i="45"/>
  <c r="D29" i="4"/>
  <c r="B5" i="42"/>
  <c r="AA62" i="1"/>
  <c r="AB65" i="1" s="1"/>
  <c r="AA64" i="1"/>
  <c r="Z64" i="1"/>
  <c r="Z61" i="45"/>
  <c r="Z62" i="1" l="1"/>
  <c r="AA65" i="1" s="1"/>
  <c r="Z65" i="1" l="1"/>
  <c r="D28" i="4" l="1"/>
  <c r="F27" i="4"/>
  <c r="F28" i="4" s="1"/>
  <c r="D27" i="4"/>
  <c r="BQ1" i="37" l="1"/>
  <c r="BP1" i="37"/>
  <c r="BO1" i="37"/>
  <c r="BN1" i="37"/>
  <c r="F26" i="4" l="1"/>
  <c r="U68" i="1"/>
  <c r="U72" i="1" s="1"/>
  <c r="V68" i="1"/>
  <c r="V72" i="1" s="1"/>
  <c r="U69" i="1"/>
  <c r="V69" i="1"/>
  <c r="U70" i="1"/>
  <c r="V70" i="1"/>
  <c r="U71" i="1"/>
  <c r="V71" i="1"/>
  <c r="W72" i="1"/>
  <c r="X68" i="1"/>
  <c r="X72" i="1" s="1"/>
  <c r="Y68" i="1"/>
  <c r="Y72" i="1" s="1"/>
  <c r="X69" i="1"/>
  <c r="Y69" i="1"/>
  <c r="Z69" i="1"/>
  <c r="X70" i="1"/>
  <c r="Y70" i="1"/>
  <c r="X71" i="1"/>
  <c r="Y71" i="1"/>
  <c r="Z71" i="1"/>
  <c r="W71" i="1"/>
  <c r="W70" i="1"/>
  <c r="W69" i="1"/>
  <c r="W68" i="1"/>
  <c r="U55" i="36" l="1"/>
  <c r="V55" i="36"/>
  <c r="U56" i="36"/>
  <c r="V56" i="36"/>
  <c r="U57" i="36"/>
  <c r="V57" i="36"/>
  <c r="U59" i="36"/>
  <c r="V59" i="36"/>
  <c r="U61" i="36"/>
  <c r="V61" i="36"/>
  <c r="X64" i="1" l="1"/>
  <c r="Y64" i="1"/>
  <c r="X62" i="1"/>
  <c r="Y65" i="1" s="1"/>
  <c r="D26" i="4" l="1"/>
  <c r="D25" i="4"/>
  <c r="I49" i="43" l="1"/>
  <c r="D24" i="4"/>
  <c r="W62" i="1"/>
  <c r="X65" i="1" s="1"/>
  <c r="B24" i="4" l="1"/>
  <c r="T55" i="36"/>
  <c r="T56" i="36"/>
  <c r="T57" i="36"/>
  <c r="T59" i="36"/>
  <c r="T61" i="36"/>
  <c r="J50" i="43" l="1"/>
  <c r="I50" i="43"/>
  <c r="M8" i="42"/>
  <c r="M6" i="42"/>
  <c r="M5" i="42"/>
  <c r="I51" i="43" l="1"/>
  <c r="I52" i="43" s="1"/>
  <c r="I53" i="43" s="1"/>
  <c r="I54" i="43" s="1"/>
  <c r="I48" i="43"/>
  <c r="J49" i="43"/>
  <c r="K54" i="43" l="1"/>
  <c r="I55" i="43"/>
  <c r="S55" i="36"/>
  <c r="S56" i="36"/>
  <c r="S57" i="36"/>
  <c r="S59" i="36"/>
  <c r="S61" i="36"/>
  <c r="K55" i="43" l="1"/>
  <c r="I56" i="43"/>
  <c r="T61" i="45"/>
  <c r="U61" i="45"/>
  <c r="K56" i="43" l="1"/>
  <c r="I57" i="43"/>
  <c r="R55" i="36"/>
  <c r="R56" i="36"/>
  <c r="R57" i="36"/>
  <c r="R59" i="36"/>
  <c r="R61" i="36"/>
  <c r="K57" i="43" l="1"/>
  <c r="J48" i="43"/>
  <c r="D46" i="21" l="1"/>
  <c r="D45" i="21"/>
  <c r="G46" i="21"/>
  <c r="G45" i="21"/>
  <c r="P24" i="5" l="1"/>
  <c r="AG1" i="37"/>
  <c r="AG57" i="37" s="1"/>
  <c r="Q24" i="5"/>
  <c r="AK1" i="37"/>
  <c r="R24" i="5"/>
  <c r="AO1" i="37" s="1"/>
  <c r="S24" i="5"/>
  <c r="AS1" i="37" s="1"/>
  <c r="T24" i="5"/>
  <c r="U24" i="5"/>
  <c r="V24" i="5"/>
  <c r="BD1" i="37" s="1"/>
  <c r="W24" i="5"/>
  <c r="R2" i="36" s="1"/>
  <c r="AD1" i="37"/>
  <c r="AD56" i="37" s="1"/>
  <c r="AH1" i="37"/>
  <c r="AE1" i="37"/>
  <c r="AE56" i="37" s="1"/>
  <c r="AI1" i="37"/>
  <c r="AQ1" i="37"/>
  <c r="AF1" i="37"/>
  <c r="AF56" i="37" s="1"/>
  <c r="AJ1" i="37"/>
  <c r="AR1" i="37"/>
  <c r="V62" i="1"/>
  <c r="V64" i="1"/>
  <c r="W64" i="1"/>
  <c r="X24" i="5"/>
  <c r="U62" i="1"/>
  <c r="AF24" i="5"/>
  <c r="AG24" i="5"/>
  <c r="H24" i="5"/>
  <c r="I27" i="5" s="1"/>
  <c r="J27" i="5" s="1"/>
  <c r="K27" i="5" s="1"/>
  <c r="L27" i="5" s="1"/>
  <c r="M27" i="5" s="1"/>
  <c r="N27" i="5" s="1"/>
  <c r="O27" i="5" s="1"/>
  <c r="P27" i="5" s="1"/>
  <c r="Q27" i="5" s="1"/>
  <c r="R27" i="5" s="1"/>
  <c r="S27" i="5" s="1"/>
  <c r="T27" i="5" s="1"/>
  <c r="U27" i="5" s="1"/>
  <c r="V27" i="5" s="1"/>
  <c r="W27" i="5" s="1"/>
  <c r="I24" i="5"/>
  <c r="J24" i="5"/>
  <c r="G1" i="37" s="1"/>
  <c r="K24" i="5"/>
  <c r="L24" i="5"/>
  <c r="M24" i="5"/>
  <c r="N24" i="5"/>
  <c r="O24" i="5"/>
  <c r="Y24" i="5"/>
  <c r="X66" i="1" s="1"/>
  <c r="Z24" i="5"/>
  <c r="AA24" i="5"/>
  <c r="AB24" i="5"/>
  <c r="AC24" i="5"/>
  <c r="AE24" i="5"/>
  <c r="Q61" i="36"/>
  <c r="D57" i="42" s="1"/>
  <c r="P61" i="36"/>
  <c r="O59" i="36"/>
  <c r="P59" i="36"/>
  <c r="Q59" i="36"/>
  <c r="D62" i="42" s="1"/>
  <c r="O55" i="36"/>
  <c r="P55" i="36"/>
  <c r="Q55" i="36"/>
  <c r="D59" i="42" s="1"/>
  <c r="O56" i="36"/>
  <c r="P56" i="36"/>
  <c r="Q56" i="36"/>
  <c r="D60" i="42" s="1"/>
  <c r="O57" i="36"/>
  <c r="P57" i="36"/>
  <c r="Q57" i="36"/>
  <c r="T62" i="1"/>
  <c r="I45" i="43"/>
  <c r="I44" i="21" s="1"/>
  <c r="J47" i="43"/>
  <c r="J46" i="21" s="1"/>
  <c r="S62" i="1"/>
  <c r="S61" i="45"/>
  <c r="I47" i="43"/>
  <c r="I46" i="21" s="1"/>
  <c r="U64" i="1"/>
  <c r="I46" i="43"/>
  <c r="I45" i="21" s="1"/>
  <c r="J46" i="43"/>
  <c r="J45" i="21" s="1"/>
  <c r="J45" i="43"/>
  <c r="O61" i="45"/>
  <c r="P61" i="45"/>
  <c r="Q61" i="45"/>
  <c r="R61" i="45"/>
  <c r="B19" i="4"/>
  <c r="I44" i="43"/>
  <c r="T64" i="1"/>
  <c r="I41" i="21"/>
  <c r="I42" i="21"/>
  <c r="H41" i="21"/>
  <c r="H42" i="21"/>
  <c r="H43" i="21"/>
  <c r="S64" i="1"/>
  <c r="J44" i="43"/>
  <c r="J43" i="21" s="1"/>
  <c r="J43" i="43"/>
  <c r="G40" i="21"/>
  <c r="J42" i="21"/>
  <c r="N59" i="36"/>
  <c r="M59" i="36"/>
  <c r="L59" i="36"/>
  <c r="K59" i="36"/>
  <c r="J59" i="36"/>
  <c r="I59" i="36"/>
  <c r="I55" i="36"/>
  <c r="J55" i="36"/>
  <c r="K55" i="36"/>
  <c r="L55" i="36"/>
  <c r="M55" i="36"/>
  <c r="N55" i="36"/>
  <c r="I56" i="36"/>
  <c r="J56" i="36"/>
  <c r="K56" i="36"/>
  <c r="L56" i="36"/>
  <c r="M56" i="36"/>
  <c r="N56" i="36"/>
  <c r="I57" i="36"/>
  <c r="J57" i="36"/>
  <c r="K57" i="36"/>
  <c r="L57" i="36"/>
  <c r="M57" i="36"/>
  <c r="N57" i="36"/>
  <c r="D18" i="4"/>
  <c r="H55" i="36"/>
  <c r="H56" i="36"/>
  <c r="H57" i="36"/>
  <c r="H59" i="36"/>
  <c r="Q62" i="1"/>
  <c r="P62" i="1"/>
  <c r="R62" i="1"/>
  <c r="S65" i="1" s="1"/>
  <c r="R64" i="1"/>
  <c r="Q64" i="1"/>
  <c r="L2" i="36"/>
  <c r="D40" i="21"/>
  <c r="G40" i="43"/>
  <c r="H39" i="43" s="1"/>
  <c r="D41" i="43"/>
  <c r="P64" i="1"/>
  <c r="J41" i="21"/>
  <c r="J42" i="43"/>
  <c r="B16" i="4"/>
  <c r="O62" i="1"/>
  <c r="O64" i="1"/>
  <c r="N18" i="45"/>
  <c r="B35" i="42"/>
  <c r="I40" i="21"/>
  <c r="H39" i="21"/>
  <c r="B2" i="39"/>
  <c r="I3" i="39" s="1"/>
  <c r="I5" i="39" s="1"/>
  <c r="I12" i="39"/>
  <c r="I21" i="39"/>
  <c r="I24" i="39"/>
  <c r="I35" i="39"/>
  <c r="I39" i="39"/>
  <c r="I41" i="39"/>
  <c r="I45" i="39"/>
  <c r="H47" i="39"/>
  <c r="Y225" i="39" s="1"/>
  <c r="I58" i="39"/>
  <c r="J91" i="39"/>
  <c r="B95" i="39"/>
  <c r="V272" i="39" s="1"/>
  <c r="I96" i="39"/>
  <c r="I97" i="39"/>
  <c r="I110" i="39"/>
  <c r="H113" i="39"/>
  <c r="H118" i="39" s="1"/>
  <c r="H122" i="39" s="1"/>
  <c r="H127" i="39" s="1"/>
  <c r="I116" i="39"/>
  <c r="J116" i="39"/>
  <c r="I120" i="39"/>
  <c r="J120" i="39"/>
  <c r="I125" i="39"/>
  <c r="I129" i="39"/>
  <c r="I131" i="39"/>
  <c r="I134" i="39"/>
  <c r="I137" i="39"/>
  <c r="I140" i="39"/>
  <c r="I144" i="39"/>
  <c r="I148" i="39"/>
  <c r="I153" i="39"/>
  <c r="I159" i="39"/>
  <c r="I172" i="39"/>
  <c r="A183" i="39"/>
  <c r="I187" i="39"/>
  <c r="I193" i="39"/>
  <c r="J193" i="39"/>
  <c r="J194" i="39"/>
  <c r="H201" i="39"/>
  <c r="J201" i="39" s="1"/>
  <c r="J202" i="39" s="1"/>
  <c r="Q207" i="39"/>
  <c r="U209" i="39"/>
  <c r="Z215" i="39"/>
  <c r="X252" i="39"/>
  <c r="Z255" i="39"/>
  <c r="N64" i="1"/>
  <c r="B15" i="4"/>
  <c r="I39" i="21" s="1"/>
  <c r="L30" i="43"/>
  <c r="M30" i="43" s="1"/>
  <c r="L31" i="43"/>
  <c r="M31" i="43" s="1"/>
  <c r="L32" i="43"/>
  <c r="M32" i="43" s="1"/>
  <c r="L33" i="43"/>
  <c r="M33" i="43" s="1"/>
  <c r="L34" i="43"/>
  <c r="M34" i="43" s="1"/>
  <c r="L35" i="43"/>
  <c r="M35" i="43" s="1"/>
  <c r="L36" i="43"/>
  <c r="M36" i="43" s="1"/>
  <c r="H35" i="43"/>
  <c r="H36" i="43"/>
  <c r="H37" i="43"/>
  <c r="H38" i="43"/>
  <c r="L40" i="43"/>
  <c r="M40" i="43" s="1"/>
  <c r="K40" i="43"/>
  <c r="L39" i="43"/>
  <c r="M39" i="43" s="1"/>
  <c r="K39" i="43"/>
  <c r="L38" i="43"/>
  <c r="M38" i="43" s="1"/>
  <c r="I37" i="43"/>
  <c r="K37" i="43" s="1"/>
  <c r="M62" i="1"/>
  <c r="B14" i="4"/>
  <c r="I38" i="21" s="1"/>
  <c r="L38" i="21" s="1"/>
  <c r="M38" i="21" s="1"/>
  <c r="L41" i="43"/>
  <c r="M41" i="43" s="1"/>
  <c r="K41" i="43"/>
  <c r="C5" i="42"/>
  <c r="B66" i="42"/>
  <c r="X1" i="37"/>
  <c r="B69" i="1"/>
  <c r="B62" i="1"/>
  <c r="B13" i="4"/>
  <c r="C62" i="1"/>
  <c r="D62" i="1"/>
  <c r="E62" i="1"/>
  <c r="E65" i="1" s="1"/>
  <c r="F62" i="1"/>
  <c r="G62" i="1"/>
  <c r="H62" i="1"/>
  <c r="I62" i="1"/>
  <c r="J62" i="1"/>
  <c r="K62" i="1"/>
  <c r="L62" i="1"/>
  <c r="N62" i="1"/>
  <c r="N61" i="45"/>
  <c r="L61" i="45"/>
  <c r="K61" i="45"/>
  <c r="J61" i="45"/>
  <c r="I61" i="45"/>
  <c r="H61" i="45"/>
  <c r="G61" i="45"/>
  <c r="F61" i="45"/>
  <c r="E61" i="45"/>
  <c r="D61" i="45"/>
  <c r="C61" i="45"/>
  <c r="B61" i="45"/>
  <c r="M61" i="45"/>
  <c r="N66" i="1"/>
  <c r="J2" i="36"/>
  <c r="E5" i="37"/>
  <c r="B5" i="37"/>
  <c r="J1" i="37"/>
  <c r="N1" i="37"/>
  <c r="R1" i="37"/>
  <c r="V1" i="37"/>
  <c r="L37" i="21"/>
  <c r="M37" i="21"/>
  <c r="H40" i="21"/>
  <c r="H38" i="21"/>
  <c r="H37" i="21"/>
  <c r="A1" i="42"/>
  <c r="I2" i="36"/>
  <c r="O66" i="1"/>
  <c r="K2" i="36"/>
  <c r="Y1" i="37"/>
  <c r="W1" i="37"/>
  <c r="H36" i="21"/>
  <c r="E60" i="37"/>
  <c r="M1" i="37"/>
  <c r="Q1" i="37"/>
  <c r="U1" i="37"/>
  <c r="AC1" i="37"/>
  <c r="D60" i="37"/>
  <c r="C60" i="37"/>
  <c r="B60" i="37"/>
  <c r="C62" i="42"/>
  <c r="L42" i="21"/>
  <c r="M42" i="21"/>
  <c r="L41" i="21"/>
  <c r="L40" i="21"/>
  <c r="M40" i="21" s="1"/>
  <c r="L35" i="21"/>
  <c r="M35" i="21"/>
  <c r="L34" i="21"/>
  <c r="L33" i="21"/>
  <c r="M33" i="21"/>
  <c r="L32" i="21"/>
  <c r="M32" i="21" s="1"/>
  <c r="L31" i="21"/>
  <c r="L30" i="21"/>
  <c r="M30" i="21" s="1"/>
  <c r="L29" i="21"/>
  <c r="M29" i="21"/>
  <c r="L28" i="21"/>
  <c r="L27" i="21"/>
  <c r="L26" i="21"/>
  <c r="M26" i="21" s="1"/>
  <c r="L25" i="21"/>
  <c r="M25" i="21" s="1"/>
  <c r="L24" i="21"/>
  <c r="L23" i="21"/>
  <c r="M23" i="21" s="1"/>
  <c r="L22" i="21"/>
  <c r="L21" i="21"/>
  <c r="M21" i="21" s="1"/>
  <c r="L20" i="21"/>
  <c r="L19" i="21"/>
  <c r="L18" i="21"/>
  <c r="L17" i="21"/>
  <c r="M17" i="21" s="1"/>
  <c r="L16" i="21"/>
  <c r="M16" i="21" s="1"/>
  <c r="L15" i="21"/>
  <c r="L14" i="21"/>
  <c r="M14" i="21" s="1"/>
  <c r="L13" i="21"/>
  <c r="M13" i="21"/>
  <c r="L12" i="21"/>
  <c r="M12" i="21" s="1"/>
  <c r="L11" i="21"/>
  <c r="L10" i="21"/>
  <c r="L9" i="21"/>
  <c r="M9" i="21" s="1"/>
  <c r="L8" i="21"/>
  <c r="M8" i="21" s="1"/>
  <c r="L7" i="21"/>
  <c r="L6" i="21"/>
  <c r="M6" i="21" s="1"/>
  <c r="L5" i="21"/>
  <c r="M5" i="21" s="1"/>
  <c r="L43" i="43"/>
  <c r="M43" i="43" s="1"/>
  <c r="L42" i="43"/>
  <c r="M42" i="43" s="1"/>
  <c r="L29" i="43"/>
  <c r="M29" i="43" s="1"/>
  <c r="L28" i="43"/>
  <c r="M28" i="43" s="1"/>
  <c r="L27" i="43"/>
  <c r="M27" i="43" s="1"/>
  <c r="L26" i="43"/>
  <c r="M26" i="43" s="1"/>
  <c r="L25" i="43"/>
  <c r="M25" i="43" s="1"/>
  <c r="L24" i="43"/>
  <c r="L23" i="43"/>
  <c r="M23" i="43" s="1"/>
  <c r="L22" i="43"/>
  <c r="M22" i="43" s="1"/>
  <c r="L21" i="43"/>
  <c r="M21" i="43" s="1"/>
  <c r="L20" i="43"/>
  <c r="M20" i="43" s="1"/>
  <c r="L19" i="43"/>
  <c r="M19" i="43" s="1"/>
  <c r="L18" i="43"/>
  <c r="M18" i="43" s="1"/>
  <c r="L17" i="43"/>
  <c r="M17" i="43" s="1"/>
  <c r="L16" i="43"/>
  <c r="M16" i="43" s="1"/>
  <c r="L15" i="43"/>
  <c r="M15" i="43" s="1"/>
  <c r="L14" i="43"/>
  <c r="M14" i="43" s="1"/>
  <c r="L13" i="43"/>
  <c r="L12" i="43"/>
  <c r="M12" i="43" s="1"/>
  <c r="L11" i="43"/>
  <c r="L10" i="43"/>
  <c r="M10" i="43" s="1"/>
  <c r="L9" i="43"/>
  <c r="M9" i="43" s="1"/>
  <c r="L8" i="43"/>
  <c r="M8" i="43" s="1"/>
  <c r="L7" i="43"/>
  <c r="M7" i="43" s="1"/>
  <c r="L6" i="43"/>
  <c r="M6" i="43" s="1"/>
  <c r="L5" i="43"/>
  <c r="M5" i="43" s="1"/>
  <c r="C55" i="36"/>
  <c r="D55" i="36"/>
  <c r="E55" i="36"/>
  <c r="F55" i="36"/>
  <c r="G55" i="36"/>
  <c r="C56" i="36"/>
  <c r="D56" i="36"/>
  <c r="E56" i="36"/>
  <c r="F56" i="36"/>
  <c r="G56" i="36"/>
  <c r="C57" i="36"/>
  <c r="D57" i="36"/>
  <c r="E57" i="36"/>
  <c r="F57" i="36"/>
  <c r="G57" i="36"/>
  <c r="C59" i="36"/>
  <c r="D59" i="36"/>
  <c r="E59" i="36"/>
  <c r="F59" i="36"/>
  <c r="G59" i="36"/>
  <c r="H2" i="36"/>
  <c r="D2" i="36"/>
  <c r="C2" i="36"/>
  <c r="C25" i="36" s="1"/>
  <c r="C5" i="37"/>
  <c r="D5" i="37"/>
  <c r="L1" i="37"/>
  <c r="P1" i="37"/>
  <c r="T1" i="37"/>
  <c r="AB1" i="37"/>
  <c r="B6" i="37"/>
  <c r="Z1" i="37"/>
  <c r="C6" i="37"/>
  <c r="D6" i="37"/>
  <c r="E6" i="37"/>
  <c r="B7" i="37"/>
  <c r="C7" i="37"/>
  <c r="D7" i="37"/>
  <c r="E7" i="37"/>
  <c r="B8" i="37"/>
  <c r="C8" i="37"/>
  <c r="D8" i="37"/>
  <c r="E8" i="37"/>
  <c r="B9" i="37"/>
  <c r="C9" i="37"/>
  <c r="D9" i="37"/>
  <c r="E9" i="37"/>
  <c r="B10" i="37"/>
  <c r="C10" i="37"/>
  <c r="D10" i="37"/>
  <c r="E10" i="37"/>
  <c r="B11" i="37"/>
  <c r="C11" i="37"/>
  <c r="D11" i="37"/>
  <c r="E11" i="37"/>
  <c r="B12" i="37"/>
  <c r="C12" i="37"/>
  <c r="D12" i="37"/>
  <c r="E12" i="37"/>
  <c r="B13" i="37"/>
  <c r="C13" i="37"/>
  <c r="D13" i="37"/>
  <c r="E13" i="37"/>
  <c r="B14" i="37"/>
  <c r="C14" i="37"/>
  <c r="D14" i="37"/>
  <c r="E14" i="37"/>
  <c r="B15" i="37"/>
  <c r="C15" i="37"/>
  <c r="D15" i="37"/>
  <c r="E15" i="37"/>
  <c r="B16" i="37"/>
  <c r="C16" i="37"/>
  <c r="D16" i="37"/>
  <c r="E16" i="37"/>
  <c r="B17" i="37"/>
  <c r="C17" i="37"/>
  <c r="D17" i="37"/>
  <c r="E17" i="37"/>
  <c r="B18" i="37"/>
  <c r="C18" i="37"/>
  <c r="D18" i="37"/>
  <c r="E18" i="37"/>
  <c r="B19" i="37"/>
  <c r="C19" i="37"/>
  <c r="D19" i="37"/>
  <c r="E19" i="37"/>
  <c r="B20" i="37"/>
  <c r="C20" i="37"/>
  <c r="D20" i="37"/>
  <c r="E20" i="37"/>
  <c r="B21" i="37"/>
  <c r="C21" i="37"/>
  <c r="D21" i="37"/>
  <c r="E21" i="37"/>
  <c r="B22" i="37"/>
  <c r="C22" i="37"/>
  <c r="D22" i="37"/>
  <c r="E22" i="37"/>
  <c r="B23" i="37"/>
  <c r="C23" i="37"/>
  <c r="D23" i="37"/>
  <c r="E23" i="37"/>
  <c r="B24" i="37"/>
  <c r="C24" i="37"/>
  <c r="D24" i="37"/>
  <c r="E24" i="37"/>
  <c r="B25" i="37"/>
  <c r="C25" i="37"/>
  <c r="D25" i="37"/>
  <c r="E25" i="37"/>
  <c r="B26" i="37"/>
  <c r="C26" i="37"/>
  <c r="D26" i="37"/>
  <c r="E26" i="37"/>
  <c r="B27" i="37"/>
  <c r="C27" i="37"/>
  <c r="D27" i="37"/>
  <c r="E27" i="37"/>
  <c r="B28" i="37"/>
  <c r="C28" i="37"/>
  <c r="D28" i="37"/>
  <c r="E28" i="37"/>
  <c r="B29" i="37"/>
  <c r="C29" i="37"/>
  <c r="D29" i="37"/>
  <c r="E29" i="37"/>
  <c r="B30" i="37"/>
  <c r="C30" i="37"/>
  <c r="D30" i="37"/>
  <c r="E30" i="37"/>
  <c r="B31" i="37"/>
  <c r="C31" i="37"/>
  <c r="D31" i="37"/>
  <c r="E31" i="37"/>
  <c r="B32" i="37"/>
  <c r="C32" i="37"/>
  <c r="D32" i="37"/>
  <c r="E32" i="37"/>
  <c r="B33" i="37"/>
  <c r="C33" i="37"/>
  <c r="D33" i="37"/>
  <c r="E33" i="37"/>
  <c r="B34" i="37"/>
  <c r="C34" i="37"/>
  <c r="D34" i="37"/>
  <c r="E34" i="37"/>
  <c r="B35" i="37"/>
  <c r="C35" i="37"/>
  <c r="D35" i="37"/>
  <c r="E35" i="37"/>
  <c r="B36" i="37"/>
  <c r="C36" i="37"/>
  <c r="D36" i="37"/>
  <c r="E36" i="37"/>
  <c r="B37" i="37"/>
  <c r="C37" i="37"/>
  <c r="D37" i="37"/>
  <c r="E37" i="37"/>
  <c r="B38" i="37"/>
  <c r="C38" i="37"/>
  <c r="D38" i="37"/>
  <c r="E38" i="37"/>
  <c r="B39" i="37"/>
  <c r="C39" i="37"/>
  <c r="D39" i="37"/>
  <c r="E39" i="37"/>
  <c r="B40" i="37"/>
  <c r="C40" i="37"/>
  <c r="D40" i="37"/>
  <c r="E40" i="37"/>
  <c r="B41" i="37"/>
  <c r="C41" i="37"/>
  <c r="D41" i="37"/>
  <c r="E41" i="37"/>
  <c r="B42" i="37"/>
  <c r="C42" i="37"/>
  <c r="D42" i="37"/>
  <c r="E42" i="37"/>
  <c r="B43" i="37"/>
  <c r="C43" i="37"/>
  <c r="D43" i="37"/>
  <c r="E43" i="37"/>
  <c r="B44" i="37"/>
  <c r="C44" i="37"/>
  <c r="D44" i="37"/>
  <c r="E44" i="37"/>
  <c r="B45" i="37"/>
  <c r="C45" i="37"/>
  <c r="D45" i="37"/>
  <c r="E45" i="37"/>
  <c r="B46" i="37"/>
  <c r="C46" i="37"/>
  <c r="D46" i="37"/>
  <c r="E46" i="37"/>
  <c r="B47" i="37"/>
  <c r="C47" i="37"/>
  <c r="D47" i="37"/>
  <c r="E47" i="37"/>
  <c r="B48" i="37"/>
  <c r="C48" i="37"/>
  <c r="D48" i="37"/>
  <c r="E48" i="37"/>
  <c r="B49" i="37"/>
  <c r="C49" i="37"/>
  <c r="K1" i="37"/>
  <c r="O1" i="37"/>
  <c r="S1" i="37"/>
  <c r="AA1" i="37"/>
  <c r="D49" i="37"/>
  <c r="E49" i="37"/>
  <c r="B50" i="37"/>
  <c r="C50" i="37"/>
  <c r="D50" i="37"/>
  <c r="E50" i="37"/>
  <c r="B51" i="37"/>
  <c r="C51" i="37"/>
  <c r="D51" i="37"/>
  <c r="E51" i="37"/>
  <c r="B52" i="37"/>
  <c r="C52" i="37"/>
  <c r="D52" i="37"/>
  <c r="E52" i="37"/>
  <c r="B53" i="37"/>
  <c r="C53" i="37"/>
  <c r="D53" i="37"/>
  <c r="E53" i="37"/>
  <c r="B54" i="37"/>
  <c r="C54" i="37"/>
  <c r="D54" i="37"/>
  <c r="E54" i="37"/>
  <c r="B55" i="37"/>
  <c r="C55" i="37"/>
  <c r="D55" i="37"/>
  <c r="E55" i="37"/>
  <c r="B59" i="37"/>
  <c r="C59" i="37"/>
  <c r="D59" i="37"/>
  <c r="E59" i="37"/>
  <c r="B65" i="42"/>
  <c r="I65" i="42" s="1"/>
  <c r="B63" i="42"/>
  <c r="B62" i="42"/>
  <c r="B61" i="42"/>
  <c r="B60" i="42"/>
  <c r="B59" i="42"/>
  <c r="B57" i="42"/>
  <c r="I57" i="42" s="1"/>
  <c r="B56" i="42"/>
  <c r="B55" i="42"/>
  <c r="B54" i="42"/>
  <c r="B53" i="42"/>
  <c r="B52" i="42"/>
  <c r="B51" i="42"/>
  <c r="B50" i="42"/>
  <c r="B49" i="42"/>
  <c r="B48" i="42"/>
  <c r="B47" i="42"/>
  <c r="B46" i="42"/>
  <c r="B45" i="42"/>
  <c r="B44" i="42"/>
  <c r="B43" i="42"/>
  <c r="B42" i="42"/>
  <c r="B41" i="42"/>
  <c r="B40" i="42"/>
  <c r="B39" i="42"/>
  <c r="B38" i="42"/>
  <c r="B37" i="42"/>
  <c r="B36" i="42"/>
  <c r="B34" i="42"/>
  <c r="B33" i="42"/>
  <c r="B32" i="42"/>
  <c r="B31" i="42"/>
  <c r="B30" i="42"/>
  <c r="B29" i="42"/>
  <c r="B28" i="42"/>
  <c r="B27" i="42"/>
  <c r="B26" i="42"/>
  <c r="B25" i="42"/>
  <c r="B24" i="42"/>
  <c r="B23" i="42"/>
  <c r="B22" i="42"/>
  <c r="B21" i="42"/>
  <c r="B20" i="42"/>
  <c r="B19" i="42"/>
  <c r="B18" i="42"/>
  <c r="B17" i="42"/>
  <c r="B16" i="42"/>
  <c r="B15" i="42"/>
  <c r="B14" i="42"/>
  <c r="B13" i="42"/>
  <c r="B12" i="42"/>
  <c r="B11" i="42"/>
  <c r="B10" i="42"/>
  <c r="B9" i="42"/>
  <c r="B8" i="42"/>
  <c r="B7" i="42"/>
  <c r="B6" i="42"/>
  <c r="E2" i="36"/>
  <c r="F2" i="36"/>
  <c r="G2" i="36"/>
  <c r="M2" i="36"/>
  <c r="M64" i="1"/>
  <c r="M66" i="1"/>
  <c r="L64" i="1"/>
  <c r="B12" i="4"/>
  <c r="K43" i="43"/>
  <c r="K42" i="43"/>
  <c r="K36" i="43"/>
  <c r="K35" i="43"/>
  <c r="K34" i="43"/>
  <c r="H34" i="43"/>
  <c r="K33" i="43"/>
  <c r="H33" i="43"/>
  <c r="K32" i="43"/>
  <c r="H32" i="43"/>
  <c r="K31" i="43"/>
  <c r="H31" i="43"/>
  <c r="K30" i="43"/>
  <c r="H30" i="43"/>
  <c r="K29" i="43"/>
  <c r="H29" i="43"/>
  <c r="K28" i="43"/>
  <c r="H28" i="43"/>
  <c r="K27" i="43"/>
  <c r="H27" i="43"/>
  <c r="K26" i="43"/>
  <c r="H26" i="43"/>
  <c r="K25" i="43"/>
  <c r="H25" i="43"/>
  <c r="M24" i="43"/>
  <c r="K24" i="43"/>
  <c r="H24" i="43"/>
  <c r="K23" i="43"/>
  <c r="H23" i="43"/>
  <c r="K22" i="43"/>
  <c r="H22" i="43"/>
  <c r="K21" i="43"/>
  <c r="H21" i="43"/>
  <c r="K20" i="43"/>
  <c r="H20" i="43"/>
  <c r="K19" i="43"/>
  <c r="H19" i="43"/>
  <c r="K18" i="43"/>
  <c r="H18" i="43"/>
  <c r="K17" i="43"/>
  <c r="H17" i="43"/>
  <c r="K16" i="43"/>
  <c r="H16" i="43"/>
  <c r="K15" i="43"/>
  <c r="H15" i="43"/>
  <c r="K14" i="43"/>
  <c r="H14" i="43"/>
  <c r="M13" i="43"/>
  <c r="K13" i="43"/>
  <c r="H13" i="43"/>
  <c r="K12" i="43"/>
  <c r="H12" i="43"/>
  <c r="M11" i="43"/>
  <c r="K11" i="43"/>
  <c r="H11" i="43"/>
  <c r="K10" i="43"/>
  <c r="H10" i="43"/>
  <c r="K9" i="43"/>
  <c r="H9" i="43"/>
  <c r="K8" i="43"/>
  <c r="H8" i="43"/>
  <c r="K7" i="43"/>
  <c r="H7" i="43"/>
  <c r="K6" i="43"/>
  <c r="H6" i="43"/>
  <c r="H5" i="43"/>
  <c r="K64" i="1"/>
  <c r="B55" i="36"/>
  <c r="B59" i="36"/>
  <c r="I2" i="39" s="1"/>
  <c r="B32" i="39" s="1"/>
  <c r="B57" i="36"/>
  <c r="B56" i="36"/>
  <c r="I36" i="21"/>
  <c r="K36" i="21"/>
  <c r="P66" i="1"/>
  <c r="Q66" i="1"/>
  <c r="O2" i="36"/>
  <c r="O60" i="36" s="1"/>
  <c r="Q2" i="36"/>
  <c r="M34" i="21"/>
  <c r="M31" i="21"/>
  <c r="M28" i="21"/>
  <c r="M27" i="21"/>
  <c r="M24" i="21"/>
  <c r="M22" i="21"/>
  <c r="M20" i="21"/>
  <c r="M19" i="21"/>
  <c r="M18" i="21"/>
  <c r="M15" i="21"/>
  <c r="M11" i="21"/>
  <c r="M10" i="21"/>
  <c r="M7" i="21"/>
  <c r="H35" i="21"/>
  <c r="K35" i="21"/>
  <c r="K5" i="21"/>
  <c r="H5" i="21"/>
  <c r="K42" i="21"/>
  <c r="K41" i="21"/>
  <c r="K34" i="21"/>
  <c r="K33" i="21"/>
  <c r="K32" i="21"/>
  <c r="K31" i="21"/>
  <c r="K30" i="21"/>
  <c r="K29" i="21"/>
  <c r="K28" i="21"/>
  <c r="K27" i="21"/>
  <c r="K26" i="21"/>
  <c r="K25" i="21"/>
  <c r="K24" i="21"/>
  <c r="K23" i="21"/>
  <c r="K22" i="21"/>
  <c r="K21" i="21"/>
  <c r="K20" i="21"/>
  <c r="K19" i="21"/>
  <c r="K18" i="21"/>
  <c r="K17" i="21"/>
  <c r="K16" i="21"/>
  <c r="K15" i="21"/>
  <c r="K14" i="21"/>
  <c r="K13" i="21"/>
  <c r="K12" i="21"/>
  <c r="K11" i="21"/>
  <c r="K10" i="21"/>
  <c r="K9" i="21"/>
  <c r="K8" i="21"/>
  <c r="K7" i="21"/>
  <c r="K6" i="21"/>
  <c r="H14" i="21"/>
  <c r="H34" i="21"/>
  <c r="H33" i="21"/>
  <c r="H32" i="21"/>
  <c r="H31" i="21"/>
  <c r="H30" i="21"/>
  <c r="H29" i="21"/>
  <c r="H28" i="21"/>
  <c r="H27" i="21"/>
  <c r="H26" i="21"/>
  <c r="H25" i="21"/>
  <c r="H24" i="21"/>
  <c r="H23" i="21"/>
  <c r="H22" i="21"/>
  <c r="H21" i="21"/>
  <c r="H20" i="21"/>
  <c r="H19" i="21"/>
  <c r="H18" i="21"/>
  <c r="H17" i="21"/>
  <c r="H16" i="21"/>
  <c r="H15" i="21"/>
  <c r="H13" i="21"/>
  <c r="H12" i="21"/>
  <c r="H11" i="21"/>
  <c r="H10" i="21"/>
  <c r="H9" i="21"/>
  <c r="H8" i="21"/>
  <c r="H7" i="21"/>
  <c r="H6" i="21"/>
  <c r="B2" i="4"/>
  <c r="B11" i="4"/>
  <c r="G24" i="5"/>
  <c r="B2" i="36"/>
  <c r="F24" i="5"/>
  <c r="E24" i="5"/>
  <c r="D24" i="5"/>
  <c r="C24" i="5"/>
  <c r="L66" i="1"/>
  <c r="K66" i="1"/>
  <c r="J66" i="1"/>
  <c r="G65" i="1"/>
  <c r="D65" i="1"/>
  <c r="C65" i="1"/>
  <c r="G64" i="1"/>
  <c r="F64" i="1"/>
  <c r="E64" i="1"/>
  <c r="D64" i="1"/>
  <c r="C64" i="1"/>
  <c r="I65" i="1"/>
  <c r="H65" i="1"/>
  <c r="J64" i="1"/>
  <c r="H64" i="1"/>
  <c r="I64" i="1"/>
  <c r="C56" i="42"/>
  <c r="C55" i="42"/>
  <c r="C54" i="42"/>
  <c r="C53" i="42"/>
  <c r="C52" i="42"/>
  <c r="C51" i="42"/>
  <c r="C50" i="42"/>
  <c r="C49" i="42"/>
  <c r="C48" i="42"/>
  <c r="C47" i="42"/>
  <c r="C46" i="42"/>
  <c r="C45" i="42"/>
  <c r="C44" i="42"/>
  <c r="C43" i="42"/>
  <c r="C42" i="42"/>
  <c r="C41" i="42"/>
  <c r="C40" i="42"/>
  <c r="C39" i="42"/>
  <c r="C38" i="42"/>
  <c r="C37" i="42"/>
  <c r="C36" i="42"/>
  <c r="C35" i="42"/>
  <c r="C34" i="42"/>
  <c r="C33" i="42"/>
  <c r="C32" i="42"/>
  <c r="C31" i="42"/>
  <c r="C30" i="42"/>
  <c r="C29" i="42"/>
  <c r="C28" i="42"/>
  <c r="C27" i="42"/>
  <c r="C26" i="42"/>
  <c r="C25" i="42"/>
  <c r="C24" i="42"/>
  <c r="C23" i="42"/>
  <c r="C22" i="42"/>
  <c r="C21" i="42"/>
  <c r="C20" i="42"/>
  <c r="C19" i="42"/>
  <c r="C18" i="42"/>
  <c r="C17" i="42"/>
  <c r="C16" i="42"/>
  <c r="C15" i="42"/>
  <c r="C14" i="42"/>
  <c r="C13" i="42"/>
  <c r="C12" i="42"/>
  <c r="C11" i="42"/>
  <c r="C10" i="42"/>
  <c r="C9" i="42"/>
  <c r="C8" i="42"/>
  <c r="C7" i="42"/>
  <c r="C6" i="42"/>
  <c r="K37" i="21"/>
  <c r="L36" i="21"/>
  <c r="M36" i="21" s="1"/>
  <c r="M41" i="21"/>
  <c r="H42" i="43"/>
  <c r="H44" i="43"/>
  <c r="R66" i="1"/>
  <c r="H43" i="43"/>
  <c r="R65" i="1"/>
  <c r="J47" i="21"/>
  <c r="E47" i="21"/>
  <c r="P2" i="36"/>
  <c r="T66" i="1"/>
  <c r="E54" i="43"/>
  <c r="D54" i="43" s="1"/>
  <c r="E53" i="21"/>
  <c r="E48" i="21"/>
  <c r="E55" i="43"/>
  <c r="U66" i="1"/>
  <c r="E49" i="21"/>
  <c r="S66" i="1"/>
  <c r="AG61" i="37"/>
  <c r="E45" i="21"/>
  <c r="D47" i="21"/>
  <c r="E46" i="21"/>
  <c r="C7" i="36"/>
  <c r="E44" i="21"/>
  <c r="N2" i="36"/>
  <c r="D61" i="42"/>
  <c r="H45" i="43"/>
  <c r="G47" i="21"/>
  <c r="H46" i="43"/>
  <c r="H130" i="39" l="1"/>
  <c r="H133" i="39" s="1"/>
  <c r="H136" i="39" s="1"/>
  <c r="H139" i="39" s="1"/>
  <c r="H142" i="39" s="1"/>
  <c r="H146" i="39" s="1"/>
  <c r="H151" i="39" s="1"/>
  <c r="H156" i="39" s="1"/>
  <c r="H165" i="39" s="1"/>
  <c r="H174" i="39" s="1"/>
  <c r="U230" i="39"/>
  <c r="D55" i="43"/>
  <c r="D56" i="43" s="1"/>
  <c r="D57" i="43" s="1"/>
  <c r="L37" i="43"/>
  <c r="M37" i="43" s="1"/>
  <c r="H40" i="43"/>
  <c r="K38" i="43"/>
  <c r="AG62" i="37"/>
  <c r="C44" i="36"/>
  <c r="E111" i="39"/>
  <c r="J110" i="39" s="1"/>
  <c r="A110" i="39"/>
  <c r="S269" i="39"/>
  <c r="H96" i="39"/>
  <c r="J98" i="39" s="1"/>
  <c r="AF61" i="37"/>
  <c r="AF62" i="37"/>
  <c r="E54" i="21"/>
  <c r="X2" i="36"/>
  <c r="AB66" i="1"/>
  <c r="BV1" i="37"/>
  <c r="BX1" i="37"/>
  <c r="BW1" i="37"/>
  <c r="Z66" i="1"/>
  <c r="W2" i="36"/>
  <c r="BY1" i="37"/>
  <c r="AA66" i="1"/>
  <c r="C26" i="36"/>
  <c r="D26" i="36" s="1"/>
  <c r="E26" i="36" s="1"/>
  <c r="F26" i="36" s="1"/>
  <c r="G26" i="36" s="1"/>
  <c r="H26" i="36" s="1"/>
  <c r="I26" i="36" s="1"/>
  <c r="J26" i="36" s="1"/>
  <c r="K26" i="36" s="1"/>
  <c r="L26" i="36" s="1"/>
  <c r="M26" i="36" s="1"/>
  <c r="N26" i="36" s="1"/>
  <c r="O26" i="36" s="1"/>
  <c r="P26" i="36" s="1"/>
  <c r="Q26" i="36" s="1"/>
  <c r="R26" i="36" s="1"/>
  <c r="C61" i="36"/>
  <c r="D61" i="36" s="1"/>
  <c r="E61" i="36" s="1"/>
  <c r="F61" i="36" s="1"/>
  <c r="G61" i="36" s="1"/>
  <c r="H61" i="36" s="1"/>
  <c r="I61" i="36" s="1"/>
  <c r="J61" i="36" s="1"/>
  <c r="K61" i="36" s="1"/>
  <c r="L61" i="36" s="1"/>
  <c r="M61" i="36" s="1"/>
  <c r="N61" i="36" s="1"/>
  <c r="O61" i="36" s="1"/>
  <c r="C52" i="36"/>
  <c r="D52" i="36" s="1"/>
  <c r="E52" i="36" s="1"/>
  <c r="F52" i="36" s="1"/>
  <c r="G52" i="36" s="1"/>
  <c r="H52" i="36" s="1"/>
  <c r="I52" i="36" s="1"/>
  <c r="J52" i="36" s="1"/>
  <c r="K52" i="36" s="1"/>
  <c r="L52" i="36" s="1"/>
  <c r="M52" i="36" s="1"/>
  <c r="N52" i="36" s="1"/>
  <c r="O52" i="36" s="1"/>
  <c r="P52" i="36" s="1"/>
  <c r="Q52" i="36" s="1"/>
  <c r="C43" i="36"/>
  <c r="D43" i="36" s="1"/>
  <c r="E43" i="36" s="1"/>
  <c r="F43" i="36" s="1"/>
  <c r="G43" i="36" s="1"/>
  <c r="H43" i="36" s="1"/>
  <c r="I43" i="36" s="1"/>
  <c r="J43" i="36" s="1"/>
  <c r="K43" i="36" s="1"/>
  <c r="L43" i="36" s="1"/>
  <c r="M43" i="36" s="1"/>
  <c r="N43" i="36" s="1"/>
  <c r="O43" i="36" s="1"/>
  <c r="P43" i="36" s="1"/>
  <c r="Q43" i="36" s="1"/>
  <c r="R43" i="36" s="1"/>
  <c r="C28" i="36"/>
  <c r="D28" i="36" s="1"/>
  <c r="E28" i="36" s="1"/>
  <c r="F28" i="36" s="1"/>
  <c r="G28" i="36" s="1"/>
  <c r="H28" i="36" s="1"/>
  <c r="I28" i="36" s="1"/>
  <c r="J28" i="36" s="1"/>
  <c r="K28" i="36" s="1"/>
  <c r="L28" i="36" s="1"/>
  <c r="M28" i="36" s="1"/>
  <c r="N28" i="36" s="1"/>
  <c r="O28" i="36" s="1"/>
  <c r="P28" i="36" s="1"/>
  <c r="Q28" i="36" s="1"/>
  <c r="U2" i="36"/>
  <c r="BU1" i="37"/>
  <c r="BT1" i="37"/>
  <c r="BS1" i="37"/>
  <c r="BR1" i="37"/>
  <c r="C19" i="36"/>
  <c r="D19" i="36" s="1"/>
  <c r="E19" i="36" s="1"/>
  <c r="F19" i="36" s="1"/>
  <c r="G19" i="36" s="1"/>
  <c r="H19" i="36" s="1"/>
  <c r="I19" i="36" s="1"/>
  <c r="J19" i="36" s="1"/>
  <c r="K19" i="36" s="1"/>
  <c r="L19" i="36" s="1"/>
  <c r="M19" i="36" s="1"/>
  <c r="N19" i="36" s="1"/>
  <c r="O19" i="36" s="1"/>
  <c r="P19" i="36" s="1"/>
  <c r="Q19" i="36" s="1"/>
  <c r="R19" i="36" s="1"/>
  <c r="C51" i="36"/>
  <c r="D51" i="36" s="1"/>
  <c r="E51" i="36" s="1"/>
  <c r="F51" i="36" s="1"/>
  <c r="G51" i="36" s="1"/>
  <c r="H51" i="36" s="1"/>
  <c r="I51" i="36" s="1"/>
  <c r="J51" i="36" s="1"/>
  <c r="K51" i="36" s="1"/>
  <c r="L51" i="36" s="1"/>
  <c r="M51" i="36" s="1"/>
  <c r="N51" i="36" s="1"/>
  <c r="O51" i="36" s="1"/>
  <c r="P51" i="36" s="1"/>
  <c r="Q51" i="36" s="1"/>
  <c r="R51" i="36" s="1"/>
  <c r="C50" i="36"/>
  <c r="D50" i="36" s="1"/>
  <c r="E50" i="36" s="1"/>
  <c r="F50" i="36" s="1"/>
  <c r="G50" i="36" s="1"/>
  <c r="H50" i="36" s="1"/>
  <c r="I50" i="36" s="1"/>
  <c r="J50" i="36" s="1"/>
  <c r="K50" i="36" s="1"/>
  <c r="L50" i="36" s="1"/>
  <c r="M50" i="36" s="1"/>
  <c r="N50" i="36" s="1"/>
  <c r="O50" i="36" s="1"/>
  <c r="P50" i="36" s="1"/>
  <c r="Q50" i="36" s="1"/>
  <c r="C45" i="36"/>
  <c r="D45" i="36" s="1"/>
  <c r="E45" i="36" s="1"/>
  <c r="F45" i="36" s="1"/>
  <c r="G45" i="36" s="1"/>
  <c r="H45" i="36" s="1"/>
  <c r="I45" i="36" s="1"/>
  <c r="J45" i="36" s="1"/>
  <c r="K45" i="36" s="1"/>
  <c r="L45" i="36" s="1"/>
  <c r="M45" i="36" s="1"/>
  <c r="N45" i="36" s="1"/>
  <c r="O45" i="36" s="1"/>
  <c r="P45" i="36" s="1"/>
  <c r="Q45" i="36" s="1"/>
  <c r="R45" i="36" s="1"/>
  <c r="C24" i="36"/>
  <c r="C4" i="36"/>
  <c r="D4" i="36" s="1"/>
  <c r="E4" i="36" s="1"/>
  <c r="F4" i="36" s="1"/>
  <c r="G4" i="36" s="1"/>
  <c r="H4" i="36" s="1"/>
  <c r="I4" i="36" s="1"/>
  <c r="J4" i="36" s="1"/>
  <c r="K4" i="36" s="1"/>
  <c r="L4" i="36" s="1"/>
  <c r="M4" i="36" s="1"/>
  <c r="N4" i="36" s="1"/>
  <c r="O4" i="36" s="1"/>
  <c r="P4" i="36" s="1"/>
  <c r="Q4" i="36" s="1"/>
  <c r="C18" i="36"/>
  <c r="D18" i="36" s="1"/>
  <c r="E18" i="36" s="1"/>
  <c r="F18" i="36" s="1"/>
  <c r="G18" i="36" s="1"/>
  <c r="H18" i="36" s="1"/>
  <c r="I18" i="36" s="1"/>
  <c r="J18" i="36" s="1"/>
  <c r="K18" i="36" s="1"/>
  <c r="L18" i="36" s="1"/>
  <c r="M18" i="36" s="1"/>
  <c r="N18" i="36" s="1"/>
  <c r="O18" i="36" s="1"/>
  <c r="P18" i="36" s="1"/>
  <c r="Q18" i="36" s="1"/>
  <c r="R18" i="36" s="1"/>
  <c r="C35" i="36"/>
  <c r="D35" i="36" s="1"/>
  <c r="E35" i="36" s="1"/>
  <c r="F35" i="36" s="1"/>
  <c r="G35" i="36" s="1"/>
  <c r="H35" i="36" s="1"/>
  <c r="I35" i="36" s="1"/>
  <c r="J35" i="36" s="1"/>
  <c r="K35" i="36" s="1"/>
  <c r="L35" i="36" s="1"/>
  <c r="M35" i="36" s="1"/>
  <c r="N35" i="36" s="1"/>
  <c r="O35" i="36" s="1"/>
  <c r="P35" i="36" s="1"/>
  <c r="Q35" i="36" s="1"/>
  <c r="R35" i="36" s="1"/>
  <c r="C49" i="36"/>
  <c r="D49" i="36" s="1"/>
  <c r="E49" i="36" s="1"/>
  <c r="F49" i="36" s="1"/>
  <c r="G49" i="36" s="1"/>
  <c r="H49" i="36" s="1"/>
  <c r="I49" i="36" s="1"/>
  <c r="J49" i="36" s="1"/>
  <c r="K49" i="36" s="1"/>
  <c r="L49" i="36" s="1"/>
  <c r="M49" i="36" s="1"/>
  <c r="N49" i="36" s="1"/>
  <c r="O49" i="36" s="1"/>
  <c r="P49" i="36" s="1"/>
  <c r="Q49" i="36" s="1"/>
  <c r="R49" i="36" s="1"/>
  <c r="C16" i="36"/>
  <c r="D16" i="36" s="1"/>
  <c r="E16" i="36" s="1"/>
  <c r="F16" i="36" s="1"/>
  <c r="G16" i="36" s="1"/>
  <c r="H16" i="36" s="1"/>
  <c r="I16" i="36" s="1"/>
  <c r="J16" i="36" s="1"/>
  <c r="K16" i="36" s="1"/>
  <c r="L16" i="36" s="1"/>
  <c r="M16" i="36" s="1"/>
  <c r="N16" i="36" s="1"/>
  <c r="O16" i="36" s="1"/>
  <c r="P16" i="36" s="1"/>
  <c r="Q16" i="36" s="1"/>
  <c r="R16" i="36" s="1"/>
  <c r="C5" i="36"/>
  <c r="D5" i="36" s="1"/>
  <c r="E5" i="36" s="1"/>
  <c r="F5" i="36" s="1"/>
  <c r="G5" i="36" s="1"/>
  <c r="H5" i="36" s="1"/>
  <c r="I5" i="36" s="1"/>
  <c r="J5" i="36" s="1"/>
  <c r="K5" i="36" s="1"/>
  <c r="L5" i="36" s="1"/>
  <c r="M5" i="36" s="1"/>
  <c r="N5" i="36" s="1"/>
  <c r="O5" i="36" s="1"/>
  <c r="P5" i="36" s="1"/>
  <c r="Q5" i="36" s="1"/>
  <c r="R5" i="36" s="1"/>
  <c r="C14" i="36"/>
  <c r="D14" i="36" s="1"/>
  <c r="E14" i="36" s="1"/>
  <c r="F14" i="36" s="1"/>
  <c r="G14" i="36" s="1"/>
  <c r="H14" i="36" s="1"/>
  <c r="I14" i="36" s="1"/>
  <c r="J14" i="36" s="1"/>
  <c r="K14" i="36" s="1"/>
  <c r="L14" i="36" s="1"/>
  <c r="M14" i="36" s="1"/>
  <c r="N14" i="36" s="1"/>
  <c r="O14" i="36" s="1"/>
  <c r="P14" i="36" s="1"/>
  <c r="Q14" i="36" s="1"/>
  <c r="R14" i="36" s="1"/>
  <c r="C20" i="36"/>
  <c r="C8" i="36"/>
  <c r="C15" i="36"/>
  <c r="D15" i="36" s="1"/>
  <c r="E15" i="36" s="1"/>
  <c r="F15" i="36" s="1"/>
  <c r="G15" i="36" s="1"/>
  <c r="H15" i="36" s="1"/>
  <c r="I15" i="36" s="1"/>
  <c r="J15" i="36" s="1"/>
  <c r="K15" i="36" s="1"/>
  <c r="L15" i="36" s="1"/>
  <c r="M15" i="36" s="1"/>
  <c r="N15" i="36" s="1"/>
  <c r="O15" i="36" s="1"/>
  <c r="P15" i="36" s="1"/>
  <c r="Q15" i="36" s="1"/>
  <c r="R15" i="36" s="1"/>
  <c r="V2" i="36"/>
  <c r="E52" i="21"/>
  <c r="Y66" i="1"/>
  <c r="L65" i="1"/>
  <c r="P65" i="1"/>
  <c r="F65" i="1"/>
  <c r="E51" i="21"/>
  <c r="AE61" i="37"/>
  <c r="E50" i="21"/>
  <c r="T2" i="36"/>
  <c r="S2" i="36"/>
  <c r="BK1" i="37"/>
  <c r="BJ1" i="37"/>
  <c r="BL1" i="37"/>
  <c r="BM1" i="37"/>
  <c r="G22" i="37"/>
  <c r="K22" i="37" s="1"/>
  <c r="O22" i="37" s="1"/>
  <c r="S22" i="37" s="1"/>
  <c r="W22" i="37" s="1"/>
  <c r="AA22" i="37" s="1"/>
  <c r="AE22" i="37" s="1"/>
  <c r="AI22" i="37" s="1"/>
  <c r="X27" i="5"/>
  <c r="G27" i="37"/>
  <c r="K27" i="37" s="1"/>
  <c r="O27" i="37" s="1"/>
  <c r="S27" i="37" s="1"/>
  <c r="W27" i="37" s="1"/>
  <c r="AA27" i="37" s="1"/>
  <c r="AE27" i="37" s="1"/>
  <c r="AI27" i="37" s="1"/>
  <c r="G15" i="37"/>
  <c r="K15" i="37" s="1"/>
  <c r="O15" i="37" s="1"/>
  <c r="S15" i="37" s="1"/>
  <c r="W15" i="37" s="1"/>
  <c r="AA15" i="37" s="1"/>
  <c r="AE15" i="37" s="1"/>
  <c r="AI15" i="37" s="1"/>
  <c r="AE62" i="37"/>
  <c r="W66" i="1"/>
  <c r="AD61" i="37"/>
  <c r="AD62" i="37"/>
  <c r="G35" i="37"/>
  <c r="K35" i="37" s="1"/>
  <c r="O35" i="37" s="1"/>
  <c r="S35" i="37" s="1"/>
  <c r="W35" i="37" s="1"/>
  <c r="AA35" i="37" s="1"/>
  <c r="AE35" i="37" s="1"/>
  <c r="AI35" i="37" s="1"/>
  <c r="G48" i="21"/>
  <c r="L46" i="21"/>
  <c r="M46" i="21" s="1"/>
  <c r="K46" i="21"/>
  <c r="D24" i="36"/>
  <c r="E24" i="36" s="1"/>
  <c r="F24" i="36" s="1"/>
  <c r="G24" i="36" s="1"/>
  <c r="H24" i="36" s="1"/>
  <c r="I24" i="36" s="1"/>
  <c r="J24" i="36" s="1"/>
  <c r="K24" i="36" s="1"/>
  <c r="L24" i="36" s="1"/>
  <c r="M24" i="36" s="1"/>
  <c r="N24" i="36" s="1"/>
  <c r="O24" i="36" s="1"/>
  <c r="P24" i="36" s="1"/>
  <c r="Q24" i="36" s="1"/>
  <c r="R24" i="36" s="1"/>
  <c r="D20" i="36"/>
  <c r="E20" i="36" s="1"/>
  <c r="F20" i="36" s="1"/>
  <c r="G20" i="36" s="1"/>
  <c r="H20" i="36" s="1"/>
  <c r="I20" i="36" s="1"/>
  <c r="J20" i="36" s="1"/>
  <c r="K20" i="36" s="1"/>
  <c r="L20" i="36" s="1"/>
  <c r="M20" i="36" s="1"/>
  <c r="N20" i="36" s="1"/>
  <c r="O20" i="36" s="1"/>
  <c r="P20" i="36" s="1"/>
  <c r="Q20" i="36" s="1"/>
  <c r="R20" i="36" s="1"/>
  <c r="D8" i="36"/>
  <c r="E8" i="36" s="1"/>
  <c r="F8" i="36" s="1"/>
  <c r="G8" i="36" s="1"/>
  <c r="H8" i="36" s="1"/>
  <c r="I8" i="36" s="1"/>
  <c r="J8" i="36" s="1"/>
  <c r="K8" i="36" s="1"/>
  <c r="L8" i="36" s="1"/>
  <c r="M8" i="36" s="1"/>
  <c r="N8" i="36" s="1"/>
  <c r="O8" i="36" s="1"/>
  <c r="P8" i="36" s="1"/>
  <c r="Q8" i="36" s="1"/>
  <c r="R8" i="36" s="1"/>
  <c r="D7" i="36"/>
  <c r="E7" i="36" s="1"/>
  <c r="F7" i="36" s="1"/>
  <c r="G7" i="36" s="1"/>
  <c r="H7" i="36" s="1"/>
  <c r="I7" i="36" s="1"/>
  <c r="J7" i="36" s="1"/>
  <c r="K7" i="36" s="1"/>
  <c r="L7" i="36" s="1"/>
  <c r="M7" i="36" s="1"/>
  <c r="N7" i="36" s="1"/>
  <c r="O7" i="36" s="1"/>
  <c r="P7" i="36" s="1"/>
  <c r="Q7" i="36" s="1"/>
  <c r="R7" i="36" s="1"/>
  <c r="AF57" i="37"/>
  <c r="AJ57" i="37" s="1"/>
  <c r="D44" i="36"/>
  <c r="E44" i="36" s="1"/>
  <c r="F44" i="36" s="1"/>
  <c r="G44" i="36" s="1"/>
  <c r="H44" i="36" s="1"/>
  <c r="I44" i="36" s="1"/>
  <c r="J44" i="36" s="1"/>
  <c r="K44" i="36" s="1"/>
  <c r="L44" i="36" s="1"/>
  <c r="M44" i="36" s="1"/>
  <c r="N44" i="36" s="1"/>
  <c r="O44" i="36" s="1"/>
  <c r="P44" i="36" s="1"/>
  <c r="Q44" i="36" s="1"/>
  <c r="R44" i="36" s="1"/>
  <c r="AE58" i="37"/>
  <c r="AI58" i="37" s="1"/>
  <c r="BB1" i="37"/>
  <c r="BI1" i="37"/>
  <c r="D25" i="36"/>
  <c r="E25" i="36" s="1"/>
  <c r="F25" i="36" s="1"/>
  <c r="G25" i="36" s="1"/>
  <c r="H25" i="36" s="1"/>
  <c r="I25" i="36" s="1"/>
  <c r="J25" i="36" s="1"/>
  <c r="K25" i="36" s="1"/>
  <c r="L25" i="36" s="1"/>
  <c r="M25" i="36" s="1"/>
  <c r="N25" i="36" s="1"/>
  <c r="O25" i="36" s="1"/>
  <c r="P25" i="36" s="1"/>
  <c r="Q25" i="36" s="1"/>
  <c r="R25" i="36" s="1"/>
  <c r="C34" i="36"/>
  <c r="D34" i="36" s="1"/>
  <c r="E34" i="36" s="1"/>
  <c r="F34" i="36" s="1"/>
  <c r="G34" i="36" s="1"/>
  <c r="H34" i="36" s="1"/>
  <c r="I34" i="36" s="1"/>
  <c r="J34" i="36" s="1"/>
  <c r="K34" i="36" s="1"/>
  <c r="L34" i="36" s="1"/>
  <c r="M34" i="36" s="1"/>
  <c r="N34" i="36" s="1"/>
  <c r="O34" i="36" s="1"/>
  <c r="P34" i="36" s="1"/>
  <c r="Q34" i="36" s="1"/>
  <c r="R34" i="36" s="1"/>
  <c r="C32" i="36"/>
  <c r="D32" i="36" s="1"/>
  <c r="E32" i="36" s="1"/>
  <c r="F32" i="36" s="1"/>
  <c r="G32" i="36" s="1"/>
  <c r="H32" i="36" s="1"/>
  <c r="I32" i="36" s="1"/>
  <c r="J32" i="36" s="1"/>
  <c r="K32" i="36" s="1"/>
  <c r="L32" i="36" s="1"/>
  <c r="M32" i="36" s="1"/>
  <c r="N32" i="36" s="1"/>
  <c r="O32" i="36" s="1"/>
  <c r="P32" i="36" s="1"/>
  <c r="Q32" i="36" s="1"/>
  <c r="R32" i="36" s="1"/>
  <c r="C58" i="36"/>
  <c r="D58" i="36" s="1"/>
  <c r="E58" i="36" s="1"/>
  <c r="F58" i="36" s="1"/>
  <c r="G58" i="36" s="1"/>
  <c r="H58" i="36" s="1"/>
  <c r="I58" i="36" s="1"/>
  <c r="J58" i="36" s="1"/>
  <c r="K58" i="36" s="1"/>
  <c r="L58" i="36" s="1"/>
  <c r="M58" i="36" s="1"/>
  <c r="N58" i="36" s="1"/>
  <c r="O58" i="36" s="1"/>
  <c r="P58" i="36" s="1"/>
  <c r="Q58" i="36" s="1"/>
  <c r="R58" i="36" s="1"/>
  <c r="C17" i="36"/>
  <c r="D17" i="36" s="1"/>
  <c r="E17" i="36" s="1"/>
  <c r="F17" i="36" s="1"/>
  <c r="G17" i="36" s="1"/>
  <c r="H17" i="36" s="1"/>
  <c r="I17" i="36" s="1"/>
  <c r="J17" i="36" s="1"/>
  <c r="K17" i="36" s="1"/>
  <c r="L17" i="36" s="1"/>
  <c r="M17" i="36" s="1"/>
  <c r="N17" i="36" s="1"/>
  <c r="O17" i="36" s="1"/>
  <c r="P17" i="36" s="1"/>
  <c r="Q17" i="36" s="1"/>
  <c r="R17" i="36" s="1"/>
  <c r="G23" i="37"/>
  <c r="K23" i="37" s="1"/>
  <c r="O23" i="37" s="1"/>
  <c r="S23" i="37" s="1"/>
  <c r="W23" i="37" s="1"/>
  <c r="AA23" i="37" s="1"/>
  <c r="AE23" i="37" s="1"/>
  <c r="AI23" i="37" s="1"/>
  <c r="C33" i="36"/>
  <c r="D33" i="36" s="1"/>
  <c r="E33" i="36" s="1"/>
  <c r="F33" i="36" s="1"/>
  <c r="G33" i="36" s="1"/>
  <c r="H33" i="36" s="1"/>
  <c r="I33" i="36" s="1"/>
  <c r="J33" i="36" s="1"/>
  <c r="K33" i="36" s="1"/>
  <c r="L33" i="36" s="1"/>
  <c r="M33" i="36" s="1"/>
  <c r="N33" i="36" s="1"/>
  <c r="O33" i="36" s="1"/>
  <c r="P33" i="36" s="1"/>
  <c r="Q33" i="36" s="1"/>
  <c r="R33" i="36" s="1"/>
  <c r="G46" i="37"/>
  <c r="K46" i="37" s="1"/>
  <c r="O46" i="37" s="1"/>
  <c r="S46" i="37" s="1"/>
  <c r="W46" i="37" s="1"/>
  <c r="AA46" i="37" s="1"/>
  <c r="AE46" i="37" s="1"/>
  <c r="AI46" i="37" s="1"/>
  <c r="G40" i="37"/>
  <c r="K40" i="37" s="1"/>
  <c r="O40" i="37" s="1"/>
  <c r="S40" i="37" s="1"/>
  <c r="W40" i="37" s="1"/>
  <c r="AA40" i="37" s="1"/>
  <c r="AE40" i="37" s="1"/>
  <c r="AI40" i="37" s="1"/>
  <c r="G36" i="37"/>
  <c r="K36" i="37" s="1"/>
  <c r="O36" i="37" s="1"/>
  <c r="S36" i="37" s="1"/>
  <c r="W36" i="37" s="1"/>
  <c r="AA36" i="37" s="1"/>
  <c r="AE36" i="37" s="1"/>
  <c r="AI36" i="37" s="1"/>
  <c r="G30" i="37"/>
  <c r="K30" i="37" s="1"/>
  <c r="O30" i="37" s="1"/>
  <c r="S30" i="37" s="1"/>
  <c r="W30" i="37" s="1"/>
  <c r="AA30" i="37" s="1"/>
  <c r="AE30" i="37" s="1"/>
  <c r="AI30" i="37" s="1"/>
  <c r="G28" i="37"/>
  <c r="K28" i="37" s="1"/>
  <c r="O28" i="37" s="1"/>
  <c r="S28" i="37" s="1"/>
  <c r="W28" i="37" s="1"/>
  <c r="AA28" i="37" s="1"/>
  <c r="AE28" i="37" s="1"/>
  <c r="AI28" i="37" s="1"/>
  <c r="G26" i="37"/>
  <c r="K26" i="37" s="1"/>
  <c r="O26" i="37" s="1"/>
  <c r="S26" i="37" s="1"/>
  <c r="W26" i="37" s="1"/>
  <c r="AA26" i="37" s="1"/>
  <c r="AE26" i="37" s="1"/>
  <c r="AI26" i="37" s="1"/>
  <c r="G24" i="37"/>
  <c r="K24" i="37" s="1"/>
  <c r="O24" i="37" s="1"/>
  <c r="S24" i="37" s="1"/>
  <c r="W24" i="37" s="1"/>
  <c r="AA24" i="37" s="1"/>
  <c r="AE24" i="37" s="1"/>
  <c r="AI24" i="37" s="1"/>
  <c r="G20" i="37"/>
  <c r="K20" i="37" s="1"/>
  <c r="O20" i="37" s="1"/>
  <c r="S20" i="37" s="1"/>
  <c r="W20" i="37" s="1"/>
  <c r="AA20" i="37" s="1"/>
  <c r="AE20" i="37" s="1"/>
  <c r="AI20" i="37" s="1"/>
  <c r="G18" i="37"/>
  <c r="K18" i="37" s="1"/>
  <c r="O18" i="37" s="1"/>
  <c r="S18" i="37" s="1"/>
  <c r="W18" i="37" s="1"/>
  <c r="AA18" i="37" s="1"/>
  <c r="AE18" i="37" s="1"/>
  <c r="AI18" i="37" s="1"/>
  <c r="G16" i="37"/>
  <c r="K16" i="37" s="1"/>
  <c r="O16" i="37" s="1"/>
  <c r="S16" i="37" s="1"/>
  <c r="W16" i="37" s="1"/>
  <c r="AA16" i="37" s="1"/>
  <c r="AE16" i="37" s="1"/>
  <c r="AI16" i="37" s="1"/>
  <c r="G14" i="37"/>
  <c r="K14" i="37" s="1"/>
  <c r="O14" i="37" s="1"/>
  <c r="S14" i="37" s="1"/>
  <c r="W14" i="37" s="1"/>
  <c r="AA14" i="37" s="1"/>
  <c r="AE14" i="37" s="1"/>
  <c r="AI14" i="37" s="1"/>
  <c r="G12" i="37"/>
  <c r="K12" i="37" s="1"/>
  <c r="O12" i="37" s="1"/>
  <c r="S12" i="37" s="1"/>
  <c r="W12" i="37" s="1"/>
  <c r="AA12" i="37" s="1"/>
  <c r="AE12" i="37" s="1"/>
  <c r="AI12" i="37" s="1"/>
  <c r="G10" i="37"/>
  <c r="K10" i="37" s="1"/>
  <c r="O10" i="37" s="1"/>
  <c r="S10" i="37" s="1"/>
  <c r="W10" i="37" s="1"/>
  <c r="AA10" i="37" s="1"/>
  <c r="AE10" i="37" s="1"/>
  <c r="AI10" i="37" s="1"/>
  <c r="G8" i="37"/>
  <c r="K8" i="37" s="1"/>
  <c r="O8" i="37" s="1"/>
  <c r="S8" i="37" s="1"/>
  <c r="W8" i="37" s="1"/>
  <c r="AA8" i="37" s="1"/>
  <c r="AE8" i="37" s="1"/>
  <c r="AI8" i="37" s="1"/>
  <c r="G6" i="37"/>
  <c r="K6" i="37" s="1"/>
  <c r="O6" i="37" s="1"/>
  <c r="S6" i="37" s="1"/>
  <c r="W6" i="37" s="1"/>
  <c r="AA6" i="37" s="1"/>
  <c r="AE6" i="37" s="1"/>
  <c r="AI6" i="37" s="1"/>
  <c r="AH56" i="37"/>
  <c r="C47" i="36"/>
  <c r="D47" i="36" s="1"/>
  <c r="E47" i="36" s="1"/>
  <c r="F47" i="36" s="1"/>
  <c r="G47" i="36" s="1"/>
  <c r="H47" i="36" s="1"/>
  <c r="I47" i="36" s="1"/>
  <c r="J47" i="36" s="1"/>
  <c r="K47" i="36" s="1"/>
  <c r="L47" i="36" s="1"/>
  <c r="M47" i="36" s="1"/>
  <c r="N47" i="36" s="1"/>
  <c r="O47" i="36" s="1"/>
  <c r="P47" i="36" s="1"/>
  <c r="Q47" i="36" s="1"/>
  <c r="R47" i="36" s="1"/>
  <c r="C12" i="36"/>
  <c r="D12" i="36" s="1"/>
  <c r="E12" i="36" s="1"/>
  <c r="F12" i="36" s="1"/>
  <c r="G12" i="36" s="1"/>
  <c r="H12" i="36" s="1"/>
  <c r="I12" i="36" s="1"/>
  <c r="J12" i="36" s="1"/>
  <c r="K12" i="36" s="1"/>
  <c r="L12" i="36" s="1"/>
  <c r="M12" i="36" s="1"/>
  <c r="N12" i="36" s="1"/>
  <c r="O12" i="36" s="1"/>
  <c r="P12" i="36" s="1"/>
  <c r="Q12" i="36" s="1"/>
  <c r="C39" i="36"/>
  <c r="D39" i="36" s="1"/>
  <c r="E39" i="36" s="1"/>
  <c r="F39" i="36" s="1"/>
  <c r="G39" i="36" s="1"/>
  <c r="H39" i="36" s="1"/>
  <c r="I39" i="36" s="1"/>
  <c r="J39" i="36" s="1"/>
  <c r="K39" i="36" s="1"/>
  <c r="L39" i="36" s="1"/>
  <c r="M39" i="36" s="1"/>
  <c r="N39" i="36" s="1"/>
  <c r="O39" i="36" s="1"/>
  <c r="P39" i="36" s="1"/>
  <c r="Q39" i="36" s="1"/>
  <c r="AJ56" i="37"/>
  <c r="C36" i="36"/>
  <c r="D36" i="36" s="1"/>
  <c r="E36" i="36" s="1"/>
  <c r="F36" i="36" s="1"/>
  <c r="G36" i="36" s="1"/>
  <c r="H36" i="36" s="1"/>
  <c r="I36" i="36" s="1"/>
  <c r="J36" i="36" s="1"/>
  <c r="K36" i="36" s="1"/>
  <c r="L36" i="36" s="1"/>
  <c r="M36" i="36" s="1"/>
  <c r="N36" i="36" s="1"/>
  <c r="O36" i="36" s="1"/>
  <c r="P36" i="36" s="1"/>
  <c r="Q36" i="36" s="1"/>
  <c r="R36" i="36" s="1"/>
  <c r="C13" i="36"/>
  <c r="D13" i="36" s="1"/>
  <c r="E13" i="36" s="1"/>
  <c r="F13" i="36" s="1"/>
  <c r="G13" i="36" s="1"/>
  <c r="H13" i="36" s="1"/>
  <c r="I13" i="36" s="1"/>
  <c r="J13" i="36" s="1"/>
  <c r="K13" i="36" s="1"/>
  <c r="L13" i="36" s="1"/>
  <c r="M13" i="36" s="1"/>
  <c r="N13" i="36" s="1"/>
  <c r="O13" i="36" s="1"/>
  <c r="P13" i="36" s="1"/>
  <c r="Q13" i="36" s="1"/>
  <c r="R13" i="36" s="1"/>
  <c r="P60" i="36"/>
  <c r="Q60" i="36" s="1"/>
  <c r="R60" i="36" s="1"/>
  <c r="C48" i="36"/>
  <c r="D48" i="36" s="1"/>
  <c r="E48" i="36" s="1"/>
  <c r="F48" i="36" s="1"/>
  <c r="G48" i="36" s="1"/>
  <c r="H48" i="36" s="1"/>
  <c r="I48" i="36" s="1"/>
  <c r="J48" i="36" s="1"/>
  <c r="K48" i="36" s="1"/>
  <c r="L48" i="36" s="1"/>
  <c r="M48" i="36" s="1"/>
  <c r="N48" i="36" s="1"/>
  <c r="O48" i="36" s="1"/>
  <c r="P48" i="36" s="1"/>
  <c r="Q48" i="36" s="1"/>
  <c r="R48" i="36" s="1"/>
  <c r="C22" i="36"/>
  <c r="D22" i="36" s="1"/>
  <c r="E22" i="36" s="1"/>
  <c r="F22" i="36" s="1"/>
  <c r="G22" i="36" s="1"/>
  <c r="H22" i="36" s="1"/>
  <c r="I22" i="36" s="1"/>
  <c r="J22" i="36" s="1"/>
  <c r="K22" i="36" s="1"/>
  <c r="L22" i="36" s="1"/>
  <c r="M22" i="36" s="1"/>
  <c r="N22" i="36" s="1"/>
  <c r="O22" i="36" s="1"/>
  <c r="P22" i="36" s="1"/>
  <c r="Q22" i="36" s="1"/>
  <c r="C9" i="36"/>
  <c r="D9" i="36" s="1"/>
  <c r="E9" i="36" s="1"/>
  <c r="F9" i="36" s="1"/>
  <c r="G9" i="36" s="1"/>
  <c r="H9" i="36" s="1"/>
  <c r="I9" i="36" s="1"/>
  <c r="J9" i="36" s="1"/>
  <c r="K9" i="36" s="1"/>
  <c r="L9" i="36" s="1"/>
  <c r="M9" i="36" s="1"/>
  <c r="N9" i="36" s="1"/>
  <c r="O9" i="36" s="1"/>
  <c r="P9" i="36" s="1"/>
  <c r="Q9" i="36" s="1"/>
  <c r="C38" i="36"/>
  <c r="D38" i="36" s="1"/>
  <c r="E38" i="36" s="1"/>
  <c r="F38" i="36" s="1"/>
  <c r="G38" i="36" s="1"/>
  <c r="H38" i="36" s="1"/>
  <c r="I38" i="36" s="1"/>
  <c r="J38" i="36" s="1"/>
  <c r="K38" i="36" s="1"/>
  <c r="L38" i="36" s="1"/>
  <c r="M38" i="36" s="1"/>
  <c r="N38" i="36" s="1"/>
  <c r="O38" i="36" s="1"/>
  <c r="P38" i="36" s="1"/>
  <c r="Q38" i="36" s="1"/>
  <c r="R38" i="36" s="1"/>
  <c r="C42" i="36"/>
  <c r="D42" i="36" s="1"/>
  <c r="E42" i="36" s="1"/>
  <c r="F42" i="36" s="1"/>
  <c r="G42" i="36" s="1"/>
  <c r="H42" i="36" s="1"/>
  <c r="I42" i="36" s="1"/>
  <c r="J42" i="36" s="1"/>
  <c r="K42" i="36" s="1"/>
  <c r="L42" i="36" s="1"/>
  <c r="M42" i="36" s="1"/>
  <c r="N42" i="36" s="1"/>
  <c r="O42" i="36" s="1"/>
  <c r="P42" i="36" s="1"/>
  <c r="Q42" i="36" s="1"/>
  <c r="R42" i="36" s="1"/>
  <c r="C23" i="36"/>
  <c r="D23" i="36" s="1"/>
  <c r="E23" i="36" s="1"/>
  <c r="F23" i="36" s="1"/>
  <c r="G23" i="36" s="1"/>
  <c r="H23" i="36" s="1"/>
  <c r="I23" i="36" s="1"/>
  <c r="J23" i="36" s="1"/>
  <c r="K23" i="36" s="1"/>
  <c r="L23" i="36" s="1"/>
  <c r="M23" i="36" s="1"/>
  <c r="N23" i="36" s="1"/>
  <c r="O23" i="36" s="1"/>
  <c r="P23" i="36" s="1"/>
  <c r="Q23" i="36" s="1"/>
  <c r="G39" i="37"/>
  <c r="K39" i="37" s="1"/>
  <c r="O39" i="37" s="1"/>
  <c r="S39" i="37" s="1"/>
  <c r="W39" i="37" s="1"/>
  <c r="AA39" i="37" s="1"/>
  <c r="AE39" i="37" s="1"/>
  <c r="AI39" i="37" s="1"/>
  <c r="C6" i="36"/>
  <c r="D6" i="36" s="1"/>
  <c r="E6" i="36" s="1"/>
  <c r="F6" i="36" s="1"/>
  <c r="G6" i="36" s="1"/>
  <c r="H6" i="36" s="1"/>
  <c r="I6" i="36" s="1"/>
  <c r="J6" i="36" s="1"/>
  <c r="K6" i="36" s="1"/>
  <c r="L6" i="36" s="1"/>
  <c r="M6" i="36" s="1"/>
  <c r="N6" i="36" s="1"/>
  <c r="O6" i="36" s="1"/>
  <c r="C29" i="36"/>
  <c r="D29" i="36" s="1"/>
  <c r="E29" i="36" s="1"/>
  <c r="F29" i="36" s="1"/>
  <c r="G29" i="36" s="1"/>
  <c r="H29" i="36" s="1"/>
  <c r="I29" i="36" s="1"/>
  <c r="J29" i="36" s="1"/>
  <c r="K29" i="36" s="1"/>
  <c r="L29" i="36" s="1"/>
  <c r="M29" i="36" s="1"/>
  <c r="N29" i="36" s="1"/>
  <c r="O29" i="36" s="1"/>
  <c r="P29" i="36" s="1"/>
  <c r="Q29" i="36" s="1"/>
  <c r="R29" i="36" s="1"/>
  <c r="Y27" i="5"/>
  <c r="Z27" i="5" s="1"/>
  <c r="AA27" i="5" s="1"/>
  <c r="AB27" i="5" s="1"/>
  <c r="AC27" i="5" s="1"/>
  <c r="AD27" i="5" s="1"/>
  <c r="AE27" i="5" s="1"/>
  <c r="AF27" i="5" s="1"/>
  <c r="AG27" i="5" s="1"/>
  <c r="G49" i="37"/>
  <c r="K49" i="37" s="1"/>
  <c r="O49" i="37" s="1"/>
  <c r="S49" i="37" s="1"/>
  <c r="W49" i="37" s="1"/>
  <c r="AA49" i="37" s="1"/>
  <c r="AE49" i="37" s="1"/>
  <c r="AI49" i="37" s="1"/>
  <c r="G47" i="37"/>
  <c r="K47" i="37" s="1"/>
  <c r="O47" i="37" s="1"/>
  <c r="S47" i="37" s="1"/>
  <c r="W47" i="37" s="1"/>
  <c r="AA47" i="37" s="1"/>
  <c r="AE47" i="37" s="1"/>
  <c r="AI47" i="37" s="1"/>
  <c r="G45" i="37"/>
  <c r="K45" i="37" s="1"/>
  <c r="O45" i="37" s="1"/>
  <c r="S45" i="37" s="1"/>
  <c r="W45" i="37" s="1"/>
  <c r="AA45" i="37" s="1"/>
  <c r="AE45" i="37" s="1"/>
  <c r="AI45" i="37" s="1"/>
  <c r="G43" i="37"/>
  <c r="K43" i="37" s="1"/>
  <c r="O43" i="37" s="1"/>
  <c r="S43" i="37" s="1"/>
  <c r="W43" i="37" s="1"/>
  <c r="AA43" i="37" s="1"/>
  <c r="AE43" i="37" s="1"/>
  <c r="AI43" i="37" s="1"/>
  <c r="G41" i="37"/>
  <c r="K41" i="37" s="1"/>
  <c r="O41" i="37" s="1"/>
  <c r="S41" i="37" s="1"/>
  <c r="W41" i="37" s="1"/>
  <c r="AA41" i="37" s="1"/>
  <c r="AE41" i="37" s="1"/>
  <c r="AI41" i="37" s="1"/>
  <c r="G37" i="37"/>
  <c r="K37" i="37" s="1"/>
  <c r="O37" i="37" s="1"/>
  <c r="S37" i="37" s="1"/>
  <c r="W37" i="37" s="1"/>
  <c r="AA37" i="37" s="1"/>
  <c r="AE37" i="37" s="1"/>
  <c r="AI37" i="37" s="1"/>
  <c r="G33" i="37"/>
  <c r="K33" i="37" s="1"/>
  <c r="O33" i="37" s="1"/>
  <c r="S33" i="37" s="1"/>
  <c r="W33" i="37" s="1"/>
  <c r="AA33" i="37" s="1"/>
  <c r="AE33" i="37" s="1"/>
  <c r="AI33" i="37" s="1"/>
  <c r="G31" i="37"/>
  <c r="K31" i="37" s="1"/>
  <c r="O31" i="37" s="1"/>
  <c r="S31" i="37" s="1"/>
  <c r="W31" i="37" s="1"/>
  <c r="AA31" i="37" s="1"/>
  <c r="AE31" i="37" s="1"/>
  <c r="AI31" i="37" s="1"/>
  <c r="G29" i="37"/>
  <c r="K29" i="37" s="1"/>
  <c r="O29" i="37" s="1"/>
  <c r="S29" i="37" s="1"/>
  <c r="W29" i="37" s="1"/>
  <c r="AA29" i="37" s="1"/>
  <c r="AE29" i="37" s="1"/>
  <c r="AI29" i="37" s="1"/>
  <c r="G25" i="37"/>
  <c r="K25" i="37" s="1"/>
  <c r="O25" i="37" s="1"/>
  <c r="S25" i="37" s="1"/>
  <c r="W25" i="37" s="1"/>
  <c r="AA25" i="37" s="1"/>
  <c r="AE25" i="37" s="1"/>
  <c r="AI25" i="37" s="1"/>
  <c r="G21" i="37"/>
  <c r="K21" i="37" s="1"/>
  <c r="O21" i="37" s="1"/>
  <c r="S21" i="37" s="1"/>
  <c r="W21" i="37" s="1"/>
  <c r="AA21" i="37" s="1"/>
  <c r="AE21" i="37" s="1"/>
  <c r="AI21" i="37" s="1"/>
  <c r="G19" i="37"/>
  <c r="K19" i="37" s="1"/>
  <c r="O19" i="37" s="1"/>
  <c r="S19" i="37" s="1"/>
  <c r="W19" i="37" s="1"/>
  <c r="AA19" i="37" s="1"/>
  <c r="AE19" i="37" s="1"/>
  <c r="AI19" i="37" s="1"/>
  <c r="G17" i="37"/>
  <c r="K17" i="37" s="1"/>
  <c r="O17" i="37" s="1"/>
  <c r="S17" i="37" s="1"/>
  <c r="W17" i="37" s="1"/>
  <c r="AA17" i="37" s="1"/>
  <c r="AE17" i="37" s="1"/>
  <c r="AI17" i="37" s="1"/>
  <c r="G13" i="37"/>
  <c r="K13" i="37" s="1"/>
  <c r="O13" i="37" s="1"/>
  <c r="S13" i="37" s="1"/>
  <c r="W13" i="37" s="1"/>
  <c r="AA13" i="37" s="1"/>
  <c r="AE13" i="37" s="1"/>
  <c r="AI13" i="37" s="1"/>
  <c r="G11" i="37"/>
  <c r="K11" i="37" s="1"/>
  <c r="O11" i="37" s="1"/>
  <c r="S11" i="37" s="1"/>
  <c r="W11" i="37" s="1"/>
  <c r="AA11" i="37" s="1"/>
  <c r="AE11" i="37" s="1"/>
  <c r="AI11" i="37" s="1"/>
  <c r="G9" i="37"/>
  <c r="K9" i="37" s="1"/>
  <c r="O9" i="37" s="1"/>
  <c r="S9" i="37" s="1"/>
  <c r="W9" i="37" s="1"/>
  <c r="AA9" i="37" s="1"/>
  <c r="AE9" i="37" s="1"/>
  <c r="AI9" i="37" s="1"/>
  <c r="G7" i="37"/>
  <c r="K7" i="37" s="1"/>
  <c r="O7" i="37" s="1"/>
  <c r="S7" i="37" s="1"/>
  <c r="W7" i="37" s="1"/>
  <c r="AA7" i="37" s="1"/>
  <c r="AE7" i="37" s="1"/>
  <c r="AI7" i="37" s="1"/>
  <c r="C40" i="36"/>
  <c r="D40" i="36" s="1"/>
  <c r="E40" i="36" s="1"/>
  <c r="F40" i="36" s="1"/>
  <c r="G40" i="36" s="1"/>
  <c r="H40" i="36" s="1"/>
  <c r="I40" i="36" s="1"/>
  <c r="J40" i="36" s="1"/>
  <c r="K40" i="36" s="1"/>
  <c r="L40" i="36" s="1"/>
  <c r="M40" i="36" s="1"/>
  <c r="N40" i="36" s="1"/>
  <c r="O40" i="36" s="1"/>
  <c r="P40" i="36" s="1"/>
  <c r="Q40" i="36" s="1"/>
  <c r="C11" i="36"/>
  <c r="D11" i="36" s="1"/>
  <c r="E11" i="36" s="1"/>
  <c r="F11" i="36" s="1"/>
  <c r="G11" i="36" s="1"/>
  <c r="H11" i="36" s="1"/>
  <c r="I11" i="36" s="1"/>
  <c r="J11" i="36" s="1"/>
  <c r="K11" i="36" s="1"/>
  <c r="L11" i="36" s="1"/>
  <c r="M11" i="36" s="1"/>
  <c r="N11" i="36" s="1"/>
  <c r="O11" i="36" s="1"/>
  <c r="P11" i="36" s="1"/>
  <c r="Q11" i="36" s="1"/>
  <c r="R11" i="36" s="1"/>
  <c r="C37" i="36"/>
  <c r="D37" i="36" s="1"/>
  <c r="E37" i="36" s="1"/>
  <c r="F37" i="36" s="1"/>
  <c r="G37" i="36" s="1"/>
  <c r="H37" i="36" s="1"/>
  <c r="I37" i="36" s="1"/>
  <c r="J37" i="36" s="1"/>
  <c r="K37" i="36" s="1"/>
  <c r="L37" i="36" s="1"/>
  <c r="M37" i="36" s="1"/>
  <c r="N37" i="36" s="1"/>
  <c r="O37" i="36" s="1"/>
  <c r="P37" i="36" s="1"/>
  <c r="Q37" i="36" s="1"/>
  <c r="C30" i="36"/>
  <c r="D30" i="36" s="1"/>
  <c r="E30" i="36" s="1"/>
  <c r="F30" i="36" s="1"/>
  <c r="G30" i="36" s="1"/>
  <c r="H30" i="36" s="1"/>
  <c r="I30" i="36" s="1"/>
  <c r="J30" i="36" s="1"/>
  <c r="K30" i="36" s="1"/>
  <c r="L30" i="36" s="1"/>
  <c r="M30" i="36" s="1"/>
  <c r="N30" i="36" s="1"/>
  <c r="O30" i="36" s="1"/>
  <c r="P30" i="36" s="1"/>
  <c r="Q30" i="36" s="1"/>
  <c r="C31" i="36"/>
  <c r="D31" i="36" s="1"/>
  <c r="E31" i="36" s="1"/>
  <c r="F31" i="36" s="1"/>
  <c r="G31" i="36" s="1"/>
  <c r="H31" i="36" s="1"/>
  <c r="I31" i="36" s="1"/>
  <c r="J31" i="36" s="1"/>
  <c r="K31" i="36" s="1"/>
  <c r="L31" i="36" s="1"/>
  <c r="M31" i="36" s="1"/>
  <c r="N31" i="36" s="1"/>
  <c r="O31" i="36" s="1"/>
  <c r="P31" i="36" s="1"/>
  <c r="Q31" i="36" s="1"/>
  <c r="C27" i="36"/>
  <c r="D27" i="36" s="1"/>
  <c r="E27" i="36" s="1"/>
  <c r="F27" i="36" s="1"/>
  <c r="G27" i="36" s="1"/>
  <c r="H27" i="36" s="1"/>
  <c r="I27" i="36" s="1"/>
  <c r="J27" i="36" s="1"/>
  <c r="K27" i="36" s="1"/>
  <c r="L27" i="36" s="1"/>
  <c r="M27" i="36" s="1"/>
  <c r="N27" i="36" s="1"/>
  <c r="O27" i="36" s="1"/>
  <c r="P27" i="36" s="1"/>
  <c r="Q27" i="36" s="1"/>
  <c r="C10" i="36"/>
  <c r="D10" i="36" s="1"/>
  <c r="E10" i="36" s="1"/>
  <c r="F10" i="36" s="1"/>
  <c r="G10" i="36" s="1"/>
  <c r="H10" i="36" s="1"/>
  <c r="I10" i="36" s="1"/>
  <c r="J10" i="36" s="1"/>
  <c r="K10" i="36" s="1"/>
  <c r="L10" i="36" s="1"/>
  <c r="M10" i="36" s="1"/>
  <c r="N10" i="36" s="1"/>
  <c r="O10" i="36" s="1"/>
  <c r="P10" i="36" s="1"/>
  <c r="Q10" i="36" s="1"/>
  <c r="R10" i="36" s="1"/>
  <c r="C41" i="36"/>
  <c r="D41" i="36" s="1"/>
  <c r="E41" i="36" s="1"/>
  <c r="F41" i="36" s="1"/>
  <c r="G41" i="36" s="1"/>
  <c r="H41" i="36" s="1"/>
  <c r="I41" i="36" s="1"/>
  <c r="J41" i="36" s="1"/>
  <c r="K41" i="36" s="1"/>
  <c r="L41" i="36" s="1"/>
  <c r="M41" i="36" s="1"/>
  <c r="N41" i="36" s="1"/>
  <c r="O41" i="36" s="1"/>
  <c r="P41" i="36" s="1"/>
  <c r="Q41" i="36" s="1"/>
  <c r="C54" i="36"/>
  <c r="D54" i="36" s="1"/>
  <c r="E54" i="36" s="1"/>
  <c r="F54" i="36" s="1"/>
  <c r="G54" i="36" s="1"/>
  <c r="H54" i="36" s="1"/>
  <c r="I54" i="36" s="1"/>
  <c r="J54" i="36" s="1"/>
  <c r="K54" i="36" s="1"/>
  <c r="L54" i="36" s="1"/>
  <c r="M54" i="36" s="1"/>
  <c r="N54" i="36" s="1"/>
  <c r="O54" i="36" s="1"/>
  <c r="P54" i="36" s="1"/>
  <c r="Q54" i="36" s="1"/>
  <c r="R54" i="36" s="1"/>
  <c r="C53" i="36"/>
  <c r="D53" i="36" s="1"/>
  <c r="E53" i="36" s="1"/>
  <c r="F53" i="36" s="1"/>
  <c r="G53" i="36" s="1"/>
  <c r="H53" i="36" s="1"/>
  <c r="I53" i="36" s="1"/>
  <c r="J53" i="36" s="1"/>
  <c r="K53" i="36" s="1"/>
  <c r="L53" i="36" s="1"/>
  <c r="M53" i="36" s="1"/>
  <c r="N53" i="36" s="1"/>
  <c r="O53" i="36" s="1"/>
  <c r="P53" i="36" s="1"/>
  <c r="Q53" i="36" s="1"/>
  <c r="C46" i="36"/>
  <c r="D46" i="36" s="1"/>
  <c r="E46" i="36" s="1"/>
  <c r="F46" i="36" s="1"/>
  <c r="G46" i="36" s="1"/>
  <c r="H46" i="36" s="1"/>
  <c r="I46" i="36" s="1"/>
  <c r="J46" i="36" s="1"/>
  <c r="K46" i="36" s="1"/>
  <c r="L46" i="36" s="1"/>
  <c r="M46" i="36" s="1"/>
  <c r="N46" i="36" s="1"/>
  <c r="O46" i="36" s="1"/>
  <c r="P46" i="36" s="1"/>
  <c r="Q46" i="36" s="1"/>
  <c r="R46" i="36" s="1"/>
  <c r="C21" i="36"/>
  <c r="D21" i="36" s="1"/>
  <c r="E21" i="36" s="1"/>
  <c r="F21" i="36" s="1"/>
  <c r="G21" i="36" s="1"/>
  <c r="H21" i="36" s="1"/>
  <c r="I21" i="36" s="1"/>
  <c r="J21" i="36" s="1"/>
  <c r="K21" i="36" s="1"/>
  <c r="L21" i="36" s="1"/>
  <c r="M21" i="36" s="1"/>
  <c r="N21" i="36" s="1"/>
  <c r="O21" i="36" s="1"/>
  <c r="P21" i="36" s="1"/>
  <c r="Q21" i="36" s="1"/>
  <c r="G60" i="37"/>
  <c r="K60" i="37" s="1"/>
  <c r="O60" i="37" s="1"/>
  <c r="S60" i="37" s="1"/>
  <c r="W60" i="37" s="1"/>
  <c r="AA60" i="37" s="1"/>
  <c r="AE60" i="37" s="1"/>
  <c r="AI60" i="37" s="1"/>
  <c r="AF58" i="37"/>
  <c r="AJ58" i="37" s="1"/>
  <c r="L39" i="21"/>
  <c r="M39" i="21" s="1"/>
  <c r="K39" i="21"/>
  <c r="K40" i="21"/>
  <c r="O65" i="1"/>
  <c r="S270" i="39"/>
  <c r="I62" i="39"/>
  <c r="J62" i="39" s="1"/>
  <c r="AN1" i="37"/>
  <c r="AI56" i="37"/>
  <c r="S275" i="39"/>
  <c r="D111" i="39"/>
  <c r="AD58" i="37"/>
  <c r="AH58" i="37" s="1"/>
  <c r="BF1" i="37"/>
  <c r="BE1" i="37"/>
  <c r="S277" i="39"/>
  <c r="S268" i="39"/>
  <c r="K45" i="43"/>
  <c r="V66" i="1"/>
  <c r="AK57" i="37"/>
  <c r="AO57" i="37" s="1"/>
  <c r="AS57" i="37" s="1"/>
  <c r="S272" i="39"/>
  <c r="AE57" i="37"/>
  <c r="AI57" i="37" s="1"/>
  <c r="BG1" i="37"/>
  <c r="AP1" i="37"/>
  <c r="AD57" i="37"/>
  <c r="AH57" i="37" s="1"/>
  <c r="BC1" i="37"/>
  <c r="AL1" i="37"/>
  <c r="S271" i="39"/>
  <c r="U269" i="39"/>
  <c r="BH1" i="37"/>
  <c r="AM1" i="37"/>
  <c r="W65" i="1"/>
  <c r="L47" i="43"/>
  <c r="M47" i="43" s="1"/>
  <c r="K47" i="43"/>
  <c r="L46" i="43"/>
  <c r="M46" i="43" s="1"/>
  <c r="K45" i="21"/>
  <c r="K46" i="43"/>
  <c r="L45" i="21"/>
  <c r="M45" i="21" s="1"/>
  <c r="C4" i="42"/>
  <c r="B4" i="42"/>
  <c r="J47" i="39"/>
  <c r="J48" i="39" s="1"/>
  <c r="H47" i="43"/>
  <c r="N65" i="1"/>
  <c r="M65" i="1"/>
  <c r="K38" i="21"/>
  <c r="K65" i="1"/>
  <c r="J65" i="1"/>
  <c r="I43" i="21"/>
  <c r="L44" i="43"/>
  <c r="M44" i="43" s="1"/>
  <c r="BA1" i="37"/>
  <c r="AX1" i="37"/>
  <c r="AY1" i="37"/>
  <c r="AZ1" i="37"/>
  <c r="S267" i="39"/>
  <c r="S276" i="39"/>
  <c r="S273" i="39"/>
  <c r="AT1" i="37"/>
  <c r="AU1" i="37"/>
  <c r="AV1" i="37"/>
  <c r="AW1" i="37"/>
  <c r="G55" i="37"/>
  <c r="K55" i="37" s="1"/>
  <c r="O55" i="37" s="1"/>
  <c r="S55" i="37" s="1"/>
  <c r="W55" i="37" s="1"/>
  <c r="AA55" i="37" s="1"/>
  <c r="AE55" i="37" s="1"/>
  <c r="AI55" i="37" s="1"/>
  <c r="G53" i="37"/>
  <c r="K53" i="37" s="1"/>
  <c r="O53" i="37" s="1"/>
  <c r="S53" i="37" s="1"/>
  <c r="W53" i="37" s="1"/>
  <c r="AA53" i="37" s="1"/>
  <c r="AE53" i="37" s="1"/>
  <c r="AI53" i="37" s="1"/>
  <c r="G51" i="37"/>
  <c r="K51" i="37" s="1"/>
  <c r="O51" i="37" s="1"/>
  <c r="S51" i="37" s="1"/>
  <c r="W51" i="37" s="1"/>
  <c r="AA51" i="37" s="1"/>
  <c r="AE51" i="37" s="1"/>
  <c r="AI51" i="37" s="1"/>
  <c r="G48" i="37"/>
  <c r="K48" i="37" s="1"/>
  <c r="O48" i="37" s="1"/>
  <c r="S48" i="37" s="1"/>
  <c r="W48" i="37" s="1"/>
  <c r="AA48" i="37" s="1"/>
  <c r="AE48" i="37" s="1"/>
  <c r="AI48" i="37" s="1"/>
  <c r="G44" i="37"/>
  <c r="K44" i="37" s="1"/>
  <c r="O44" i="37" s="1"/>
  <c r="S44" i="37" s="1"/>
  <c r="W44" i="37" s="1"/>
  <c r="AA44" i="37" s="1"/>
  <c r="AE44" i="37" s="1"/>
  <c r="AI44" i="37" s="1"/>
  <c r="G42" i="37"/>
  <c r="K42" i="37" s="1"/>
  <c r="O42" i="37" s="1"/>
  <c r="S42" i="37" s="1"/>
  <c r="W42" i="37" s="1"/>
  <c r="AA42" i="37" s="1"/>
  <c r="AE42" i="37" s="1"/>
  <c r="AI42" i="37" s="1"/>
  <c r="G38" i="37"/>
  <c r="K38" i="37" s="1"/>
  <c r="O38" i="37" s="1"/>
  <c r="S38" i="37" s="1"/>
  <c r="W38" i="37" s="1"/>
  <c r="AA38" i="37" s="1"/>
  <c r="AE38" i="37" s="1"/>
  <c r="AI38" i="37" s="1"/>
  <c r="G34" i="37"/>
  <c r="K34" i="37" s="1"/>
  <c r="O34" i="37" s="1"/>
  <c r="S34" i="37" s="1"/>
  <c r="W34" i="37" s="1"/>
  <c r="AA34" i="37" s="1"/>
  <c r="AE34" i="37" s="1"/>
  <c r="AI34" i="37" s="1"/>
  <c r="G32" i="37"/>
  <c r="K32" i="37" s="1"/>
  <c r="O32" i="37" s="1"/>
  <c r="S32" i="37" s="1"/>
  <c r="W32" i="37" s="1"/>
  <c r="AA32" i="37" s="1"/>
  <c r="AE32" i="37" s="1"/>
  <c r="AI32" i="37" s="1"/>
  <c r="I1" i="37"/>
  <c r="I28" i="37" s="1"/>
  <c r="M28" i="37" s="1"/>
  <c r="Q28" i="37" s="1"/>
  <c r="U28" i="37" s="1"/>
  <c r="Y28" i="37" s="1"/>
  <c r="AC28" i="37" s="1"/>
  <c r="AG28" i="37" s="1"/>
  <c r="AK28" i="37" s="1"/>
  <c r="AO28" i="37" s="1"/>
  <c r="AS28" i="37" s="1"/>
  <c r="Q65" i="1"/>
  <c r="K44" i="43"/>
  <c r="H1" i="37"/>
  <c r="H44" i="37" s="1"/>
  <c r="L44" i="37" s="1"/>
  <c r="P44" i="37" s="1"/>
  <c r="T44" i="37" s="1"/>
  <c r="X44" i="37" s="1"/>
  <c r="AB44" i="37" s="1"/>
  <c r="AF44" i="37" s="1"/>
  <c r="AJ44" i="37" s="1"/>
  <c r="F1" i="37"/>
  <c r="F6" i="37" s="1"/>
  <c r="J6" i="37" s="1"/>
  <c r="N6" i="37" s="1"/>
  <c r="R6" i="37" s="1"/>
  <c r="V6" i="37" s="1"/>
  <c r="Z6" i="37" s="1"/>
  <c r="AD6" i="37" s="1"/>
  <c r="AH6" i="37" s="1"/>
  <c r="Z271" i="39"/>
  <c r="S278" i="39"/>
  <c r="I66" i="1"/>
  <c r="G59" i="37"/>
  <c r="K59" i="37" s="1"/>
  <c r="O59" i="37" s="1"/>
  <c r="S59" i="37" s="1"/>
  <c r="W59" i="37" s="1"/>
  <c r="AA59" i="37" s="1"/>
  <c r="AE59" i="37" s="1"/>
  <c r="AI59" i="37" s="1"/>
  <c r="G54" i="37"/>
  <c r="K54" i="37" s="1"/>
  <c r="O54" i="37" s="1"/>
  <c r="S54" i="37" s="1"/>
  <c r="W54" i="37" s="1"/>
  <c r="AA54" i="37" s="1"/>
  <c r="AE54" i="37" s="1"/>
  <c r="AI54" i="37" s="1"/>
  <c r="G52" i="37"/>
  <c r="K52" i="37" s="1"/>
  <c r="O52" i="37" s="1"/>
  <c r="S52" i="37" s="1"/>
  <c r="W52" i="37" s="1"/>
  <c r="AA52" i="37" s="1"/>
  <c r="AE52" i="37" s="1"/>
  <c r="AI52" i="37" s="1"/>
  <c r="G50" i="37"/>
  <c r="K50" i="37" s="1"/>
  <c r="O50" i="37" s="1"/>
  <c r="S50" i="37" s="1"/>
  <c r="W50" i="37" s="1"/>
  <c r="AA50" i="37" s="1"/>
  <c r="AE50" i="37" s="1"/>
  <c r="AI50" i="37" s="1"/>
  <c r="G5" i="37"/>
  <c r="K5" i="37" s="1"/>
  <c r="O5" i="37" s="1"/>
  <c r="S5" i="37" s="1"/>
  <c r="W5" i="37" s="1"/>
  <c r="AA5" i="37" s="1"/>
  <c r="AE5" i="37" s="1"/>
  <c r="AI5" i="37" s="1"/>
  <c r="T65" i="1"/>
  <c r="U65" i="1"/>
  <c r="AG56" i="37"/>
  <c r="AK56" i="37" s="1"/>
  <c r="AO56" i="37" s="1"/>
  <c r="AS56" i="37" s="1"/>
  <c r="V65" i="1"/>
  <c r="AG58" i="37"/>
  <c r="AK58" i="37" s="1"/>
  <c r="AO58" i="37" s="1"/>
  <c r="AS58" i="37" s="1"/>
  <c r="J65" i="42"/>
  <c r="J57" i="42"/>
  <c r="M9" i="42"/>
  <c r="I66" i="42" s="1"/>
  <c r="J66" i="42" s="1"/>
  <c r="J44" i="21"/>
  <c r="L44" i="21" s="1"/>
  <c r="M44" i="21" s="1"/>
  <c r="L45" i="43"/>
  <c r="M45" i="43" s="1"/>
  <c r="I176" i="39" l="1"/>
  <c r="J142" i="39"/>
  <c r="J156" i="39"/>
  <c r="K122" i="39"/>
  <c r="K133" i="39"/>
  <c r="J130" i="39"/>
  <c r="J165" i="39"/>
  <c r="J136" i="39"/>
  <c r="K113" i="39"/>
  <c r="K139" i="39"/>
  <c r="K130" i="39"/>
  <c r="K165" i="39"/>
  <c r="K151" i="39"/>
  <c r="J151" i="39"/>
  <c r="J113" i="39"/>
  <c r="K118" i="39"/>
  <c r="J122" i="39"/>
  <c r="J118" i="39"/>
  <c r="J133" i="39"/>
  <c r="J146" i="39"/>
  <c r="K136" i="39"/>
  <c r="K127" i="39"/>
  <c r="K156" i="39"/>
  <c r="K142" i="39"/>
  <c r="J139" i="39"/>
  <c r="K146" i="39"/>
  <c r="J127" i="39"/>
  <c r="I99" i="39"/>
  <c r="J99" i="39" s="1"/>
  <c r="K101" i="39" s="1"/>
  <c r="J66" i="39"/>
  <c r="J64" i="39"/>
  <c r="S45" i="36"/>
  <c r="Z257" i="39"/>
  <c r="S10" i="36"/>
  <c r="T10" i="36" s="1"/>
  <c r="U10" i="36" s="1"/>
  <c r="V10" i="36" s="1"/>
  <c r="S49" i="36"/>
  <c r="S11" i="36"/>
  <c r="T11" i="36" s="1"/>
  <c r="U11" i="36" s="1"/>
  <c r="V11" i="36" s="1"/>
  <c r="W11" i="36" s="1"/>
  <c r="X11" i="36" s="1"/>
  <c r="S42" i="36"/>
  <c r="T42" i="36" s="1"/>
  <c r="U42" i="36" s="1"/>
  <c r="V42" i="36" s="1"/>
  <c r="W42" i="36" s="1"/>
  <c r="S32" i="36"/>
  <c r="T32" i="36" s="1"/>
  <c r="U32" i="36" s="1"/>
  <c r="V32" i="36" s="1"/>
  <c r="W32" i="36" s="1"/>
  <c r="X32" i="36" s="1"/>
  <c r="S19" i="36"/>
  <c r="T19" i="36"/>
  <c r="U19" i="36" s="1"/>
  <c r="V19" i="36" s="1"/>
  <c r="W19" i="36" s="1"/>
  <c r="X19" i="36" s="1"/>
  <c r="T45" i="36"/>
  <c r="U45" i="36" s="1"/>
  <c r="V45" i="36" s="1"/>
  <c r="W45" i="36" s="1"/>
  <c r="X45" i="36" s="1"/>
  <c r="S15" i="36"/>
  <c r="S34" i="36"/>
  <c r="T34" i="36" s="1"/>
  <c r="U34" i="36" s="1"/>
  <c r="V34" i="36" s="1"/>
  <c r="W34" i="36" s="1"/>
  <c r="X34" i="36" s="1"/>
  <c r="S54" i="36"/>
  <c r="T54" i="36" s="1"/>
  <c r="U54" i="36" s="1"/>
  <c r="V54" i="36" s="1"/>
  <c r="W54" i="36" s="1"/>
  <c r="X54" i="36" s="1"/>
  <c r="S38" i="36"/>
  <c r="T38" i="36" s="1"/>
  <c r="U38" i="36" s="1"/>
  <c r="V38" i="36" s="1"/>
  <c r="W38" i="36" s="1"/>
  <c r="X38" i="36" s="1"/>
  <c r="AN56" i="37"/>
  <c r="AR56" i="37" s="1"/>
  <c r="AV56" i="37" s="1"/>
  <c r="AZ56" i="37" s="1"/>
  <c r="BD56" i="37" s="1"/>
  <c r="BH56" i="37" s="1"/>
  <c r="BL56" i="37" s="1"/>
  <c r="BP56" i="37" s="1"/>
  <c r="BT56" i="37" s="1"/>
  <c r="BX56" i="37" s="1"/>
  <c r="CB56" i="37" s="1"/>
  <c r="S7" i="36"/>
  <c r="T7" i="36" s="1"/>
  <c r="U7" i="36" s="1"/>
  <c r="V7" i="36" s="1"/>
  <c r="W7" i="36" s="1"/>
  <c r="X7" i="36" s="1"/>
  <c r="S29" i="36"/>
  <c r="T29" i="36" s="1"/>
  <c r="U29" i="36" s="1"/>
  <c r="V29" i="36" s="1"/>
  <c r="W29" i="36" s="1"/>
  <c r="X29" i="36" s="1"/>
  <c r="S48" i="36"/>
  <c r="T48" i="36" s="1"/>
  <c r="U48" i="36" s="1"/>
  <c r="V48" i="36" s="1"/>
  <c r="W48" i="36" s="1"/>
  <c r="X48" i="36" s="1"/>
  <c r="S33" i="36"/>
  <c r="T33" i="36" s="1"/>
  <c r="U33" i="36" s="1"/>
  <c r="V33" i="36" s="1"/>
  <c r="W33" i="36" s="1"/>
  <c r="X33" i="36" s="1"/>
  <c r="S8" i="36"/>
  <c r="T8" i="36" s="1"/>
  <c r="U8" i="36" s="1"/>
  <c r="S16" i="36"/>
  <c r="T16" i="36" s="1"/>
  <c r="U16" i="36" s="1"/>
  <c r="V16" i="36" s="1"/>
  <c r="W16" i="36" s="1"/>
  <c r="X16" i="36" s="1"/>
  <c r="S60" i="36"/>
  <c r="T60" i="36" s="1"/>
  <c r="U60" i="36" s="1"/>
  <c r="V60" i="36" s="1"/>
  <c r="W60" i="36" s="1"/>
  <c r="X60" i="36" s="1"/>
  <c r="S20" i="36"/>
  <c r="S18" i="36"/>
  <c r="T18" i="36" s="1"/>
  <c r="U18" i="36" s="1"/>
  <c r="S13" i="36"/>
  <c r="T13" i="36" s="1"/>
  <c r="U13" i="36" s="1"/>
  <c r="V13" i="36" s="1"/>
  <c r="W13" i="36" s="1"/>
  <c r="X13" i="36" s="1"/>
  <c r="S17" i="36"/>
  <c r="S35" i="36"/>
  <c r="T35" i="36" s="1"/>
  <c r="U35" i="36" s="1"/>
  <c r="V35" i="36" s="1"/>
  <c r="W35" i="36" s="1"/>
  <c r="X35" i="36" s="1"/>
  <c r="S44" i="36"/>
  <c r="T44" i="36" s="1"/>
  <c r="U44" i="36" s="1"/>
  <c r="V44" i="36" s="1"/>
  <c r="W44" i="36" s="1"/>
  <c r="X44" i="36" s="1"/>
  <c r="S46" i="36"/>
  <c r="S36" i="36"/>
  <c r="T36" i="36" s="1"/>
  <c r="U36" i="36" s="1"/>
  <c r="V36" i="36" s="1"/>
  <c r="W36" i="36" s="1"/>
  <c r="X36" i="36" s="1"/>
  <c r="S58" i="36"/>
  <c r="T58" i="36" s="1"/>
  <c r="U58" i="36" s="1"/>
  <c r="V58" i="36" s="1"/>
  <c r="W58" i="36" s="1"/>
  <c r="X58" i="36" s="1"/>
  <c r="S26" i="36"/>
  <c r="T26" i="36" s="1"/>
  <c r="U26" i="36" s="1"/>
  <c r="V26" i="36" s="1"/>
  <c r="W26" i="36" s="1"/>
  <c r="X26" i="36" s="1"/>
  <c r="S24" i="36"/>
  <c r="T24" i="36" s="1"/>
  <c r="U24" i="36" s="1"/>
  <c r="V24" i="36" s="1"/>
  <c r="W24" i="36" s="1"/>
  <c r="X24" i="36" s="1"/>
  <c r="S43" i="36"/>
  <c r="T43" i="36" s="1"/>
  <c r="U43" i="36" s="1"/>
  <c r="V43" i="36" s="1"/>
  <c r="W43" i="36" s="1"/>
  <c r="X43" i="36" s="1"/>
  <c r="T15" i="36"/>
  <c r="U15" i="36" s="1"/>
  <c r="V15" i="36" s="1"/>
  <c r="W15" i="36" s="1"/>
  <c r="X15" i="36" s="1"/>
  <c r="T49" i="36"/>
  <c r="U49" i="36" s="1"/>
  <c r="V49" i="36" s="1"/>
  <c r="W49" i="36" s="1"/>
  <c r="X49" i="36" s="1"/>
  <c r="AL56" i="37"/>
  <c r="AP56" i="37" s="1"/>
  <c r="AT56" i="37" s="1"/>
  <c r="AX56" i="37" s="1"/>
  <c r="BB56" i="37" s="1"/>
  <c r="BF56" i="37" s="1"/>
  <c r="BJ56" i="37" s="1"/>
  <c r="BN56" i="37" s="1"/>
  <c r="BR56" i="37" s="1"/>
  <c r="BV56" i="37" s="1"/>
  <c r="BZ56" i="37" s="1"/>
  <c r="S51" i="36"/>
  <c r="T51" i="36" s="1"/>
  <c r="U51" i="36" s="1"/>
  <c r="V51" i="36" s="1"/>
  <c r="W51" i="36" s="1"/>
  <c r="X51" i="36" s="1"/>
  <c r="S25" i="36"/>
  <c r="T25" i="36" s="1"/>
  <c r="U25" i="36" s="1"/>
  <c r="V25" i="36" s="1"/>
  <c r="W25" i="36" s="1"/>
  <c r="X25" i="36" s="1"/>
  <c r="I49" i="42"/>
  <c r="J49" i="42" s="1"/>
  <c r="I43" i="42"/>
  <c r="J43" i="42" s="1"/>
  <c r="I45" i="42"/>
  <c r="J45" i="42" s="1"/>
  <c r="I44" i="42"/>
  <c r="J44" i="42" s="1"/>
  <c r="AW28" i="37"/>
  <c r="BA28" i="37" s="1"/>
  <c r="BE28" i="37" s="1"/>
  <c r="AM42" i="37"/>
  <c r="AQ42" i="37" s="1"/>
  <c r="AU42" i="37" s="1"/>
  <c r="AY42" i="37" s="1"/>
  <c r="BC42" i="37" s="1"/>
  <c r="AM5" i="37"/>
  <c r="AQ5" i="37" s="1"/>
  <c r="AU5" i="37" s="1"/>
  <c r="AY5" i="37" s="1"/>
  <c r="BC5" i="37" s="1"/>
  <c r="AN44" i="37"/>
  <c r="AR44" i="37" s="1"/>
  <c r="AV44" i="37" s="1"/>
  <c r="AZ44" i="37" s="1"/>
  <c r="BD44" i="37" s="1"/>
  <c r="S14" i="36"/>
  <c r="T14" i="36" s="1"/>
  <c r="U14" i="36" s="1"/>
  <c r="V14" i="36" s="1"/>
  <c r="W14" i="36" s="1"/>
  <c r="X14" i="36" s="1"/>
  <c r="S5" i="36"/>
  <c r="T5" i="36" s="1"/>
  <c r="U5" i="36" s="1"/>
  <c r="V5" i="36" s="1"/>
  <c r="W5" i="36" s="1"/>
  <c r="X5" i="36" s="1"/>
  <c r="S47" i="36"/>
  <c r="T47" i="36" s="1"/>
  <c r="U47" i="36" s="1"/>
  <c r="V47" i="36" s="1"/>
  <c r="W47" i="36" s="1"/>
  <c r="X47" i="36" s="1"/>
  <c r="AM48" i="37"/>
  <c r="AQ48" i="37" s="1"/>
  <c r="AU48" i="37" s="1"/>
  <c r="AY48" i="37" s="1"/>
  <c r="BC48" i="37" s="1"/>
  <c r="AM52" i="37"/>
  <c r="AQ52" i="37" s="1"/>
  <c r="AU52" i="37" s="1"/>
  <c r="AY52" i="37" s="1"/>
  <c r="BC52" i="37" s="1"/>
  <c r="H47" i="37"/>
  <c r="L47" i="37" s="1"/>
  <c r="P47" i="37" s="1"/>
  <c r="T47" i="37" s="1"/>
  <c r="X47" i="37" s="1"/>
  <c r="AB47" i="37" s="1"/>
  <c r="AF47" i="37" s="1"/>
  <c r="AJ47" i="37" s="1"/>
  <c r="AN47" i="37" s="1"/>
  <c r="AR47" i="37" s="1"/>
  <c r="AV47" i="37" s="1"/>
  <c r="AZ47" i="37" s="1"/>
  <c r="BD47" i="37" s="1"/>
  <c r="AM22" i="37"/>
  <c r="AQ22" i="37" s="1"/>
  <c r="AU22" i="37" s="1"/>
  <c r="AY22" i="37" s="1"/>
  <c r="BC22" i="37" s="1"/>
  <c r="D35" i="42"/>
  <c r="H60" i="37"/>
  <c r="L60" i="37" s="1"/>
  <c r="P60" i="37" s="1"/>
  <c r="T60" i="37" s="1"/>
  <c r="X60" i="37" s="1"/>
  <c r="AB60" i="37" s="1"/>
  <c r="AF60" i="37" s="1"/>
  <c r="AJ60" i="37" s="1"/>
  <c r="AN60" i="37" s="1"/>
  <c r="AR60" i="37" s="1"/>
  <c r="AV60" i="37" s="1"/>
  <c r="AZ60" i="37" s="1"/>
  <c r="BD60" i="37" s="1"/>
  <c r="AM38" i="37"/>
  <c r="AQ38" i="37" s="1"/>
  <c r="AU38" i="37" s="1"/>
  <c r="AY38" i="37" s="1"/>
  <c r="BC38" i="37" s="1"/>
  <c r="AM57" i="37"/>
  <c r="AQ57" i="37" s="1"/>
  <c r="AU57" i="37" s="1"/>
  <c r="AY57" i="37" s="1"/>
  <c r="BC57" i="37" s="1"/>
  <c r="BG57" i="37" s="1"/>
  <c r="BK57" i="37" s="1"/>
  <c r="BO57" i="37" s="1"/>
  <c r="BS57" i="37" s="1"/>
  <c r="BW57" i="37" s="1"/>
  <c r="CA57" i="37" s="1"/>
  <c r="AM35" i="37"/>
  <c r="AQ35" i="37" s="1"/>
  <c r="AU35" i="37" s="1"/>
  <c r="AY35" i="37" s="1"/>
  <c r="BC35" i="37" s="1"/>
  <c r="R40" i="36"/>
  <c r="S40" i="36" s="1"/>
  <c r="T40" i="36" s="1"/>
  <c r="U40" i="36" s="1"/>
  <c r="V40" i="36" s="1"/>
  <c r="W40" i="36" s="1"/>
  <c r="X40" i="36" s="1"/>
  <c r="R39" i="36"/>
  <c r="S39" i="36" s="1"/>
  <c r="T39" i="36" s="1"/>
  <c r="U39" i="36" s="1"/>
  <c r="V39" i="36" s="1"/>
  <c r="W39" i="36" s="1"/>
  <c r="X39" i="36" s="1"/>
  <c r="R50" i="36"/>
  <c r="S50" i="36" s="1"/>
  <c r="T50" i="36" s="1"/>
  <c r="U50" i="36" s="1"/>
  <c r="V50" i="36" s="1"/>
  <c r="I24" i="37"/>
  <c r="M24" i="37" s="1"/>
  <c r="Q24" i="37" s="1"/>
  <c r="U24" i="37" s="1"/>
  <c r="Y24" i="37" s="1"/>
  <c r="AC24" i="37" s="1"/>
  <c r="AG24" i="37" s="1"/>
  <c r="AK24" i="37" s="1"/>
  <c r="AO24" i="37" s="1"/>
  <c r="AS24" i="37" s="1"/>
  <c r="AW24" i="37" s="1"/>
  <c r="BA24" i="37" s="1"/>
  <c r="BE24" i="37" s="1"/>
  <c r="R23" i="36"/>
  <c r="S23" i="36" s="1"/>
  <c r="T23" i="36" s="1"/>
  <c r="U23" i="36" s="1"/>
  <c r="V23" i="36" s="1"/>
  <c r="W23" i="36" s="1"/>
  <c r="X23" i="36" s="1"/>
  <c r="D16" i="42"/>
  <c r="AM45" i="37"/>
  <c r="AQ45" i="37" s="1"/>
  <c r="AU45" i="37" s="1"/>
  <c r="AY45" i="37" s="1"/>
  <c r="BC45" i="37" s="1"/>
  <c r="AM12" i="37"/>
  <c r="AQ12" i="37" s="1"/>
  <c r="AU12" i="37" s="1"/>
  <c r="AY12" i="37" s="1"/>
  <c r="BC12" i="37" s="1"/>
  <c r="AM7" i="37"/>
  <c r="AQ7" i="37" s="1"/>
  <c r="AU7" i="37" s="1"/>
  <c r="AY7" i="37" s="1"/>
  <c r="BC7" i="37" s="1"/>
  <c r="AM29" i="37"/>
  <c r="AQ29" i="37" s="1"/>
  <c r="AU29" i="37" s="1"/>
  <c r="AY29" i="37" s="1"/>
  <c r="BC29" i="37" s="1"/>
  <c r="AM16" i="37"/>
  <c r="AQ16" i="37" s="1"/>
  <c r="AU16" i="37" s="1"/>
  <c r="AY16" i="37" s="1"/>
  <c r="BC16" i="37" s="1"/>
  <c r="AM40" i="37"/>
  <c r="AQ40" i="37" s="1"/>
  <c r="AU40" i="37" s="1"/>
  <c r="AY40" i="37" s="1"/>
  <c r="BC40" i="37" s="1"/>
  <c r="I17" i="37"/>
  <c r="M17" i="37" s="1"/>
  <c r="Q17" i="37" s="1"/>
  <c r="U17" i="37" s="1"/>
  <c r="Y17" i="37" s="1"/>
  <c r="AC17" i="37" s="1"/>
  <c r="AG17" i="37" s="1"/>
  <c r="AK17" i="37" s="1"/>
  <c r="AO17" i="37" s="1"/>
  <c r="AS17" i="37" s="1"/>
  <c r="AW17" i="37" s="1"/>
  <c r="BA17" i="37" s="1"/>
  <c r="BE17" i="37" s="1"/>
  <c r="BI17" i="37" s="1"/>
  <c r="BM17" i="37" s="1"/>
  <c r="BQ17" i="37" s="1"/>
  <c r="BU17" i="37" s="1"/>
  <c r="BY17" i="37" s="1"/>
  <c r="CC17" i="37" s="1"/>
  <c r="CG17" i="37" s="1"/>
  <c r="I23" i="37"/>
  <c r="M23" i="37" s="1"/>
  <c r="Q23" i="37" s="1"/>
  <c r="U23" i="37" s="1"/>
  <c r="Y23" i="37" s="1"/>
  <c r="AC23" i="37" s="1"/>
  <c r="AG23" i="37" s="1"/>
  <c r="AK23" i="37" s="1"/>
  <c r="AO23" i="37" s="1"/>
  <c r="AS23" i="37" s="1"/>
  <c r="AW23" i="37" s="1"/>
  <c r="BA23" i="37" s="1"/>
  <c r="BE23" i="37" s="1"/>
  <c r="BI23" i="37" s="1"/>
  <c r="BM23" i="37" s="1"/>
  <c r="BQ23" i="37" s="1"/>
  <c r="BU23" i="37" s="1"/>
  <c r="BY23" i="37" s="1"/>
  <c r="CC23" i="37" s="1"/>
  <c r="CG23" i="37" s="1"/>
  <c r="R52" i="36"/>
  <c r="S52" i="36" s="1"/>
  <c r="T52" i="36" s="1"/>
  <c r="U52" i="36" s="1"/>
  <c r="V52" i="36" s="1"/>
  <c r="W52" i="36" s="1"/>
  <c r="X52" i="36" s="1"/>
  <c r="I8" i="37"/>
  <c r="M8" i="37" s="1"/>
  <c r="Q8" i="37" s="1"/>
  <c r="U8" i="37" s="1"/>
  <c r="Y8" i="37" s="1"/>
  <c r="AC8" i="37" s="1"/>
  <c r="AG8" i="37" s="1"/>
  <c r="AK8" i="37" s="1"/>
  <c r="AO8" i="37" s="1"/>
  <c r="AS8" i="37" s="1"/>
  <c r="AW8" i="37" s="1"/>
  <c r="BA8" i="37" s="1"/>
  <c r="BE8" i="37" s="1"/>
  <c r="BI8" i="37" s="1"/>
  <c r="AM31" i="37"/>
  <c r="AQ31" i="37" s="1"/>
  <c r="AU31" i="37" s="1"/>
  <c r="AY31" i="37" s="1"/>
  <c r="BC31" i="37" s="1"/>
  <c r="AM6" i="37"/>
  <c r="AQ6" i="37" s="1"/>
  <c r="AU6" i="37" s="1"/>
  <c r="AY6" i="37" s="1"/>
  <c r="AM24" i="37"/>
  <c r="AQ24" i="37" s="1"/>
  <c r="AU24" i="37" s="1"/>
  <c r="AY24" i="37" s="1"/>
  <c r="BC24" i="37" s="1"/>
  <c r="H32" i="37"/>
  <c r="L32" i="37" s="1"/>
  <c r="P32" i="37" s="1"/>
  <c r="T32" i="37" s="1"/>
  <c r="X32" i="37" s="1"/>
  <c r="AB32" i="37" s="1"/>
  <c r="AF32" i="37" s="1"/>
  <c r="AJ32" i="37" s="1"/>
  <c r="AN32" i="37" s="1"/>
  <c r="AR32" i="37" s="1"/>
  <c r="AV32" i="37" s="1"/>
  <c r="AZ32" i="37" s="1"/>
  <c r="BD32" i="37" s="1"/>
  <c r="H39" i="37"/>
  <c r="L39" i="37" s="1"/>
  <c r="P39" i="37" s="1"/>
  <c r="T39" i="37" s="1"/>
  <c r="X39" i="37" s="1"/>
  <c r="AB39" i="37" s="1"/>
  <c r="AF39" i="37" s="1"/>
  <c r="AJ39" i="37" s="1"/>
  <c r="AN39" i="37" s="1"/>
  <c r="AR39" i="37" s="1"/>
  <c r="AV39" i="37" s="1"/>
  <c r="AZ39" i="37" s="1"/>
  <c r="BD39" i="37" s="1"/>
  <c r="H34" i="37"/>
  <c r="L34" i="37" s="1"/>
  <c r="P34" i="37" s="1"/>
  <c r="T34" i="37" s="1"/>
  <c r="X34" i="37" s="1"/>
  <c r="AB34" i="37" s="1"/>
  <c r="AF34" i="37" s="1"/>
  <c r="AJ34" i="37" s="1"/>
  <c r="AN34" i="37" s="1"/>
  <c r="AR34" i="37" s="1"/>
  <c r="AV34" i="37" s="1"/>
  <c r="AZ34" i="37" s="1"/>
  <c r="BD34" i="37" s="1"/>
  <c r="H45" i="37"/>
  <c r="L45" i="37" s="1"/>
  <c r="P45" i="37" s="1"/>
  <c r="T45" i="37" s="1"/>
  <c r="X45" i="37" s="1"/>
  <c r="AB45" i="37" s="1"/>
  <c r="AF45" i="37" s="1"/>
  <c r="AJ45" i="37" s="1"/>
  <c r="AN45" i="37" s="1"/>
  <c r="AR45" i="37" s="1"/>
  <c r="AV45" i="37" s="1"/>
  <c r="AZ45" i="37" s="1"/>
  <c r="BD45" i="37" s="1"/>
  <c r="H46" i="37"/>
  <c r="L46" i="37" s="1"/>
  <c r="P46" i="37" s="1"/>
  <c r="T46" i="37" s="1"/>
  <c r="X46" i="37" s="1"/>
  <c r="AB46" i="37" s="1"/>
  <c r="AF46" i="37" s="1"/>
  <c r="AJ46" i="37" s="1"/>
  <c r="AN46" i="37" s="1"/>
  <c r="AR46" i="37" s="1"/>
  <c r="AV46" i="37" s="1"/>
  <c r="AZ46" i="37" s="1"/>
  <c r="BD46" i="37" s="1"/>
  <c r="R41" i="36"/>
  <c r="S41" i="36" s="1"/>
  <c r="T41" i="36" s="1"/>
  <c r="U41" i="36" s="1"/>
  <c r="V41" i="36" s="1"/>
  <c r="W41" i="36" s="1"/>
  <c r="X41" i="36" s="1"/>
  <c r="R9" i="36"/>
  <c r="S9" i="36" s="1"/>
  <c r="T9" i="36" s="1"/>
  <c r="U9" i="36" s="1"/>
  <c r="V9" i="36" s="1"/>
  <c r="W9" i="36" s="1"/>
  <c r="X9" i="36" s="1"/>
  <c r="R21" i="36"/>
  <c r="S21" i="36" s="1"/>
  <c r="T21" i="36" s="1"/>
  <c r="U21" i="36" s="1"/>
  <c r="V21" i="36" s="1"/>
  <c r="W21" i="36" s="1"/>
  <c r="X21" i="36" s="1"/>
  <c r="R31" i="36"/>
  <c r="S31" i="36" s="1"/>
  <c r="T31" i="36" s="1"/>
  <c r="U31" i="36" s="1"/>
  <c r="V31" i="36" s="1"/>
  <c r="W31" i="36" s="1"/>
  <c r="X31" i="36" s="1"/>
  <c r="R22" i="36"/>
  <c r="S22" i="36" s="1"/>
  <c r="T22" i="36" s="1"/>
  <c r="U22" i="36" s="1"/>
  <c r="V22" i="36" s="1"/>
  <c r="W22" i="36" s="1"/>
  <c r="X22" i="36" s="1"/>
  <c r="R53" i="36"/>
  <c r="S53" i="36" s="1"/>
  <c r="T53" i="36" s="1"/>
  <c r="U53" i="36" s="1"/>
  <c r="V53" i="36" s="1"/>
  <c r="W53" i="36" s="1"/>
  <c r="X53" i="36" s="1"/>
  <c r="P6" i="36"/>
  <c r="Q6" i="36" s="1"/>
  <c r="Q63" i="36" s="1"/>
  <c r="O63" i="36"/>
  <c r="R12" i="36"/>
  <c r="S12" i="36" s="1"/>
  <c r="T12" i="36" s="1"/>
  <c r="U12" i="36" s="1"/>
  <c r="V12" i="36" s="1"/>
  <c r="W12" i="36" s="1"/>
  <c r="X12" i="36" s="1"/>
  <c r="R37" i="36"/>
  <c r="S37" i="36" s="1"/>
  <c r="T37" i="36" s="1"/>
  <c r="U37" i="36" s="1"/>
  <c r="V37" i="36" s="1"/>
  <c r="W37" i="36" s="1"/>
  <c r="X37" i="36" s="1"/>
  <c r="AM50" i="37"/>
  <c r="AQ50" i="37" s="1"/>
  <c r="AU50" i="37" s="1"/>
  <c r="AY50" i="37" s="1"/>
  <c r="BC50" i="37" s="1"/>
  <c r="AM44" i="37"/>
  <c r="AQ44" i="37" s="1"/>
  <c r="AU44" i="37" s="1"/>
  <c r="AY44" i="37" s="1"/>
  <c r="BC44" i="37" s="1"/>
  <c r="H42" i="37"/>
  <c r="L42" i="37" s="1"/>
  <c r="P42" i="37" s="1"/>
  <c r="T42" i="37" s="1"/>
  <c r="X42" i="37" s="1"/>
  <c r="AB42" i="37" s="1"/>
  <c r="AF42" i="37" s="1"/>
  <c r="AJ42" i="37" s="1"/>
  <c r="AN42" i="37" s="1"/>
  <c r="AR42" i="37" s="1"/>
  <c r="AV42" i="37" s="1"/>
  <c r="AZ42" i="37" s="1"/>
  <c r="BD42" i="37" s="1"/>
  <c r="AM27" i="37"/>
  <c r="AQ27" i="37" s="1"/>
  <c r="AU27" i="37" s="1"/>
  <c r="AY27" i="37" s="1"/>
  <c r="BC27" i="37" s="1"/>
  <c r="AM41" i="37"/>
  <c r="AQ41" i="37" s="1"/>
  <c r="AU41" i="37" s="1"/>
  <c r="AY41" i="37" s="1"/>
  <c r="BC41" i="37" s="1"/>
  <c r="H33" i="37"/>
  <c r="L33" i="37" s="1"/>
  <c r="P33" i="37" s="1"/>
  <c r="T33" i="37" s="1"/>
  <c r="X33" i="37" s="1"/>
  <c r="AB33" i="37" s="1"/>
  <c r="AF33" i="37" s="1"/>
  <c r="AJ33" i="37" s="1"/>
  <c r="AN33" i="37" s="1"/>
  <c r="AR33" i="37" s="1"/>
  <c r="AV33" i="37" s="1"/>
  <c r="AZ33" i="37" s="1"/>
  <c r="BD33" i="37" s="1"/>
  <c r="R30" i="36"/>
  <c r="S30" i="36" s="1"/>
  <c r="T30" i="36" s="1"/>
  <c r="U30" i="36" s="1"/>
  <c r="V30" i="36" s="1"/>
  <c r="W30" i="36" s="1"/>
  <c r="X30" i="36" s="1"/>
  <c r="R28" i="36"/>
  <c r="S28" i="36" s="1"/>
  <c r="T28" i="36" s="1"/>
  <c r="U28" i="36" s="1"/>
  <c r="V28" i="36" s="1"/>
  <c r="W28" i="36" s="1"/>
  <c r="X28" i="36" s="1"/>
  <c r="R27" i="36"/>
  <c r="S27" i="36" s="1"/>
  <c r="T27" i="36" s="1"/>
  <c r="U27" i="36" s="1"/>
  <c r="V27" i="36" s="1"/>
  <c r="W27" i="36" s="1"/>
  <c r="X27" i="36" s="1"/>
  <c r="AM17" i="37"/>
  <c r="AQ17" i="37" s="1"/>
  <c r="AU17" i="37" s="1"/>
  <c r="AY17" i="37" s="1"/>
  <c r="BC17" i="37" s="1"/>
  <c r="AM8" i="37"/>
  <c r="AQ8" i="37" s="1"/>
  <c r="AU8" i="37" s="1"/>
  <c r="AY8" i="37" s="1"/>
  <c r="BC8" i="37" s="1"/>
  <c r="AM26" i="37"/>
  <c r="AQ26" i="37" s="1"/>
  <c r="AU26" i="37" s="1"/>
  <c r="AY26" i="37" s="1"/>
  <c r="BC26" i="37" s="1"/>
  <c r="AM13" i="37"/>
  <c r="AQ13" i="37" s="1"/>
  <c r="AU13" i="37" s="1"/>
  <c r="AY13" i="37" s="1"/>
  <c r="BC13" i="37" s="1"/>
  <c r="AM54" i="37"/>
  <c r="AQ54" i="37" s="1"/>
  <c r="AU54" i="37" s="1"/>
  <c r="AY54" i="37" s="1"/>
  <c r="BC54" i="37" s="1"/>
  <c r="H20" i="37"/>
  <c r="L20" i="37" s="1"/>
  <c r="P20" i="37" s="1"/>
  <c r="T20" i="37" s="1"/>
  <c r="X20" i="37" s="1"/>
  <c r="AB20" i="37" s="1"/>
  <c r="AF20" i="37" s="1"/>
  <c r="AJ20" i="37" s="1"/>
  <c r="AN20" i="37" s="1"/>
  <c r="AR20" i="37" s="1"/>
  <c r="AV20" i="37" s="1"/>
  <c r="AZ20" i="37" s="1"/>
  <c r="BD20" i="37" s="1"/>
  <c r="AM51" i="37"/>
  <c r="AQ51" i="37" s="1"/>
  <c r="AU51" i="37" s="1"/>
  <c r="AY51" i="37" s="1"/>
  <c r="BC51" i="37" s="1"/>
  <c r="H35" i="37"/>
  <c r="L35" i="37" s="1"/>
  <c r="P35" i="37" s="1"/>
  <c r="T35" i="37" s="1"/>
  <c r="X35" i="37" s="1"/>
  <c r="AB35" i="37" s="1"/>
  <c r="AF35" i="37" s="1"/>
  <c r="AJ35" i="37" s="1"/>
  <c r="AN35" i="37" s="1"/>
  <c r="AR35" i="37" s="1"/>
  <c r="AV35" i="37" s="1"/>
  <c r="AZ35" i="37" s="1"/>
  <c r="BD35" i="37" s="1"/>
  <c r="AM59" i="37"/>
  <c r="AQ59" i="37" s="1"/>
  <c r="AU59" i="37" s="1"/>
  <c r="AY59" i="37" s="1"/>
  <c r="BC59" i="37" s="1"/>
  <c r="BG59" i="37" s="1"/>
  <c r="BK59" i="37" s="1"/>
  <c r="BO59" i="37" s="1"/>
  <c r="BS59" i="37" s="1"/>
  <c r="BW59" i="37" s="1"/>
  <c r="CA59" i="37" s="1"/>
  <c r="CE59" i="37" s="1"/>
  <c r="H28" i="37"/>
  <c r="L28" i="37" s="1"/>
  <c r="P28" i="37" s="1"/>
  <c r="T28" i="37" s="1"/>
  <c r="X28" i="37" s="1"/>
  <c r="AB28" i="37" s="1"/>
  <c r="AF28" i="37" s="1"/>
  <c r="AJ28" i="37" s="1"/>
  <c r="AN28" i="37" s="1"/>
  <c r="AR28" i="37" s="1"/>
  <c r="AV28" i="37" s="1"/>
  <c r="AZ28" i="37" s="1"/>
  <c r="BD28" i="37" s="1"/>
  <c r="AM53" i="37"/>
  <c r="AQ53" i="37" s="1"/>
  <c r="AU53" i="37" s="1"/>
  <c r="AY53" i="37" s="1"/>
  <c r="BC53" i="37" s="1"/>
  <c r="AM56" i="37"/>
  <c r="AQ56" i="37" s="1"/>
  <c r="AU56" i="37" s="1"/>
  <c r="AY56" i="37" s="1"/>
  <c r="BC56" i="37" s="1"/>
  <c r="BG56" i="37" s="1"/>
  <c r="BK56" i="37" s="1"/>
  <c r="BO56" i="37" s="1"/>
  <c r="BS56" i="37" s="1"/>
  <c r="BW56" i="37" s="1"/>
  <c r="CA56" i="37" s="1"/>
  <c r="AM32" i="37"/>
  <c r="AQ32" i="37" s="1"/>
  <c r="AU32" i="37" s="1"/>
  <c r="AY32" i="37" s="1"/>
  <c r="BC32" i="37" s="1"/>
  <c r="AM55" i="37"/>
  <c r="AQ55" i="37" s="1"/>
  <c r="AU55" i="37" s="1"/>
  <c r="AY55" i="37" s="1"/>
  <c r="BC55" i="37" s="1"/>
  <c r="AM14" i="37"/>
  <c r="AQ14" i="37" s="1"/>
  <c r="AU14" i="37" s="1"/>
  <c r="AY14" i="37" s="1"/>
  <c r="BC14" i="37" s="1"/>
  <c r="AM36" i="37"/>
  <c r="AQ36" i="37" s="1"/>
  <c r="AU36" i="37" s="1"/>
  <c r="AY36" i="37" s="1"/>
  <c r="BC36" i="37" s="1"/>
  <c r="AM43" i="37"/>
  <c r="AQ43" i="37" s="1"/>
  <c r="AU43" i="37" s="1"/>
  <c r="AY43" i="37" s="1"/>
  <c r="BC43" i="37" s="1"/>
  <c r="H43" i="37"/>
  <c r="L43" i="37" s="1"/>
  <c r="P43" i="37" s="1"/>
  <c r="T43" i="37" s="1"/>
  <c r="X43" i="37" s="1"/>
  <c r="AB43" i="37" s="1"/>
  <c r="AF43" i="37" s="1"/>
  <c r="AJ43" i="37" s="1"/>
  <c r="AN43" i="37" s="1"/>
  <c r="AR43" i="37" s="1"/>
  <c r="AV43" i="37" s="1"/>
  <c r="AZ43" i="37" s="1"/>
  <c r="BD43" i="37" s="1"/>
  <c r="AM34" i="37"/>
  <c r="AQ34" i="37" s="1"/>
  <c r="AU34" i="37" s="1"/>
  <c r="AY34" i="37" s="1"/>
  <c r="BC34" i="37" s="1"/>
  <c r="AM58" i="37"/>
  <c r="AQ58" i="37" s="1"/>
  <c r="AU58" i="37" s="1"/>
  <c r="AY58" i="37" s="1"/>
  <c r="BC58" i="37" s="1"/>
  <c r="BG58" i="37" s="1"/>
  <c r="BK58" i="37" s="1"/>
  <c r="BO58" i="37" s="1"/>
  <c r="BS58" i="37" s="1"/>
  <c r="BW58" i="37" s="1"/>
  <c r="CA58" i="37" s="1"/>
  <c r="AM15" i="37"/>
  <c r="AQ15" i="37" s="1"/>
  <c r="AU15" i="37" s="1"/>
  <c r="AY15" i="37" s="1"/>
  <c r="BC15" i="37" s="1"/>
  <c r="H37" i="37"/>
  <c r="L37" i="37" s="1"/>
  <c r="P37" i="37" s="1"/>
  <c r="T37" i="37" s="1"/>
  <c r="X37" i="37" s="1"/>
  <c r="AB37" i="37" s="1"/>
  <c r="AF37" i="37" s="1"/>
  <c r="AJ37" i="37" s="1"/>
  <c r="AN37" i="37" s="1"/>
  <c r="AR37" i="37" s="1"/>
  <c r="AV37" i="37" s="1"/>
  <c r="AZ37" i="37" s="1"/>
  <c r="BD37" i="37" s="1"/>
  <c r="BH37" i="37" s="1"/>
  <c r="BL37" i="37" s="1"/>
  <c r="BP37" i="37" s="1"/>
  <c r="BT37" i="37" s="1"/>
  <c r="BX37" i="37" s="1"/>
  <c r="CB37" i="37" s="1"/>
  <c r="CF37" i="37" s="1"/>
  <c r="AL6" i="37"/>
  <c r="AP6" i="37" s="1"/>
  <c r="AT6" i="37" s="1"/>
  <c r="AX6" i="37" s="1"/>
  <c r="BB6" i="37" s="1"/>
  <c r="BF6" i="37" s="1"/>
  <c r="BJ6" i="37" s="1"/>
  <c r="BN6" i="37" s="1"/>
  <c r="BR6" i="37" s="1"/>
  <c r="BV6" i="37" s="1"/>
  <c r="BZ6" i="37" s="1"/>
  <c r="CD6" i="37" s="1"/>
  <c r="I10" i="37"/>
  <c r="M10" i="37" s="1"/>
  <c r="Q10" i="37" s="1"/>
  <c r="U10" i="37" s="1"/>
  <c r="Y10" i="37" s="1"/>
  <c r="AC10" i="37" s="1"/>
  <c r="AG10" i="37" s="1"/>
  <c r="AK10" i="37" s="1"/>
  <c r="AO10" i="37" s="1"/>
  <c r="AS10" i="37" s="1"/>
  <c r="AW10" i="37" s="1"/>
  <c r="BA10" i="37" s="1"/>
  <c r="BE10" i="37" s="1"/>
  <c r="BI10" i="37" s="1"/>
  <c r="BM10" i="37" s="1"/>
  <c r="BQ10" i="37" s="1"/>
  <c r="BU10" i="37" s="1"/>
  <c r="BY10" i="37" s="1"/>
  <c r="CC10" i="37" s="1"/>
  <c r="CG10" i="37" s="1"/>
  <c r="I26" i="37"/>
  <c r="M26" i="37" s="1"/>
  <c r="Q26" i="37" s="1"/>
  <c r="U26" i="37" s="1"/>
  <c r="Y26" i="37" s="1"/>
  <c r="AC26" i="37" s="1"/>
  <c r="AG26" i="37" s="1"/>
  <c r="AK26" i="37" s="1"/>
  <c r="AO26" i="37" s="1"/>
  <c r="AS26" i="37" s="1"/>
  <c r="AW26" i="37" s="1"/>
  <c r="BA26" i="37" s="1"/>
  <c r="BE26" i="37" s="1"/>
  <c r="N63" i="36"/>
  <c r="AM60" i="37"/>
  <c r="AQ60" i="37" s="1"/>
  <c r="AU60" i="37" s="1"/>
  <c r="AY60" i="37" s="1"/>
  <c r="BC60" i="37" s="1"/>
  <c r="BG60" i="37" s="1"/>
  <c r="BK60" i="37" s="1"/>
  <c r="BO60" i="37" s="1"/>
  <c r="BS60" i="37" s="1"/>
  <c r="BW60" i="37" s="1"/>
  <c r="CA60" i="37" s="1"/>
  <c r="CE60" i="37" s="1"/>
  <c r="AM10" i="37"/>
  <c r="AQ10" i="37" s="1"/>
  <c r="AU10" i="37" s="1"/>
  <c r="AY10" i="37" s="1"/>
  <c r="BC10" i="37" s="1"/>
  <c r="AM28" i="37"/>
  <c r="AQ28" i="37" s="1"/>
  <c r="AU28" i="37" s="1"/>
  <c r="AY28" i="37" s="1"/>
  <c r="BC28" i="37" s="1"/>
  <c r="AM9" i="37"/>
  <c r="AQ9" i="37" s="1"/>
  <c r="AU9" i="37" s="1"/>
  <c r="AY9" i="37" s="1"/>
  <c r="BC9" i="37" s="1"/>
  <c r="AM33" i="37"/>
  <c r="AQ33" i="37" s="1"/>
  <c r="AU33" i="37" s="1"/>
  <c r="AY33" i="37" s="1"/>
  <c r="BC33" i="37" s="1"/>
  <c r="M63" i="36"/>
  <c r="I15" i="37"/>
  <c r="M15" i="37" s="1"/>
  <c r="Q15" i="37" s="1"/>
  <c r="U15" i="37" s="1"/>
  <c r="Y15" i="37" s="1"/>
  <c r="AC15" i="37" s="1"/>
  <c r="AG15" i="37" s="1"/>
  <c r="AK15" i="37" s="1"/>
  <c r="AO15" i="37" s="1"/>
  <c r="AS15" i="37" s="1"/>
  <c r="AW15" i="37" s="1"/>
  <c r="BA15" i="37" s="1"/>
  <c r="BE15" i="37" s="1"/>
  <c r="H18" i="37"/>
  <c r="L18" i="37" s="1"/>
  <c r="P18" i="37" s="1"/>
  <c r="T18" i="37" s="1"/>
  <c r="X18" i="37" s="1"/>
  <c r="AB18" i="37" s="1"/>
  <c r="AF18" i="37" s="1"/>
  <c r="AJ18" i="37" s="1"/>
  <c r="AN18" i="37" s="1"/>
  <c r="AR18" i="37" s="1"/>
  <c r="AV18" i="37" s="1"/>
  <c r="AZ18" i="37" s="1"/>
  <c r="BD18" i="37" s="1"/>
  <c r="H30" i="37"/>
  <c r="L30" i="37" s="1"/>
  <c r="P30" i="37" s="1"/>
  <c r="T30" i="37" s="1"/>
  <c r="X30" i="37" s="1"/>
  <c r="AB30" i="37" s="1"/>
  <c r="AF30" i="37" s="1"/>
  <c r="AJ30" i="37" s="1"/>
  <c r="AN30" i="37" s="1"/>
  <c r="AR30" i="37" s="1"/>
  <c r="AV30" i="37" s="1"/>
  <c r="AZ30" i="37" s="1"/>
  <c r="BD30" i="37" s="1"/>
  <c r="H29" i="37"/>
  <c r="L29" i="37" s="1"/>
  <c r="P29" i="37" s="1"/>
  <c r="T29" i="37" s="1"/>
  <c r="X29" i="37" s="1"/>
  <c r="AB29" i="37" s="1"/>
  <c r="AF29" i="37" s="1"/>
  <c r="AJ29" i="37" s="1"/>
  <c r="AN29" i="37" s="1"/>
  <c r="AR29" i="37" s="1"/>
  <c r="AV29" i="37" s="1"/>
  <c r="AZ29" i="37" s="1"/>
  <c r="BD29" i="37" s="1"/>
  <c r="AL57" i="37"/>
  <c r="AP57" i="37" s="1"/>
  <c r="AT57" i="37" s="1"/>
  <c r="AX57" i="37" s="1"/>
  <c r="BB57" i="37" s="1"/>
  <c r="BF57" i="37" s="1"/>
  <c r="BJ57" i="37" s="1"/>
  <c r="BN57" i="37" s="1"/>
  <c r="BR57" i="37" s="1"/>
  <c r="BV57" i="37" s="1"/>
  <c r="BZ57" i="37" s="1"/>
  <c r="AM30" i="37"/>
  <c r="AQ30" i="37" s="1"/>
  <c r="AU30" i="37" s="1"/>
  <c r="AY30" i="37" s="1"/>
  <c r="BC30" i="37" s="1"/>
  <c r="AM11" i="37"/>
  <c r="AQ11" i="37" s="1"/>
  <c r="AU11" i="37" s="1"/>
  <c r="AY11" i="37" s="1"/>
  <c r="BC11" i="37" s="1"/>
  <c r="AM37" i="37"/>
  <c r="AQ37" i="37" s="1"/>
  <c r="AU37" i="37" s="1"/>
  <c r="AY37" i="37" s="1"/>
  <c r="BC37" i="37" s="1"/>
  <c r="D48" i="21"/>
  <c r="AN57" i="37"/>
  <c r="AR57" i="37" s="1"/>
  <c r="AV57" i="37" s="1"/>
  <c r="AZ57" i="37" s="1"/>
  <c r="BD57" i="37" s="1"/>
  <c r="BH57" i="37" s="1"/>
  <c r="BL57" i="37" s="1"/>
  <c r="BP57" i="37" s="1"/>
  <c r="BT57" i="37" s="1"/>
  <c r="BX57" i="37" s="1"/>
  <c r="CB57" i="37" s="1"/>
  <c r="I25" i="37"/>
  <c r="M25" i="37" s="1"/>
  <c r="Q25" i="37" s="1"/>
  <c r="U25" i="37" s="1"/>
  <c r="Y25" i="37" s="1"/>
  <c r="AC25" i="37" s="1"/>
  <c r="AG25" i="37" s="1"/>
  <c r="AK25" i="37" s="1"/>
  <c r="AO25" i="37" s="1"/>
  <c r="AS25" i="37" s="1"/>
  <c r="AW25" i="37" s="1"/>
  <c r="BA25" i="37" s="1"/>
  <c r="BE25" i="37" s="1"/>
  <c r="AN58" i="37"/>
  <c r="AR58" i="37" s="1"/>
  <c r="AV58" i="37" s="1"/>
  <c r="AZ58" i="37" s="1"/>
  <c r="BD58" i="37" s="1"/>
  <c r="BH58" i="37" s="1"/>
  <c r="BL58" i="37" s="1"/>
  <c r="BP58" i="37" s="1"/>
  <c r="BT58" i="37" s="1"/>
  <c r="BX58" i="37" s="1"/>
  <c r="CB58" i="37" s="1"/>
  <c r="I9" i="37"/>
  <c r="M9" i="37" s="1"/>
  <c r="Q9" i="37" s="1"/>
  <c r="U9" i="37" s="1"/>
  <c r="Y9" i="37" s="1"/>
  <c r="AC9" i="37" s="1"/>
  <c r="AG9" i="37" s="1"/>
  <c r="AK9" i="37" s="1"/>
  <c r="AO9" i="37" s="1"/>
  <c r="AS9" i="37" s="1"/>
  <c r="AW9" i="37" s="1"/>
  <c r="BA9" i="37" s="1"/>
  <c r="BE9" i="37" s="1"/>
  <c r="D15" i="42"/>
  <c r="AL58" i="37"/>
  <c r="AP58" i="37" s="1"/>
  <c r="AT58" i="37" s="1"/>
  <c r="AX58" i="37" s="1"/>
  <c r="BB58" i="37" s="1"/>
  <c r="BF58" i="37" s="1"/>
  <c r="BJ58" i="37" s="1"/>
  <c r="BN58" i="37" s="1"/>
  <c r="BR58" i="37" s="1"/>
  <c r="BV58" i="37" s="1"/>
  <c r="BZ58" i="37" s="1"/>
  <c r="AM18" i="37"/>
  <c r="AQ18" i="37" s="1"/>
  <c r="AU18" i="37" s="1"/>
  <c r="AY18" i="37" s="1"/>
  <c r="BC18" i="37" s="1"/>
  <c r="AM46" i="37"/>
  <c r="AQ46" i="37" s="1"/>
  <c r="AU46" i="37" s="1"/>
  <c r="AY46" i="37" s="1"/>
  <c r="BC46" i="37" s="1"/>
  <c r="AM19" i="37"/>
  <c r="AQ19" i="37" s="1"/>
  <c r="AU19" i="37" s="1"/>
  <c r="AY19" i="37" s="1"/>
  <c r="BC19" i="37" s="1"/>
  <c r="AM47" i="37"/>
  <c r="AQ47" i="37" s="1"/>
  <c r="AU47" i="37" s="1"/>
  <c r="AY47" i="37" s="1"/>
  <c r="BC47" i="37" s="1"/>
  <c r="R4" i="36"/>
  <c r="S4" i="36" s="1"/>
  <c r="T4" i="36" s="1"/>
  <c r="U4" i="36" s="1"/>
  <c r="H31" i="37"/>
  <c r="L31" i="37" s="1"/>
  <c r="P31" i="37" s="1"/>
  <c r="T31" i="37" s="1"/>
  <c r="X31" i="37" s="1"/>
  <c r="AB31" i="37" s="1"/>
  <c r="AF31" i="37" s="1"/>
  <c r="AJ31" i="37" s="1"/>
  <c r="AN31" i="37" s="1"/>
  <c r="AR31" i="37" s="1"/>
  <c r="AV31" i="37" s="1"/>
  <c r="AZ31" i="37" s="1"/>
  <c r="BD31" i="37" s="1"/>
  <c r="I14" i="37"/>
  <c r="M14" i="37" s="1"/>
  <c r="Q14" i="37" s="1"/>
  <c r="U14" i="37" s="1"/>
  <c r="Y14" i="37" s="1"/>
  <c r="AC14" i="37" s="1"/>
  <c r="AG14" i="37" s="1"/>
  <c r="AK14" i="37" s="1"/>
  <c r="AO14" i="37" s="1"/>
  <c r="AS14" i="37" s="1"/>
  <c r="AW14" i="37" s="1"/>
  <c r="BA14" i="37" s="1"/>
  <c r="BE14" i="37" s="1"/>
  <c r="D38" i="42"/>
  <c r="AM20" i="37"/>
  <c r="AQ20" i="37" s="1"/>
  <c r="AU20" i="37" s="1"/>
  <c r="AY20" i="37" s="1"/>
  <c r="BC20" i="37" s="1"/>
  <c r="AM39" i="37"/>
  <c r="AQ39" i="37" s="1"/>
  <c r="AU39" i="37" s="1"/>
  <c r="AY39" i="37" s="1"/>
  <c r="BC39" i="37" s="1"/>
  <c r="AM21" i="37"/>
  <c r="AQ21" i="37" s="1"/>
  <c r="AU21" i="37" s="1"/>
  <c r="AY21" i="37" s="1"/>
  <c r="BC21" i="37" s="1"/>
  <c r="AM49" i="37"/>
  <c r="AQ49" i="37" s="1"/>
  <c r="AU49" i="37" s="1"/>
  <c r="AY49" i="37" s="1"/>
  <c r="BC49" i="37" s="1"/>
  <c r="L63" i="36"/>
  <c r="I16" i="37"/>
  <c r="M16" i="37" s="1"/>
  <c r="Q16" i="37" s="1"/>
  <c r="U16" i="37" s="1"/>
  <c r="Y16" i="37" s="1"/>
  <c r="AC16" i="37" s="1"/>
  <c r="AG16" i="37" s="1"/>
  <c r="AK16" i="37" s="1"/>
  <c r="AO16" i="37" s="1"/>
  <c r="AS16" i="37" s="1"/>
  <c r="AW16" i="37" s="1"/>
  <c r="BA16" i="37" s="1"/>
  <c r="BE16" i="37" s="1"/>
  <c r="AM25" i="37"/>
  <c r="AQ25" i="37" s="1"/>
  <c r="AU25" i="37" s="1"/>
  <c r="AY25" i="37" s="1"/>
  <c r="BC25" i="37" s="1"/>
  <c r="AM23" i="37"/>
  <c r="AQ23" i="37" s="1"/>
  <c r="AU23" i="37" s="1"/>
  <c r="AY23" i="37" s="1"/>
  <c r="BC23" i="37" s="1"/>
  <c r="I42" i="42"/>
  <c r="J42" i="42" s="1"/>
  <c r="I21" i="42"/>
  <c r="J21" i="42" s="1"/>
  <c r="I47" i="42"/>
  <c r="J47" i="42" s="1"/>
  <c r="I46" i="42"/>
  <c r="J46" i="42" s="1"/>
  <c r="I14" i="42"/>
  <c r="J14" i="42" s="1"/>
  <c r="I25" i="42"/>
  <c r="J25" i="42" s="1"/>
  <c r="I28" i="42"/>
  <c r="J28" i="42" s="1"/>
  <c r="I19" i="42"/>
  <c r="J19" i="42" s="1"/>
  <c r="I5" i="42"/>
  <c r="J5" i="42" s="1"/>
  <c r="I13" i="42"/>
  <c r="J13" i="42" s="1"/>
  <c r="I35" i="42"/>
  <c r="J35" i="42" s="1"/>
  <c r="I41" i="42"/>
  <c r="J41" i="42" s="1"/>
  <c r="I40" i="42"/>
  <c r="J40" i="42" s="1"/>
  <c r="I60" i="42"/>
  <c r="J60" i="42" s="1"/>
  <c r="I39" i="42"/>
  <c r="J39" i="42" s="1"/>
  <c r="I23" i="42"/>
  <c r="J23" i="42" s="1"/>
  <c r="I29" i="42"/>
  <c r="J29" i="42" s="1"/>
  <c r="I59" i="42"/>
  <c r="J59" i="42" s="1"/>
  <c r="I6" i="42"/>
  <c r="J6" i="42" s="1"/>
  <c r="I48" i="42"/>
  <c r="J48" i="42" s="1"/>
  <c r="I22" i="42"/>
  <c r="J22" i="42" s="1"/>
  <c r="AW61" i="37"/>
  <c r="BA61" i="37" s="1"/>
  <c r="BE61" i="37" s="1"/>
  <c r="BI61" i="37" s="1"/>
  <c r="BM61" i="37" s="1"/>
  <c r="BQ61" i="37" s="1"/>
  <c r="BU61" i="37" s="1"/>
  <c r="BY61" i="37" s="1"/>
  <c r="CC61" i="37" s="1"/>
  <c r="AW62" i="37"/>
  <c r="BA62" i="37" s="1"/>
  <c r="BE62" i="37" s="1"/>
  <c r="BI62" i="37" s="1"/>
  <c r="BM62" i="37" s="1"/>
  <c r="BQ62" i="37" s="1"/>
  <c r="BU62" i="37" s="1"/>
  <c r="BY62" i="37" s="1"/>
  <c r="CC62" i="37" s="1"/>
  <c r="J102" i="39"/>
  <c r="J104" i="39"/>
  <c r="J103" i="39"/>
  <c r="J100" i="39"/>
  <c r="L43" i="21"/>
  <c r="M43" i="21" s="1"/>
  <c r="K44" i="21"/>
  <c r="K43" i="21"/>
  <c r="I34" i="42"/>
  <c r="J34" i="42" s="1"/>
  <c r="I8" i="42"/>
  <c r="J8" i="42" s="1"/>
  <c r="I54" i="42"/>
  <c r="J54" i="42" s="1"/>
  <c r="I19" i="37"/>
  <c r="M19" i="37" s="1"/>
  <c r="Q19" i="37" s="1"/>
  <c r="U19" i="37" s="1"/>
  <c r="Y19" i="37" s="1"/>
  <c r="AC19" i="37" s="1"/>
  <c r="AG19" i="37" s="1"/>
  <c r="AK19" i="37" s="1"/>
  <c r="AO19" i="37" s="1"/>
  <c r="AS19" i="37" s="1"/>
  <c r="AW19" i="37" s="1"/>
  <c r="BA19" i="37" s="1"/>
  <c r="BE19" i="37" s="1"/>
  <c r="H54" i="37"/>
  <c r="L54" i="37" s="1"/>
  <c r="P54" i="37" s="1"/>
  <c r="T54" i="37" s="1"/>
  <c r="X54" i="37" s="1"/>
  <c r="AB54" i="37" s="1"/>
  <c r="AF54" i="37" s="1"/>
  <c r="AJ54" i="37" s="1"/>
  <c r="AN54" i="37" s="1"/>
  <c r="AR54" i="37" s="1"/>
  <c r="AV54" i="37" s="1"/>
  <c r="AZ54" i="37" s="1"/>
  <c r="BD54" i="37" s="1"/>
  <c r="H51" i="37"/>
  <c r="L51" i="37" s="1"/>
  <c r="P51" i="37" s="1"/>
  <c r="T51" i="37" s="1"/>
  <c r="X51" i="37" s="1"/>
  <c r="AB51" i="37" s="1"/>
  <c r="AF51" i="37" s="1"/>
  <c r="AJ51" i="37" s="1"/>
  <c r="AN51" i="37" s="1"/>
  <c r="AR51" i="37" s="1"/>
  <c r="AV51" i="37" s="1"/>
  <c r="AZ51" i="37" s="1"/>
  <c r="BD51" i="37" s="1"/>
  <c r="H50" i="37"/>
  <c r="L50" i="37" s="1"/>
  <c r="P50" i="37" s="1"/>
  <c r="T50" i="37" s="1"/>
  <c r="X50" i="37" s="1"/>
  <c r="AB50" i="37" s="1"/>
  <c r="AF50" i="37" s="1"/>
  <c r="AJ50" i="37" s="1"/>
  <c r="AN50" i="37" s="1"/>
  <c r="AR50" i="37" s="1"/>
  <c r="AV50" i="37" s="1"/>
  <c r="AZ50" i="37" s="1"/>
  <c r="BD50" i="37" s="1"/>
  <c r="H48" i="37"/>
  <c r="L48" i="37" s="1"/>
  <c r="P48" i="37" s="1"/>
  <c r="T48" i="37" s="1"/>
  <c r="X48" i="37" s="1"/>
  <c r="AB48" i="37" s="1"/>
  <c r="AF48" i="37" s="1"/>
  <c r="AJ48" i="37" s="1"/>
  <c r="AN48" i="37" s="1"/>
  <c r="AR48" i="37" s="1"/>
  <c r="AV48" i="37" s="1"/>
  <c r="AZ48" i="37" s="1"/>
  <c r="BD48" i="37" s="1"/>
  <c r="H7" i="37"/>
  <c r="L7" i="37" s="1"/>
  <c r="P7" i="37" s="1"/>
  <c r="T7" i="37" s="1"/>
  <c r="X7" i="37" s="1"/>
  <c r="AB7" i="37" s="1"/>
  <c r="AF7" i="37" s="1"/>
  <c r="AJ7" i="37" s="1"/>
  <c r="AN7" i="37" s="1"/>
  <c r="AR7" i="37" s="1"/>
  <c r="AV7" i="37" s="1"/>
  <c r="AZ7" i="37" s="1"/>
  <c r="BD7" i="37" s="1"/>
  <c r="H59" i="37"/>
  <c r="L59" i="37" s="1"/>
  <c r="P59" i="37" s="1"/>
  <c r="T59" i="37" s="1"/>
  <c r="X59" i="37" s="1"/>
  <c r="AB59" i="37" s="1"/>
  <c r="AF59" i="37" s="1"/>
  <c r="AJ59" i="37" s="1"/>
  <c r="AN59" i="37" s="1"/>
  <c r="AR59" i="37" s="1"/>
  <c r="AV59" i="37" s="1"/>
  <c r="AZ59" i="37" s="1"/>
  <c r="BD59" i="37" s="1"/>
  <c r="H55" i="37"/>
  <c r="L55" i="37" s="1"/>
  <c r="P55" i="37" s="1"/>
  <c r="T55" i="37" s="1"/>
  <c r="X55" i="37" s="1"/>
  <c r="AB55" i="37" s="1"/>
  <c r="AF55" i="37" s="1"/>
  <c r="AJ55" i="37" s="1"/>
  <c r="AN55" i="37" s="1"/>
  <c r="AR55" i="37" s="1"/>
  <c r="AV55" i="37" s="1"/>
  <c r="AZ55" i="37" s="1"/>
  <c r="BD55" i="37" s="1"/>
  <c r="H17" i="37"/>
  <c r="L17" i="37" s="1"/>
  <c r="P17" i="37" s="1"/>
  <c r="T17" i="37" s="1"/>
  <c r="X17" i="37" s="1"/>
  <c r="AB17" i="37" s="1"/>
  <c r="AF17" i="37" s="1"/>
  <c r="AJ17" i="37" s="1"/>
  <c r="AN17" i="37" s="1"/>
  <c r="AR17" i="37" s="1"/>
  <c r="AV17" i="37" s="1"/>
  <c r="AZ17" i="37" s="1"/>
  <c r="BD17" i="37" s="1"/>
  <c r="H53" i="37"/>
  <c r="L53" i="37" s="1"/>
  <c r="P53" i="37" s="1"/>
  <c r="T53" i="37" s="1"/>
  <c r="X53" i="37" s="1"/>
  <c r="AB53" i="37" s="1"/>
  <c r="AF53" i="37" s="1"/>
  <c r="AJ53" i="37" s="1"/>
  <c r="AN53" i="37" s="1"/>
  <c r="AR53" i="37" s="1"/>
  <c r="AV53" i="37" s="1"/>
  <c r="AZ53" i="37" s="1"/>
  <c r="BD53" i="37" s="1"/>
  <c r="H52" i="37"/>
  <c r="L52" i="37" s="1"/>
  <c r="P52" i="37" s="1"/>
  <c r="T52" i="37" s="1"/>
  <c r="X52" i="37" s="1"/>
  <c r="AB52" i="37" s="1"/>
  <c r="AF52" i="37" s="1"/>
  <c r="AJ52" i="37" s="1"/>
  <c r="AN52" i="37" s="1"/>
  <c r="AR52" i="37" s="1"/>
  <c r="AV52" i="37" s="1"/>
  <c r="AZ52" i="37" s="1"/>
  <c r="BD52" i="37" s="1"/>
  <c r="H8" i="37"/>
  <c r="L8" i="37" s="1"/>
  <c r="P8" i="37" s="1"/>
  <c r="T8" i="37" s="1"/>
  <c r="X8" i="37" s="1"/>
  <c r="AB8" i="37" s="1"/>
  <c r="AF8" i="37" s="1"/>
  <c r="AJ8" i="37" s="1"/>
  <c r="AN8" i="37" s="1"/>
  <c r="AR8" i="37" s="1"/>
  <c r="AV8" i="37" s="1"/>
  <c r="AZ8" i="37" s="1"/>
  <c r="BD8" i="37" s="1"/>
  <c r="H10" i="37"/>
  <c r="L10" i="37" s="1"/>
  <c r="P10" i="37" s="1"/>
  <c r="T10" i="37" s="1"/>
  <c r="X10" i="37" s="1"/>
  <c r="AB10" i="37" s="1"/>
  <c r="AF10" i="37" s="1"/>
  <c r="AJ10" i="37" s="1"/>
  <c r="AN10" i="37" s="1"/>
  <c r="AR10" i="37" s="1"/>
  <c r="AV10" i="37" s="1"/>
  <c r="AZ10" i="37" s="1"/>
  <c r="BD10" i="37" s="1"/>
  <c r="H16" i="37"/>
  <c r="L16" i="37" s="1"/>
  <c r="P16" i="37" s="1"/>
  <c r="T16" i="37" s="1"/>
  <c r="X16" i="37" s="1"/>
  <c r="AB16" i="37" s="1"/>
  <c r="AF16" i="37" s="1"/>
  <c r="AJ16" i="37" s="1"/>
  <c r="AN16" i="37" s="1"/>
  <c r="AR16" i="37" s="1"/>
  <c r="AV16" i="37" s="1"/>
  <c r="AZ16" i="37" s="1"/>
  <c r="BD16" i="37" s="1"/>
  <c r="H41" i="37"/>
  <c r="L41" i="37" s="1"/>
  <c r="P41" i="37" s="1"/>
  <c r="T41" i="37" s="1"/>
  <c r="X41" i="37" s="1"/>
  <c r="AB41" i="37" s="1"/>
  <c r="AF41" i="37" s="1"/>
  <c r="AJ41" i="37" s="1"/>
  <c r="AN41" i="37" s="1"/>
  <c r="AR41" i="37" s="1"/>
  <c r="AV41" i="37" s="1"/>
  <c r="AZ41" i="37" s="1"/>
  <c r="BD41" i="37" s="1"/>
  <c r="H49" i="37"/>
  <c r="L49" i="37" s="1"/>
  <c r="P49" i="37" s="1"/>
  <c r="T49" i="37" s="1"/>
  <c r="X49" i="37" s="1"/>
  <c r="AB49" i="37" s="1"/>
  <c r="AF49" i="37" s="1"/>
  <c r="AJ49" i="37" s="1"/>
  <c r="AN49" i="37" s="1"/>
  <c r="AR49" i="37" s="1"/>
  <c r="AV49" i="37" s="1"/>
  <c r="AZ49" i="37" s="1"/>
  <c r="BD49" i="37" s="1"/>
  <c r="H26" i="37"/>
  <c r="L26" i="37" s="1"/>
  <c r="P26" i="37" s="1"/>
  <c r="T26" i="37" s="1"/>
  <c r="X26" i="37" s="1"/>
  <c r="AB26" i="37" s="1"/>
  <c r="AF26" i="37" s="1"/>
  <c r="AJ26" i="37" s="1"/>
  <c r="AN26" i="37" s="1"/>
  <c r="AR26" i="37" s="1"/>
  <c r="AV26" i="37" s="1"/>
  <c r="AZ26" i="37" s="1"/>
  <c r="BD26" i="37" s="1"/>
  <c r="H11" i="37"/>
  <c r="L11" i="37" s="1"/>
  <c r="P11" i="37" s="1"/>
  <c r="T11" i="37" s="1"/>
  <c r="X11" i="37" s="1"/>
  <c r="AB11" i="37" s="1"/>
  <c r="AF11" i="37" s="1"/>
  <c r="AJ11" i="37" s="1"/>
  <c r="AN11" i="37" s="1"/>
  <c r="AR11" i="37" s="1"/>
  <c r="AV11" i="37" s="1"/>
  <c r="AZ11" i="37" s="1"/>
  <c r="BD11" i="37" s="1"/>
  <c r="H23" i="37"/>
  <c r="L23" i="37" s="1"/>
  <c r="P23" i="37" s="1"/>
  <c r="T23" i="37" s="1"/>
  <c r="X23" i="37" s="1"/>
  <c r="AB23" i="37" s="1"/>
  <c r="AF23" i="37" s="1"/>
  <c r="AJ23" i="37" s="1"/>
  <c r="AN23" i="37" s="1"/>
  <c r="AR23" i="37" s="1"/>
  <c r="AV23" i="37" s="1"/>
  <c r="AZ23" i="37" s="1"/>
  <c r="BD23" i="37" s="1"/>
  <c r="H9" i="37"/>
  <c r="L9" i="37" s="1"/>
  <c r="P9" i="37" s="1"/>
  <c r="T9" i="37" s="1"/>
  <c r="X9" i="37" s="1"/>
  <c r="AB9" i="37" s="1"/>
  <c r="AF9" i="37" s="1"/>
  <c r="AJ9" i="37" s="1"/>
  <c r="AN9" i="37" s="1"/>
  <c r="AR9" i="37" s="1"/>
  <c r="AV9" i="37" s="1"/>
  <c r="AZ9" i="37" s="1"/>
  <c r="BD9" i="37" s="1"/>
  <c r="H13" i="37"/>
  <c r="L13" i="37" s="1"/>
  <c r="P13" i="37" s="1"/>
  <c r="T13" i="37" s="1"/>
  <c r="X13" i="37" s="1"/>
  <c r="AB13" i="37" s="1"/>
  <c r="AF13" i="37" s="1"/>
  <c r="AJ13" i="37" s="1"/>
  <c r="AN13" i="37" s="1"/>
  <c r="AR13" i="37" s="1"/>
  <c r="AV13" i="37" s="1"/>
  <c r="AZ13" i="37" s="1"/>
  <c r="BD13" i="37" s="1"/>
  <c r="H19" i="37"/>
  <c r="L19" i="37" s="1"/>
  <c r="P19" i="37" s="1"/>
  <c r="T19" i="37" s="1"/>
  <c r="X19" i="37" s="1"/>
  <c r="AB19" i="37" s="1"/>
  <c r="AF19" i="37" s="1"/>
  <c r="AJ19" i="37" s="1"/>
  <c r="AN19" i="37" s="1"/>
  <c r="AR19" i="37" s="1"/>
  <c r="AV19" i="37" s="1"/>
  <c r="AZ19" i="37" s="1"/>
  <c r="BD19" i="37" s="1"/>
  <c r="H12" i="37"/>
  <c r="L12" i="37" s="1"/>
  <c r="P12" i="37" s="1"/>
  <c r="T12" i="37" s="1"/>
  <c r="X12" i="37" s="1"/>
  <c r="AB12" i="37" s="1"/>
  <c r="AF12" i="37" s="1"/>
  <c r="AJ12" i="37" s="1"/>
  <c r="AN12" i="37" s="1"/>
  <c r="AR12" i="37" s="1"/>
  <c r="AV12" i="37" s="1"/>
  <c r="AZ12" i="37" s="1"/>
  <c r="BD12" i="37" s="1"/>
  <c r="H24" i="37"/>
  <c r="L24" i="37" s="1"/>
  <c r="P24" i="37" s="1"/>
  <c r="T24" i="37" s="1"/>
  <c r="X24" i="37" s="1"/>
  <c r="AB24" i="37" s="1"/>
  <c r="AF24" i="37" s="1"/>
  <c r="AJ24" i="37" s="1"/>
  <c r="AN24" i="37" s="1"/>
  <c r="AR24" i="37" s="1"/>
  <c r="AV24" i="37" s="1"/>
  <c r="AZ24" i="37" s="1"/>
  <c r="BD24" i="37" s="1"/>
  <c r="H5" i="37"/>
  <c r="L5" i="37" s="1"/>
  <c r="P5" i="37" s="1"/>
  <c r="T5" i="37" s="1"/>
  <c r="X5" i="37" s="1"/>
  <c r="AB5" i="37" s="1"/>
  <c r="AF5" i="37" s="1"/>
  <c r="AJ5" i="37" s="1"/>
  <c r="AN5" i="37" s="1"/>
  <c r="AR5" i="37" s="1"/>
  <c r="AV5" i="37" s="1"/>
  <c r="AZ5" i="37" s="1"/>
  <c r="H15" i="37"/>
  <c r="L15" i="37" s="1"/>
  <c r="P15" i="37" s="1"/>
  <c r="T15" i="37" s="1"/>
  <c r="X15" i="37" s="1"/>
  <c r="AB15" i="37" s="1"/>
  <c r="AF15" i="37" s="1"/>
  <c r="AJ15" i="37" s="1"/>
  <c r="AN15" i="37" s="1"/>
  <c r="AR15" i="37" s="1"/>
  <c r="AV15" i="37" s="1"/>
  <c r="AZ15" i="37" s="1"/>
  <c r="BD15" i="37" s="1"/>
  <c r="H6" i="37"/>
  <c r="L6" i="37" s="1"/>
  <c r="P6" i="37" s="1"/>
  <c r="T6" i="37" s="1"/>
  <c r="X6" i="37" s="1"/>
  <c r="AB6" i="37" s="1"/>
  <c r="AF6" i="37" s="1"/>
  <c r="AJ6" i="37" s="1"/>
  <c r="AN6" i="37" s="1"/>
  <c r="AR6" i="37" s="1"/>
  <c r="AV6" i="37" s="1"/>
  <c r="AZ6" i="37" s="1"/>
  <c r="BD6" i="37" s="1"/>
  <c r="H22" i="37"/>
  <c r="L22" i="37" s="1"/>
  <c r="P22" i="37" s="1"/>
  <c r="T22" i="37" s="1"/>
  <c r="X22" i="37" s="1"/>
  <c r="AB22" i="37" s="1"/>
  <c r="AF22" i="37" s="1"/>
  <c r="AJ22" i="37" s="1"/>
  <c r="AN22" i="37" s="1"/>
  <c r="AR22" i="37" s="1"/>
  <c r="AV22" i="37" s="1"/>
  <c r="AZ22" i="37" s="1"/>
  <c r="BD22" i="37" s="1"/>
  <c r="H21" i="37"/>
  <c r="L21" i="37" s="1"/>
  <c r="P21" i="37" s="1"/>
  <c r="T21" i="37" s="1"/>
  <c r="X21" i="37" s="1"/>
  <c r="AB21" i="37" s="1"/>
  <c r="AF21" i="37" s="1"/>
  <c r="AJ21" i="37" s="1"/>
  <c r="AN21" i="37" s="1"/>
  <c r="AR21" i="37" s="1"/>
  <c r="AV21" i="37" s="1"/>
  <c r="AZ21" i="37" s="1"/>
  <c r="BD21" i="37" s="1"/>
  <c r="H38" i="37"/>
  <c r="L38" i="37" s="1"/>
  <c r="P38" i="37" s="1"/>
  <c r="T38" i="37" s="1"/>
  <c r="X38" i="37" s="1"/>
  <c r="AB38" i="37" s="1"/>
  <c r="AF38" i="37" s="1"/>
  <c r="AJ38" i="37" s="1"/>
  <c r="AN38" i="37" s="1"/>
  <c r="AR38" i="37" s="1"/>
  <c r="AV38" i="37" s="1"/>
  <c r="AZ38" i="37" s="1"/>
  <c r="BD38" i="37" s="1"/>
  <c r="I12" i="37"/>
  <c r="M12" i="37" s="1"/>
  <c r="Q12" i="37" s="1"/>
  <c r="U12" i="37" s="1"/>
  <c r="Y12" i="37" s="1"/>
  <c r="AC12" i="37" s="1"/>
  <c r="AG12" i="37" s="1"/>
  <c r="AK12" i="37" s="1"/>
  <c r="AO12" i="37" s="1"/>
  <c r="AS12" i="37" s="1"/>
  <c r="AW12" i="37" s="1"/>
  <c r="BA12" i="37" s="1"/>
  <c r="BE12" i="37" s="1"/>
  <c r="I18" i="37"/>
  <c r="M18" i="37" s="1"/>
  <c r="Q18" i="37" s="1"/>
  <c r="U18" i="37" s="1"/>
  <c r="Y18" i="37" s="1"/>
  <c r="AC18" i="37" s="1"/>
  <c r="AG18" i="37" s="1"/>
  <c r="AK18" i="37" s="1"/>
  <c r="AO18" i="37" s="1"/>
  <c r="AS18" i="37" s="1"/>
  <c r="AW18" i="37" s="1"/>
  <c r="BA18" i="37" s="1"/>
  <c r="BE18" i="37" s="1"/>
  <c r="H36" i="37"/>
  <c r="L36" i="37" s="1"/>
  <c r="P36" i="37" s="1"/>
  <c r="T36" i="37" s="1"/>
  <c r="X36" i="37" s="1"/>
  <c r="AB36" i="37" s="1"/>
  <c r="AF36" i="37" s="1"/>
  <c r="AJ36" i="37" s="1"/>
  <c r="AN36" i="37" s="1"/>
  <c r="AR36" i="37" s="1"/>
  <c r="AV36" i="37" s="1"/>
  <c r="AZ36" i="37" s="1"/>
  <c r="BD36" i="37" s="1"/>
  <c r="AU62" i="37"/>
  <c r="AY62" i="37" s="1"/>
  <c r="BC62" i="37" s="1"/>
  <c r="BG62" i="37" s="1"/>
  <c r="BK62" i="37" s="1"/>
  <c r="BO62" i="37" s="1"/>
  <c r="BS62" i="37" s="1"/>
  <c r="BW62" i="37" s="1"/>
  <c r="CA62" i="37" s="1"/>
  <c r="AU61" i="37"/>
  <c r="AY61" i="37" s="1"/>
  <c r="BC61" i="37" s="1"/>
  <c r="BG61" i="37" s="1"/>
  <c r="BK61" i="37" s="1"/>
  <c r="BO61" i="37" s="1"/>
  <c r="BS61" i="37" s="1"/>
  <c r="BW61" i="37" s="1"/>
  <c r="CA61" i="37" s="1"/>
  <c r="H25" i="37"/>
  <c r="L25" i="37" s="1"/>
  <c r="P25" i="37" s="1"/>
  <c r="T25" i="37" s="1"/>
  <c r="X25" i="37" s="1"/>
  <c r="AB25" i="37" s="1"/>
  <c r="AF25" i="37" s="1"/>
  <c r="AJ25" i="37" s="1"/>
  <c r="AN25" i="37" s="1"/>
  <c r="AR25" i="37" s="1"/>
  <c r="AV25" i="37" s="1"/>
  <c r="AZ25" i="37" s="1"/>
  <c r="BD25" i="37" s="1"/>
  <c r="F38" i="37"/>
  <c r="J38" i="37" s="1"/>
  <c r="N38" i="37" s="1"/>
  <c r="R38" i="37" s="1"/>
  <c r="V38" i="37" s="1"/>
  <c r="Z38" i="37" s="1"/>
  <c r="AD38" i="37" s="1"/>
  <c r="AH38" i="37" s="1"/>
  <c r="AL38" i="37" s="1"/>
  <c r="AP38" i="37" s="1"/>
  <c r="AT38" i="37" s="1"/>
  <c r="AX38" i="37" s="1"/>
  <c r="BB38" i="37" s="1"/>
  <c r="F24" i="37"/>
  <c r="J24" i="37" s="1"/>
  <c r="N24" i="37" s="1"/>
  <c r="R24" i="37" s="1"/>
  <c r="V24" i="37" s="1"/>
  <c r="Z24" i="37" s="1"/>
  <c r="AD24" i="37" s="1"/>
  <c r="AH24" i="37" s="1"/>
  <c r="AL24" i="37" s="1"/>
  <c r="AP24" i="37" s="1"/>
  <c r="AT24" i="37" s="1"/>
  <c r="AX24" i="37" s="1"/>
  <c r="BB24" i="37" s="1"/>
  <c r="F22" i="37"/>
  <c r="J22" i="37" s="1"/>
  <c r="N22" i="37" s="1"/>
  <c r="R22" i="37" s="1"/>
  <c r="V22" i="37" s="1"/>
  <c r="Z22" i="37" s="1"/>
  <c r="AD22" i="37" s="1"/>
  <c r="AH22" i="37" s="1"/>
  <c r="AL22" i="37" s="1"/>
  <c r="AP22" i="37" s="1"/>
  <c r="AT22" i="37" s="1"/>
  <c r="AX22" i="37" s="1"/>
  <c r="BB22" i="37" s="1"/>
  <c r="F19" i="37"/>
  <c r="J19" i="37" s="1"/>
  <c r="N19" i="37" s="1"/>
  <c r="R19" i="37" s="1"/>
  <c r="V19" i="37" s="1"/>
  <c r="Z19" i="37" s="1"/>
  <c r="AD19" i="37" s="1"/>
  <c r="AH19" i="37" s="1"/>
  <c r="AL19" i="37" s="1"/>
  <c r="AP19" i="37" s="1"/>
  <c r="AT19" i="37" s="1"/>
  <c r="AX19" i="37" s="1"/>
  <c r="BB19" i="37" s="1"/>
  <c r="F14" i="37"/>
  <c r="J14" i="37" s="1"/>
  <c r="N14" i="37" s="1"/>
  <c r="R14" i="37" s="1"/>
  <c r="V14" i="37" s="1"/>
  <c r="Z14" i="37" s="1"/>
  <c r="AD14" i="37" s="1"/>
  <c r="AH14" i="37" s="1"/>
  <c r="AL14" i="37" s="1"/>
  <c r="AP14" i="37" s="1"/>
  <c r="AT14" i="37" s="1"/>
  <c r="AX14" i="37" s="1"/>
  <c r="BB14" i="37" s="1"/>
  <c r="F41" i="37"/>
  <c r="J41" i="37" s="1"/>
  <c r="N41" i="37" s="1"/>
  <c r="R41" i="37" s="1"/>
  <c r="V41" i="37" s="1"/>
  <c r="Z41" i="37" s="1"/>
  <c r="AD41" i="37" s="1"/>
  <c r="AH41" i="37" s="1"/>
  <c r="AL41" i="37" s="1"/>
  <c r="AP41" i="37" s="1"/>
  <c r="AT41" i="37" s="1"/>
  <c r="AX41" i="37" s="1"/>
  <c r="BB41" i="37" s="1"/>
  <c r="F45" i="37"/>
  <c r="J45" i="37" s="1"/>
  <c r="N45" i="37" s="1"/>
  <c r="R45" i="37" s="1"/>
  <c r="V45" i="37" s="1"/>
  <c r="Z45" i="37" s="1"/>
  <c r="AD45" i="37" s="1"/>
  <c r="AH45" i="37" s="1"/>
  <c r="AL45" i="37" s="1"/>
  <c r="AP45" i="37" s="1"/>
  <c r="AT45" i="37" s="1"/>
  <c r="AX45" i="37" s="1"/>
  <c r="BB45" i="37" s="1"/>
  <c r="F35" i="37"/>
  <c r="J35" i="37" s="1"/>
  <c r="N35" i="37" s="1"/>
  <c r="R35" i="37" s="1"/>
  <c r="V35" i="37" s="1"/>
  <c r="Z35" i="37" s="1"/>
  <c r="AD35" i="37" s="1"/>
  <c r="AH35" i="37" s="1"/>
  <c r="AL35" i="37" s="1"/>
  <c r="AP35" i="37" s="1"/>
  <c r="AT35" i="37" s="1"/>
  <c r="AX35" i="37" s="1"/>
  <c r="BB35" i="37" s="1"/>
  <c r="F37" i="37"/>
  <c r="J37" i="37" s="1"/>
  <c r="N37" i="37" s="1"/>
  <c r="R37" i="37" s="1"/>
  <c r="V37" i="37" s="1"/>
  <c r="Z37" i="37" s="1"/>
  <c r="AD37" i="37" s="1"/>
  <c r="AH37" i="37" s="1"/>
  <c r="AL37" i="37" s="1"/>
  <c r="AP37" i="37" s="1"/>
  <c r="AT37" i="37" s="1"/>
  <c r="AX37" i="37" s="1"/>
  <c r="BB37" i="37" s="1"/>
  <c r="F36" i="37"/>
  <c r="J36" i="37" s="1"/>
  <c r="N36" i="37" s="1"/>
  <c r="R36" i="37" s="1"/>
  <c r="V36" i="37" s="1"/>
  <c r="Z36" i="37" s="1"/>
  <c r="AD36" i="37" s="1"/>
  <c r="AH36" i="37" s="1"/>
  <c r="AL36" i="37" s="1"/>
  <c r="AP36" i="37" s="1"/>
  <c r="AT36" i="37" s="1"/>
  <c r="AX36" i="37" s="1"/>
  <c r="BB36" i="37" s="1"/>
  <c r="F34" i="37"/>
  <c r="J34" i="37" s="1"/>
  <c r="N34" i="37" s="1"/>
  <c r="R34" i="37" s="1"/>
  <c r="V34" i="37" s="1"/>
  <c r="Z34" i="37" s="1"/>
  <c r="AD34" i="37" s="1"/>
  <c r="AH34" i="37" s="1"/>
  <c r="AL34" i="37" s="1"/>
  <c r="AP34" i="37" s="1"/>
  <c r="AT34" i="37" s="1"/>
  <c r="AX34" i="37" s="1"/>
  <c r="BB34" i="37" s="1"/>
  <c r="F48" i="37"/>
  <c r="J48" i="37" s="1"/>
  <c r="N48" i="37" s="1"/>
  <c r="R48" i="37" s="1"/>
  <c r="V48" i="37" s="1"/>
  <c r="Z48" i="37" s="1"/>
  <c r="AD48" i="37" s="1"/>
  <c r="AH48" i="37" s="1"/>
  <c r="AL48" i="37" s="1"/>
  <c r="AP48" i="37" s="1"/>
  <c r="AT48" i="37" s="1"/>
  <c r="AX48" i="37" s="1"/>
  <c r="BB48" i="37" s="1"/>
  <c r="F40" i="37"/>
  <c r="J40" i="37" s="1"/>
  <c r="N40" i="37" s="1"/>
  <c r="R40" i="37" s="1"/>
  <c r="V40" i="37" s="1"/>
  <c r="Z40" i="37" s="1"/>
  <c r="AD40" i="37" s="1"/>
  <c r="AH40" i="37" s="1"/>
  <c r="AL40" i="37" s="1"/>
  <c r="AP40" i="37" s="1"/>
  <c r="AT40" i="37" s="1"/>
  <c r="AX40" i="37" s="1"/>
  <c r="BB40" i="37" s="1"/>
  <c r="F23" i="37"/>
  <c r="J23" i="37" s="1"/>
  <c r="N23" i="37" s="1"/>
  <c r="R23" i="37" s="1"/>
  <c r="V23" i="37" s="1"/>
  <c r="Z23" i="37" s="1"/>
  <c r="AD23" i="37" s="1"/>
  <c r="AH23" i="37" s="1"/>
  <c r="AL23" i="37" s="1"/>
  <c r="AP23" i="37" s="1"/>
  <c r="AT23" i="37" s="1"/>
  <c r="AX23" i="37" s="1"/>
  <c r="BB23" i="37" s="1"/>
  <c r="F60" i="37"/>
  <c r="J60" i="37" s="1"/>
  <c r="N60" i="37" s="1"/>
  <c r="R60" i="37" s="1"/>
  <c r="V60" i="37" s="1"/>
  <c r="Z60" i="37" s="1"/>
  <c r="AD60" i="37" s="1"/>
  <c r="AH60" i="37" s="1"/>
  <c r="AL60" i="37" s="1"/>
  <c r="AP60" i="37" s="1"/>
  <c r="AT60" i="37" s="1"/>
  <c r="AX60" i="37" s="1"/>
  <c r="BB60" i="37" s="1"/>
  <c r="F30" i="37"/>
  <c r="J30" i="37" s="1"/>
  <c r="N30" i="37" s="1"/>
  <c r="R30" i="37" s="1"/>
  <c r="V30" i="37" s="1"/>
  <c r="Z30" i="37" s="1"/>
  <c r="AD30" i="37" s="1"/>
  <c r="AH30" i="37" s="1"/>
  <c r="AL30" i="37" s="1"/>
  <c r="AP30" i="37" s="1"/>
  <c r="AT30" i="37" s="1"/>
  <c r="AX30" i="37" s="1"/>
  <c r="BB30" i="37" s="1"/>
  <c r="F18" i="37"/>
  <c r="J18" i="37" s="1"/>
  <c r="N18" i="37" s="1"/>
  <c r="R18" i="37" s="1"/>
  <c r="V18" i="37" s="1"/>
  <c r="Z18" i="37" s="1"/>
  <c r="AD18" i="37" s="1"/>
  <c r="AH18" i="37" s="1"/>
  <c r="AL18" i="37" s="1"/>
  <c r="AP18" i="37" s="1"/>
  <c r="AT18" i="37" s="1"/>
  <c r="AX18" i="37" s="1"/>
  <c r="BB18" i="37" s="1"/>
  <c r="F15" i="37"/>
  <c r="J15" i="37" s="1"/>
  <c r="N15" i="37" s="1"/>
  <c r="R15" i="37" s="1"/>
  <c r="V15" i="37" s="1"/>
  <c r="Z15" i="37" s="1"/>
  <c r="AD15" i="37" s="1"/>
  <c r="AH15" i="37" s="1"/>
  <c r="AL15" i="37" s="1"/>
  <c r="AP15" i="37" s="1"/>
  <c r="AT15" i="37" s="1"/>
  <c r="AX15" i="37" s="1"/>
  <c r="BB15" i="37" s="1"/>
  <c r="F5" i="37"/>
  <c r="J5" i="37" s="1"/>
  <c r="N5" i="37" s="1"/>
  <c r="R5" i="37" s="1"/>
  <c r="V5" i="37" s="1"/>
  <c r="Z5" i="37" s="1"/>
  <c r="AD5" i="37" s="1"/>
  <c r="AH5" i="37" s="1"/>
  <c r="AL5" i="37" s="1"/>
  <c r="AP5" i="37" s="1"/>
  <c r="AT5" i="37" s="1"/>
  <c r="AX5" i="37" s="1"/>
  <c r="F10" i="37"/>
  <c r="J10" i="37" s="1"/>
  <c r="N10" i="37" s="1"/>
  <c r="R10" i="37" s="1"/>
  <c r="V10" i="37" s="1"/>
  <c r="Z10" i="37" s="1"/>
  <c r="AD10" i="37" s="1"/>
  <c r="AH10" i="37" s="1"/>
  <c r="AL10" i="37" s="1"/>
  <c r="AP10" i="37" s="1"/>
  <c r="AT10" i="37" s="1"/>
  <c r="AX10" i="37" s="1"/>
  <c r="BB10" i="37" s="1"/>
  <c r="F32" i="37"/>
  <c r="J32" i="37" s="1"/>
  <c r="N32" i="37" s="1"/>
  <c r="R32" i="37" s="1"/>
  <c r="V32" i="37" s="1"/>
  <c r="Z32" i="37" s="1"/>
  <c r="AD32" i="37" s="1"/>
  <c r="AH32" i="37" s="1"/>
  <c r="AL32" i="37" s="1"/>
  <c r="AP32" i="37" s="1"/>
  <c r="AT32" i="37" s="1"/>
  <c r="AX32" i="37" s="1"/>
  <c r="BB32" i="37" s="1"/>
  <c r="F28" i="37"/>
  <c r="J28" i="37" s="1"/>
  <c r="N28" i="37" s="1"/>
  <c r="R28" i="37" s="1"/>
  <c r="V28" i="37" s="1"/>
  <c r="Z28" i="37" s="1"/>
  <c r="AD28" i="37" s="1"/>
  <c r="AH28" i="37" s="1"/>
  <c r="AL28" i="37" s="1"/>
  <c r="AP28" i="37" s="1"/>
  <c r="AT28" i="37" s="1"/>
  <c r="AX28" i="37" s="1"/>
  <c r="BB28" i="37" s="1"/>
  <c r="F20" i="37"/>
  <c r="J20" i="37" s="1"/>
  <c r="N20" i="37" s="1"/>
  <c r="R20" i="37" s="1"/>
  <c r="V20" i="37" s="1"/>
  <c r="Z20" i="37" s="1"/>
  <c r="AD20" i="37" s="1"/>
  <c r="AH20" i="37" s="1"/>
  <c r="AL20" i="37" s="1"/>
  <c r="AP20" i="37" s="1"/>
  <c r="AT20" i="37" s="1"/>
  <c r="AX20" i="37" s="1"/>
  <c r="BB20" i="37" s="1"/>
  <c r="F46" i="37"/>
  <c r="J46" i="37" s="1"/>
  <c r="N46" i="37" s="1"/>
  <c r="R46" i="37" s="1"/>
  <c r="V46" i="37" s="1"/>
  <c r="Z46" i="37" s="1"/>
  <c r="AD46" i="37" s="1"/>
  <c r="AH46" i="37" s="1"/>
  <c r="AL46" i="37" s="1"/>
  <c r="AP46" i="37" s="1"/>
  <c r="AT46" i="37" s="1"/>
  <c r="AX46" i="37" s="1"/>
  <c r="BB46" i="37" s="1"/>
  <c r="F39" i="37"/>
  <c r="J39" i="37" s="1"/>
  <c r="N39" i="37" s="1"/>
  <c r="R39" i="37" s="1"/>
  <c r="V39" i="37" s="1"/>
  <c r="Z39" i="37" s="1"/>
  <c r="AD39" i="37" s="1"/>
  <c r="AH39" i="37" s="1"/>
  <c r="AL39" i="37" s="1"/>
  <c r="AP39" i="37" s="1"/>
  <c r="AT39" i="37" s="1"/>
  <c r="AX39" i="37" s="1"/>
  <c r="BB39" i="37" s="1"/>
  <c r="F25" i="37"/>
  <c r="J25" i="37" s="1"/>
  <c r="N25" i="37" s="1"/>
  <c r="R25" i="37" s="1"/>
  <c r="V25" i="37" s="1"/>
  <c r="Z25" i="37" s="1"/>
  <c r="AD25" i="37" s="1"/>
  <c r="AH25" i="37" s="1"/>
  <c r="AL25" i="37" s="1"/>
  <c r="AP25" i="37" s="1"/>
  <c r="AT25" i="37" s="1"/>
  <c r="AX25" i="37" s="1"/>
  <c r="BB25" i="37" s="1"/>
  <c r="F42" i="37"/>
  <c r="J42" i="37" s="1"/>
  <c r="N42" i="37" s="1"/>
  <c r="R42" i="37" s="1"/>
  <c r="V42" i="37" s="1"/>
  <c r="Z42" i="37" s="1"/>
  <c r="AD42" i="37" s="1"/>
  <c r="AH42" i="37" s="1"/>
  <c r="AL42" i="37" s="1"/>
  <c r="AP42" i="37" s="1"/>
  <c r="AT42" i="37" s="1"/>
  <c r="AX42" i="37" s="1"/>
  <c r="BB42" i="37" s="1"/>
  <c r="F27" i="37"/>
  <c r="J27" i="37" s="1"/>
  <c r="N27" i="37" s="1"/>
  <c r="R27" i="37" s="1"/>
  <c r="V27" i="37" s="1"/>
  <c r="Z27" i="37" s="1"/>
  <c r="AD27" i="37" s="1"/>
  <c r="AH27" i="37" s="1"/>
  <c r="AL27" i="37" s="1"/>
  <c r="AP27" i="37" s="1"/>
  <c r="AT27" i="37" s="1"/>
  <c r="AX27" i="37" s="1"/>
  <c r="BB27" i="37" s="1"/>
  <c r="F33" i="37"/>
  <c r="J33" i="37" s="1"/>
  <c r="N33" i="37" s="1"/>
  <c r="R33" i="37" s="1"/>
  <c r="V33" i="37" s="1"/>
  <c r="Z33" i="37" s="1"/>
  <c r="AD33" i="37" s="1"/>
  <c r="AH33" i="37" s="1"/>
  <c r="AL33" i="37" s="1"/>
  <c r="AP33" i="37" s="1"/>
  <c r="AT33" i="37" s="1"/>
  <c r="AX33" i="37" s="1"/>
  <c r="BB33" i="37" s="1"/>
  <c r="F43" i="37"/>
  <c r="J43" i="37" s="1"/>
  <c r="N43" i="37" s="1"/>
  <c r="R43" i="37" s="1"/>
  <c r="V43" i="37" s="1"/>
  <c r="Z43" i="37" s="1"/>
  <c r="AD43" i="37" s="1"/>
  <c r="AH43" i="37" s="1"/>
  <c r="AL43" i="37" s="1"/>
  <c r="AP43" i="37" s="1"/>
  <c r="AT43" i="37" s="1"/>
  <c r="AX43" i="37" s="1"/>
  <c r="BB43" i="37" s="1"/>
  <c r="F44" i="37"/>
  <c r="J44" i="37" s="1"/>
  <c r="N44" i="37" s="1"/>
  <c r="R44" i="37" s="1"/>
  <c r="V44" i="37" s="1"/>
  <c r="Z44" i="37" s="1"/>
  <c r="AD44" i="37" s="1"/>
  <c r="AH44" i="37" s="1"/>
  <c r="AL44" i="37" s="1"/>
  <c r="AP44" i="37" s="1"/>
  <c r="AT44" i="37" s="1"/>
  <c r="AX44" i="37" s="1"/>
  <c r="BB44" i="37" s="1"/>
  <c r="F17" i="37"/>
  <c r="J17" i="37" s="1"/>
  <c r="N17" i="37" s="1"/>
  <c r="R17" i="37" s="1"/>
  <c r="V17" i="37" s="1"/>
  <c r="Z17" i="37" s="1"/>
  <c r="AD17" i="37" s="1"/>
  <c r="AH17" i="37" s="1"/>
  <c r="AL17" i="37" s="1"/>
  <c r="AP17" i="37" s="1"/>
  <c r="AT17" i="37" s="1"/>
  <c r="AX17" i="37" s="1"/>
  <c r="BB17" i="37" s="1"/>
  <c r="F47" i="37"/>
  <c r="J47" i="37" s="1"/>
  <c r="N47" i="37" s="1"/>
  <c r="R47" i="37" s="1"/>
  <c r="V47" i="37" s="1"/>
  <c r="Z47" i="37" s="1"/>
  <c r="AD47" i="37" s="1"/>
  <c r="AH47" i="37" s="1"/>
  <c r="AL47" i="37" s="1"/>
  <c r="AP47" i="37" s="1"/>
  <c r="AT47" i="37" s="1"/>
  <c r="AX47" i="37" s="1"/>
  <c r="BB47" i="37" s="1"/>
  <c r="F50" i="37"/>
  <c r="J50" i="37" s="1"/>
  <c r="N50" i="37" s="1"/>
  <c r="R50" i="37" s="1"/>
  <c r="V50" i="37" s="1"/>
  <c r="Z50" i="37" s="1"/>
  <c r="AD50" i="37" s="1"/>
  <c r="AH50" i="37" s="1"/>
  <c r="AL50" i="37" s="1"/>
  <c r="AP50" i="37" s="1"/>
  <c r="AT50" i="37" s="1"/>
  <c r="AX50" i="37" s="1"/>
  <c r="BB50" i="37" s="1"/>
  <c r="F26" i="37"/>
  <c r="J26" i="37" s="1"/>
  <c r="N26" i="37" s="1"/>
  <c r="R26" i="37" s="1"/>
  <c r="V26" i="37" s="1"/>
  <c r="Z26" i="37" s="1"/>
  <c r="AD26" i="37" s="1"/>
  <c r="AH26" i="37" s="1"/>
  <c r="AL26" i="37" s="1"/>
  <c r="AP26" i="37" s="1"/>
  <c r="AT26" i="37" s="1"/>
  <c r="AX26" i="37" s="1"/>
  <c r="BB26" i="37" s="1"/>
  <c r="F16" i="37"/>
  <c r="J16" i="37" s="1"/>
  <c r="N16" i="37" s="1"/>
  <c r="R16" i="37" s="1"/>
  <c r="V16" i="37" s="1"/>
  <c r="Z16" i="37" s="1"/>
  <c r="AD16" i="37" s="1"/>
  <c r="AH16" i="37" s="1"/>
  <c r="AL16" i="37" s="1"/>
  <c r="AP16" i="37" s="1"/>
  <c r="AT16" i="37" s="1"/>
  <c r="AX16" i="37" s="1"/>
  <c r="BB16" i="37" s="1"/>
  <c r="F49" i="37"/>
  <c r="J49" i="37" s="1"/>
  <c r="N49" i="37" s="1"/>
  <c r="R49" i="37" s="1"/>
  <c r="V49" i="37" s="1"/>
  <c r="Z49" i="37" s="1"/>
  <c r="AD49" i="37" s="1"/>
  <c r="AH49" i="37" s="1"/>
  <c r="AL49" i="37" s="1"/>
  <c r="AP49" i="37" s="1"/>
  <c r="AT49" i="37" s="1"/>
  <c r="AX49" i="37" s="1"/>
  <c r="BB49" i="37" s="1"/>
  <c r="F21" i="37"/>
  <c r="J21" i="37" s="1"/>
  <c r="N21" i="37" s="1"/>
  <c r="R21" i="37" s="1"/>
  <c r="V21" i="37" s="1"/>
  <c r="Z21" i="37" s="1"/>
  <c r="AD21" i="37" s="1"/>
  <c r="AH21" i="37" s="1"/>
  <c r="AL21" i="37" s="1"/>
  <c r="AP21" i="37" s="1"/>
  <c r="AT21" i="37" s="1"/>
  <c r="AX21" i="37" s="1"/>
  <c r="BB21" i="37" s="1"/>
  <c r="F29" i="37"/>
  <c r="J29" i="37" s="1"/>
  <c r="N29" i="37" s="1"/>
  <c r="R29" i="37" s="1"/>
  <c r="V29" i="37" s="1"/>
  <c r="Z29" i="37" s="1"/>
  <c r="AD29" i="37" s="1"/>
  <c r="AH29" i="37" s="1"/>
  <c r="AL29" i="37" s="1"/>
  <c r="AP29" i="37" s="1"/>
  <c r="AT29" i="37" s="1"/>
  <c r="AX29" i="37" s="1"/>
  <c r="BB29" i="37" s="1"/>
  <c r="F31" i="37"/>
  <c r="J31" i="37" s="1"/>
  <c r="N31" i="37" s="1"/>
  <c r="R31" i="37" s="1"/>
  <c r="V31" i="37" s="1"/>
  <c r="Z31" i="37" s="1"/>
  <c r="AD31" i="37" s="1"/>
  <c r="AH31" i="37" s="1"/>
  <c r="AL31" i="37" s="1"/>
  <c r="AP31" i="37" s="1"/>
  <c r="AT31" i="37" s="1"/>
  <c r="AX31" i="37" s="1"/>
  <c r="BB31" i="37" s="1"/>
  <c r="AV61" i="37"/>
  <c r="AZ61" i="37" s="1"/>
  <c r="BD61" i="37" s="1"/>
  <c r="BH61" i="37" s="1"/>
  <c r="BL61" i="37" s="1"/>
  <c r="BP61" i="37" s="1"/>
  <c r="BT61" i="37" s="1"/>
  <c r="BX61" i="37" s="1"/>
  <c r="CB61" i="37" s="1"/>
  <c r="AV62" i="37"/>
  <c r="AZ62" i="37" s="1"/>
  <c r="BD62" i="37" s="1"/>
  <c r="BH62" i="37" s="1"/>
  <c r="BL62" i="37" s="1"/>
  <c r="BP62" i="37" s="1"/>
  <c r="BT62" i="37" s="1"/>
  <c r="BX62" i="37" s="1"/>
  <c r="CB62" i="37" s="1"/>
  <c r="I52" i="42"/>
  <c r="J52" i="42" s="1"/>
  <c r="I5" i="37"/>
  <c r="M5" i="37" s="1"/>
  <c r="Q5" i="37" s="1"/>
  <c r="U5" i="37" s="1"/>
  <c r="Y5" i="37" s="1"/>
  <c r="AC5" i="37" s="1"/>
  <c r="AG5" i="37" s="1"/>
  <c r="AK5" i="37" s="1"/>
  <c r="AO5" i="37" s="1"/>
  <c r="AS5" i="37" s="1"/>
  <c r="AW5" i="37" s="1"/>
  <c r="BA5" i="37" s="1"/>
  <c r="I21" i="37"/>
  <c r="M21" i="37" s="1"/>
  <c r="Q21" i="37" s="1"/>
  <c r="U21" i="37" s="1"/>
  <c r="Y21" i="37" s="1"/>
  <c r="AC21" i="37" s="1"/>
  <c r="AG21" i="37" s="1"/>
  <c r="AK21" i="37" s="1"/>
  <c r="AO21" i="37" s="1"/>
  <c r="AS21" i="37" s="1"/>
  <c r="AW21" i="37" s="1"/>
  <c r="BA21" i="37" s="1"/>
  <c r="BE21" i="37" s="1"/>
  <c r="H14" i="37"/>
  <c r="L14" i="37" s="1"/>
  <c r="P14" i="37" s="1"/>
  <c r="T14" i="37" s="1"/>
  <c r="X14" i="37" s="1"/>
  <c r="AB14" i="37" s="1"/>
  <c r="AF14" i="37" s="1"/>
  <c r="AJ14" i="37" s="1"/>
  <c r="AN14" i="37" s="1"/>
  <c r="AR14" i="37" s="1"/>
  <c r="AV14" i="37" s="1"/>
  <c r="AZ14" i="37" s="1"/>
  <c r="BD14" i="37" s="1"/>
  <c r="I20" i="37"/>
  <c r="M20" i="37" s="1"/>
  <c r="Q20" i="37" s="1"/>
  <c r="U20" i="37" s="1"/>
  <c r="Y20" i="37" s="1"/>
  <c r="AC20" i="37" s="1"/>
  <c r="AG20" i="37" s="1"/>
  <c r="AK20" i="37" s="1"/>
  <c r="AO20" i="37" s="1"/>
  <c r="AS20" i="37" s="1"/>
  <c r="AW20" i="37" s="1"/>
  <c r="BA20" i="37" s="1"/>
  <c r="BE20" i="37" s="1"/>
  <c r="H40" i="37"/>
  <c r="L40" i="37" s="1"/>
  <c r="P40" i="37" s="1"/>
  <c r="T40" i="37" s="1"/>
  <c r="X40" i="37" s="1"/>
  <c r="AB40" i="37" s="1"/>
  <c r="AF40" i="37" s="1"/>
  <c r="AJ40" i="37" s="1"/>
  <c r="AN40" i="37" s="1"/>
  <c r="AR40" i="37" s="1"/>
  <c r="AV40" i="37" s="1"/>
  <c r="AZ40" i="37" s="1"/>
  <c r="BD40" i="37" s="1"/>
  <c r="AT61" i="37"/>
  <c r="AX61" i="37" s="1"/>
  <c r="BB61" i="37" s="1"/>
  <c r="BF61" i="37" s="1"/>
  <c r="BJ61" i="37" s="1"/>
  <c r="BN61" i="37" s="1"/>
  <c r="BR61" i="37" s="1"/>
  <c r="BV61" i="37" s="1"/>
  <c r="BZ61" i="37" s="1"/>
  <c r="AT62" i="37"/>
  <c r="AX62" i="37" s="1"/>
  <c r="BB62" i="37" s="1"/>
  <c r="BF62" i="37" s="1"/>
  <c r="BJ62" i="37" s="1"/>
  <c r="BN62" i="37" s="1"/>
  <c r="BR62" i="37" s="1"/>
  <c r="BV62" i="37" s="1"/>
  <c r="BZ62" i="37" s="1"/>
  <c r="H27" i="37"/>
  <c r="L27" i="37" s="1"/>
  <c r="P27" i="37" s="1"/>
  <c r="T27" i="37" s="1"/>
  <c r="X27" i="37" s="1"/>
  <c r="AB27" i="37" s="1"/>
  <c r="AF27" i="37" s="1"/>
  <c r="AJ27" i="37" s="1"/>
  <c r="AN27" i="37" s="1"/>
  <c r="AR27" i="37" s="1"/>
  <c r="AV27" i="37" s="1"/>
  <c r="AZ27" i="37" s="1"/>
  <c r="BD27" i="37" s="1"/>
  <c r="I7" i="37"/>
  <c r="M7" i="37" s="1"/>
  <c r="Q7" i="37" s="1"/>
  <c r="U7" i="37" s="1"/>
  <c r="Y7" i="37" s="1"/>
  <c r="AC7" i="37" s="1"/>
  <c r="AG7" i="37" s="1"/>
  <c r="AK7" i="37" s="1"/>
  <c r="AO7" i="37" s="1"/>
  <c r="AS7" i="37" s="1"/>
  <c r="AW7" i="37" s="1"/>
  <c r="BA7" i="37" s="1"/>
  <c r="BE7" i="37" s="1"/>
  <c r="F7" i="37"/>
  <c r="J7" i="37" s="1"/>
  <c r="N7" i="37" s="1"/>
  <c r="R7" i="37" s="1"/>
  <c r="V7" i="37" s="1"/>
  <c r="Z7" i="37" s="1"/>
  <c r="AD7" i="37" s="1"/>
  <c r="AH7" i="37" s="1"/>
  <c r="AL7" i="37" s="1"/>
  <c r="AP7" i="37" s="1"/>
  <c r="AT7" i="37" s="1"/>
  <c r="AX7" i="37" s="1"/>
  <c r="BB7" i="37" s="1"/>
  <c r="G49" i="21"/>
  <c r="H48" i="43"/>
  <c r="AW58" i="37"/>
  <c r="BA58" i="37" s="1"/>
  <c r="BE58" i="37" s="1"/>
  <c r="BI58" i="37" s="1"/>
  <c r="BM58" i="37" s="1"/>
  <c r="BQ58" i="37" s="1"/>
  <c r="BU58" i="37" s="1"/>
  <c r="BY58" i="37" s="1"/>
  <c r="CC58" i="37" s="1"/>
  <c r="F51" i="37"/>
  <c r="J51" i="37" s="1"/>
  <c r="N51" i="37" s="1"/>
  <c r="R51" i="37" s="1"/>
  <c r="V51" i="37" s="1"/>
  <c r="Z51" i="37" s="1"/>
  <c r="AD51" i="37" s="1"/>
  <c r="AH51" i="37" s="1"/>
  <c r="AL51" i="37" s="1"/>
  <c r="AP51" i="37" s="1"/>
  <c r="AT51" i="37" s="1"/>
  <c r="AX51" i="37" s="1"/>
  <c r="BB51" i="37" s="1"/>
  <c r="F9" i="37"/>
  <c r="J9" i="37" s="1"/>
  <c r="N9" i="37" s="1"/>
  <c r="R9" i="37" s="1"/>
  <c r="V9" i="37" s="1"/>
  <c r="Z9" i="37" s="1"/>
  <c r="AD9" i="37" s="1"/>
  <c r="AH9" i="37" s="1"/>
  <c r="AL9" i="37" s="1"/>
  <c r="AP9" i="37" s="1"/>
  <c r="AT9" i="37" s="1"/>
  <c r="AX9" i="37" s="1"/>
  <c r="BB9" i="37" s="1"/>
  <c r="F52" i="37"/>
  <c r="J52" i="37" s="1"/>
  <c r="N52" i="37" s="1"/>
  <c r="R52" i="37" s="1"/>
  <c r="V52" i="37" s="1"/>
  <c r="Z52" i="37" s="1"/>
  <c r="AD52" i="37" s="1"/>
  <c r="AH52" i="37" s="1"/>
  <c r="AL52" i="37" s="1"/>
  <c r="AP52" i="37" s="1"/>
  <c r="AT52" i="37" s="1"/>
  <c r="AX52" i="37" s="1"/>
  <c r="BB52" i="37" s="1"/>
  <c r="I13" i="37"/>
  <c r="M13" i="37" s="1"/>
  <c r="Q13" i="37" s="1"/>
  <c r="U13" i="37" s="1"/>
  <c r="Y13" i="37" s="1"/>
  <c r="AC13" i="37" s="1"/>
  <c r="AG13" i="37" s="1"/>
  <c r="AK13" i="37" s="1"/>
  <c r="AO13" i="37" s="1"/>
  <c r="AS13" i="37" s="1"/>
  <c r="AW13" i="37" s="1"/>
  <c r="BA13" i="37" s="1"/>
  <c r="BE13" i="37" s="1"/>
  <c r="F8" i="37"/>
  <c r="J8" i="37" s="1"/>
  <c r="N8" i="37" s="1"/>
  <c r="R8" i="37" s="1"/>
  <c r="V8" i="37" s="1"/>
  <c r="Z8" i="37" s="1"/>
  <c r="AD8" i="37" s="1"/>
  <c r="AH8" i="37" s="1"/>
  <c r="AL8" i="37" s="1"/>
  <c r="AP8" i="37" s="1"/>
  <c r="AT8" i="37" s="1"/>
  <c r="AX8" i="37" s="1"/>
  <c r="BB8" i="37" s="1"/>
  <c r="F53" i="37"/>
  <c r="J53" i="37" s="1"/>
  <c r="N53" i="37" s="1"/>
  <c r="R53" i="37" s="1"/>
  <c r="V53" i="37" s="1"/>
  <c r="Z53" i="37" s="1"/>
  <c r="AD53" i="37" s="1"/>
  <c r="AH53" i="37" s="1"/>
  <c r="AL53" i="37" s="1"/>
  <c r="AP53" i="37" s="1"/>
  <c r="AT53" i="37" s="1"/>
  <c r="AX53" i="37" s="1"/>
  <c r="BB53" i="37" s="1"/>
  <c r="F11" i="37"/>
  <c r="J11" i="37" s="1"/>
  <c r="N11" i="37" s="1"/>
  <c r="R11" i="37" s="1"/>
  <c r="V11" i="37" s="1"/>
  <c r="Z11" i="37" s="1"/>
  <c r="AD11" i="37" s="1"/>
  <c r="AH11" i="37" s="1"/>
  <c r="AL11" i="37" s="1"/>
  <c r="AP11" i="37" s="1"/>
  <c r="AT11" i="37" s="1"/>
  <c r="AX11" i="37" s="1"/>
  <c r="BB11" i="37" s="1"/>
  <c r="F54" i="37"/>
  <c r="J54" i="37" s="1"/>
  <c r="N54" i="37" s="1"/>
  <c r="R54" i="37" s="1"/>
  <c r="V54" i="37" s="1"/>
  <c r="Z54" i="37" s="1"/>
  <c r="AD54" i="37" s="1"/>
  <c r="AH54" i="37" s="1"/>
  <c r="AL54" i="37" s="1"/>
  <c r="AP54" i="37" s="1"/>
  <c r="AT54" i="37" s="1"/>
  <c r="AX54" i="37" s="1"/>
  <c r="BB54" i="37" s="1"/>
  <c r="AW56" i="37"/>
  <c r="BA56" i="37" s="1"/>
  <c r="BE56" i="37" s="1"/>
  <c r="BI56" i="37" s="1"/>
  <c r="BM56" i="37" s="1"/>
  <c r="BQ56" i="37" s="1"/>
  <c r="BU56" i="37" s="1"/>
  <c r="BY56" i="37" s="1"/>
  <c r="CC56" i="37" s="1"/>
  <c r="F12" i="37"/>
  <c r="J12" i="37" s="1"/>
  <c r="N12" i="37" s="1"/>
  <c r="R12" i="37" s="1"/>
  <c r="V12" i="37" s="1"/>
  <c r="Z12" i="37" s="1"/>
  <c r="AD12" i="37" s="1"/>
  <c r="AH12" i="37" s="1"/>
  <c r="AL12" i="37" s="1"/>
  <c r="AP12" i="37" s="1"/>
  <c r="AT12" i="37" s="1"/>
  <c r="AX12" i="37" s="1"/>
  <c r="BB12" i="37" s="1"/>
  <c r="I38" i="37"/>
  <c r="M38" i="37" s="1"/>
  <c r="Q38" i="37" s="1"/>
  <c r="U38" i="37" s="1"/>
  <c r="Y38" i="37" s="1"/>
  <c r="AC38" i="37" s="1"/>
  <c r="AG38" i="37" s="1"/>
  <c r="AK38" i="37" s="1"/>
  <c r="AO38" i="37" s="1"/>
  <c r="AS38" i="37" s="1"/>
  <c r="AW38" i="37" s="1"/>
  <c r="BA38" i="37" s="1"/>
  <c r="BE38" i="37" s="1"/>
  <c r="I40" i="37"/>
  <c r="M40" i="37" s="1"/>
  <c r="Q40" i="37" s="1"/>
  <c r="U40" i="37" s="1"/>
  <c r="Y40" i="37" s="1"/>
  <c r="AC40" i="37" s="1"/>
  <c r="AG40" i="37" s="1"/>
  <c r="AK40" i="37" s="1"/>
  <c r="AO40" i="37" s="1"/>
  <c r="AS40" i="37" s="1"/>
  <c r="AW40" i="37" s="1"/>
  <c r="BA40" i="37" s="1"/>
  <c r="BE40" i="37" s="1"/>
  <c r="I48" i="37"/>
  <c r="M48" i="37" s="1"/>
  <c r="Q48" i="37" s="1"/>
  <c r="U48" i="37" s="1"/>
  <c r="Y48" i="37" s="1"/>
  <c r="AC48" i="37" s="1"/>
  <c r="AG48" i="37" s="1"/>
  <c r="AK48" i="37" s="1"/>
  <c r="AO48" i="37" s="1"/>
  <c r="AS48" i="37" s="1"/>
  <c r="AW48" i="37" s="1"/>
  <c r="BA48" i="37" s="1"/>
  <c r="BE48" i="37" s="1"/>
  <c r="I39" i="37"/>
  <c r="M39" i="37" s="1"/>
  <c r="Q39" i="37" s="1"/>
  <c r="U39" i="37" s="1"/>
  <c r="Y39" i="37" s="1"/>
  <c r="AC39" i="37" s="1"/>
  <c r="AG39" i="37" s="1"/>
  <c r="AK39" i="37" s="1"/>
  <c r="AO39" i="37" s="1"/>
  <c r="AS39" i="37" s="1"/>
  <c r="AW39" i="37" s="1"/>
  <c r="BA39" i="37" s="1"/>
  <c r="BE39" i="37" s="1"/>
  <c r="I30" i="37"/>
  <c r="M30" i="37" s="1"/>
  <c r="Q30" i="37" s="1"/>
  <c r="U30" i="37" s="1"/>
  <c r="Y30" i="37" s="1"/>
  <c r="AC30" i="37" s="1"/>
  <c r="AG30" i="37" s="1"/>
  <c r="AK30" i="37" s="1"/>
  <c r="AO30" i="37" s="1"/>
  <c r="AS30" i="37" s="1"/>
  <c r="AW30" i="37" s="1"/>
  <c r="BA30" i="37" s="1"/>
  <c r="BE30" i="37" s="1"/>
  <c r="I49" i="37"/>
  <c r="M49" i="37" s="1"/>
  <c r="Q49" i="37" s="1"/>
  <c r="U49" i="37" s="1"/>
  <c r="Y49" i="37" s="1"/>
  <c r="AC49" i="37" s="1"/>
  <c r="AG49" i="37" s="1"/>
  <c r="AK49" i="37" s="1"/>
  <c r="AO49" i="37" s="1"/>
  <c r="AS49" i="37" s="1"/>
  <c r="AW49" i="37" s="1"/>
  <c r="BA49" i="37" s="1"/>
  <c r="BE49" i="37" s="1"/>
  <c r="I29" i="37"/>
  <c r="M29" i="37" s="1"/>
  <c r="Q29" i="37" s="1"/>
  <c r="U29" i="37" s="1"/>
  <c r="Y29" i="37" s="1"/>
  <c r="AC29" i="37" s="1"/>
  <c r="AG29" i="37" s="1"/>
  <c r="AK29" i="37" s="1"/>
  <c r="AO29" i="37" s="1"/>
  <c r="AS29" i="37" s="1"/>
  <c r="AW29" i="37" s="1"/>
  <c r="BA29" i="37" s="1"/>
  <c r="BE29" i="37" s="1"/>
  <c r="I45" i="37"/>
  <c r="M45" i="37" s="1"/>
  <c r="Q45" i="37" s="1"/>
  <c r="U45" i="37" s="1"/>
  <c r="Y45" i="37" s="1"/>
  <c r="AC45" i="37" s="1"/>
  <c r="AG45" i="37" s="1"/>
  <c r="AK45" i="37" s="1"/>
  <c r="AO45" i="37" s="1"/>
  <c r="AS45" i="37" s="1"/>
  <c r="AW45" i="37" s="1"/>
  <c r="BA45" i="37" s="1"/>
  <c r="BE45" i="37" s="1"/>
  <c r="I37" i="37"/>
  <c r="M37" i="37" s="1"/>
  <c r="Q37" i="37" s="1"/>
  <c r="U37" i="37" s="1"/>
  <c r="Y37" i="37" s="1"/>
  <c r="AC37" i="37" s="1"/>
  <c r="AG37" i="37" s="1"/>
  <c r="AK37" i="37" s="1"/>
  <c r="AO37" i="37" s="1"/>
  <c r="AS37" i="37" s="1"/>
  <c r="AW37" i="37" s="1"/>
  <c r="BA37" i="37" s="1"/>
  <c r="BE37" i="37" s="1"/>
  <c r="I42" i="37"/>
  <c r="M42" i="37" s="1"/>
  <c r="Q42" i="37" s="1"/>
  <c r="U42" i="37" s="1"/>
  <c r="Y42" i="37" s="1"/>
  <c r="AC42" i="37" s="1"/>
  <c r="AG42" i="37" s="1"/>
  <c r="AK42" i="37" s="1"/>
  <c r="AO42" i="37" s="1"/>
  <c r="AS42" i="37" s="1"/>
  <c r="AW42" i="37" s="1"/>
  <c r="BA42" i="37" s="1"/>
  <c r="BE42" i="37" s="1"/>
  <c r="I46" i="37"/>
  <c r="M46" i="37" s="1"/>
  <c r="Q46" i="37" s="1"/>
  <c r="U46" i="37" s="1"/>
  <c r="Y46" i="37" s="1"/>
  <c r="AC46" i="37" s="1"/>
  <c r="AG46" i="37" s="1"/>
  <c r="AK46" i="37" s="1"/>
  <c r="AO46" i="37" s="1"/>
  <c r="AS46" i="37" s="1"/>
  <c r="AW46" i="37" s="1"/>
  <c r="BA46" i="37" s="1"/>
  <c r="BE46" i="37" s="1"/>
  <c r="I55" i="37"/>
  <c r="M55" i="37" s="1"/>
  <c r="Q55" i="37" s="1"/>
  <c r="U55" i="37" s="1"/>
  <c r="Y55" i="37" s="1"/>
  <c r="AC55" i="37" s="1"/>
  <c r="AG55" i="37" s="1"/>
  <c r="AK55" i="37" s="1"/>
  <c r="AO55" i="37" s="1"/>
  <c r="AS55" i="37" s="1"/>
  <c r="AW55" i="37" s="1"/>
  <c r="BA55" i="37" s="1"/>
  <c r="BE55" i="37" s="1"/>
  <c r="I35" i="37"/>
  <c r="M35" i="37" s="1"/>
  <c r="Q35" i="37" s="1"/>
  <c r="U35" i="37" s="1"/>
  <c r="Y35" i="37" s="1"/>
  <c r="AC35" i="37" s="1"/>
  <c r="AG35" i="37" s="1"/>
  <c r="AK35" i="37" s="1"/>
  <c r="AO35" i="37" s="1"/>
  <c r="AS35" i="37" s="1"/>
  <c r="AW35" i="37" s="1"/>
  <c r="BA35" i="37" s="1"/>
  <c r="BE35" i="37" s="1"/>
  <c r="I59" i="37"/>
  <c r="M59" i="37" s="1"/>
  <c r="Q59" i="37" s="1"/>
  <c r="U59" i="37" s="1"/>
  <c r="Y59" i="37" s="1"/>
  <c r="AC59" i="37" s="1"/>
  <c r="AG59" i="37" s="1"/>
  <c r="AK59" i="37" s="1"/>
  <c r="AO59" i="37" s="1"/>
  <c r="AS59" i="37" s="1"/>
  <c r="AW59" i="37" s="1"/>
  <c r="BA59" i="37" s="1"/>
  <c r="BE59" i="37" s="1"/>
  <c r="I31" i="37"/>
  <c r="M31" i="37" s="1"/>
  <c r="Q31" i="37" s="1"/>
  <c r="U31" i="37" s="1"/>
  <c r="Y31" i="37" s="1"/>
  <c r="AC31" i="37" s="1"/>
  <c r="AG31" i="37" s="1"/>
  <c r="AK31" i="37" s="1"/>
  <c r="AO31" i="37" s="1"/>
  <c r="AS31" i="37" s="1"/>
  <c r="AW31" i="37" s="1"/>
  <c r="BA31" i="37" s="1"/>
  <c r="BE31" i="37" s="1"/>
  <c r="I54" i="37"/>
  <c r="M54" i="37" s="1"/>
  <c r="Q54" i="37" s="1"/>
  <c r="U54" i="37" s="1"/>
  <c r="Y54" i="37" s="1"/>
  <c r="AC54" i="37" s="1"/>
  <c r="AG54" i="37" s="1"/>
  <c r="AK54" i="37" s="1"/>
  <c r="AO54" i="37" s="1"/>
  <c r="AS54" i="37" s="1"/>
  <c r="AW54" i="37" s="1"/>
  <c r="BA54" i="37" s="1"/>
  <c r="BE54" i="37" s="1"/>
  <c r="I27" i="37"/>
  <c r="M27" i="37" s="1"/>
  <c r="Q27" i="37" s="1"/>
  <c r="U27" i="37" s="1"/>
  <c r="Y27" i="37" s="1"/>
  <c r="AC27" i="37" s="1"/>
  <c r="AG27" i="37" s="1"/>
  <c r="AK27" i="37" s="1"/>
  <c r="AO27" i="37" s="1"/>
  <c r="AS27" i="37" s="1"/>
  <c r="AW27" i="37" s="1"/>
  <c r="BA27" i="37" s="1"/>
  <c r="BE27" i="37" s="1"/>
  <c r="I33" i="37"/>
  <c r="M33" i="37" s="1"/>
  <c r="Q33" i="37" s="1"/>
  <c r="U33" i="37" s="1"/>
  <c r="Y33" i="37" s="1"/>
  <c r="AC33" i="37" s="1"/>
  <c r="AG33" i="37" s="1"/>
  <c r="AK33" i="37" s="1"/>
  <c r="AO33" i="37" s="1"/>
  <c r="AS33" i="37" s="1"/>
  <c r="AW33" i="37" s="1"/>
  <c r="BA33" i="37" s="1"/>
  <c r="BE33" i="37" s="1"/>
  <c r="I41" i="37"/>
  <c r="M41" i="37" s="1"/>
  <c r="Q41" i="37" s="1"/>
  <c r="U41" i="37" s="1"/>
  <c r="Y41" i="37" s="1"/>
  <c r="AC41" i="37" s="1"/>
  <c r="AG41" i="37" s="1"/>
  <c r="AK41" i="37" s="1"/>
  <c r="AO41" i="37" s="1"/>
  <c r="AS41" i="37" s="1"/>
  <c r="AW41" i="37" s="1"/>
  <c r="BA41" i="37" s="1"/>
  <c r="BE41" i="37" s="1"/>
  <c r="I43" i="37"/>
  <c r="M43" i="37" s="1"/>
  <c r="Q43" i="37" s="1"/>
  <c r="U43" i="37" s="1"/>
  <c r="Y43" i="37" s="1"/>
  <c r="AC43" i="37" s="1"/>
  <c r="AG43" i="37" s="1"/>
  <c r="AK43" i="37" s="1"/>
  <c r="AO43" i="37" s="1"/>
  <c r="AS43" i="37" s="1"/>
  <c r="AW43" i="37" s="1"/>
  <c r="BA43" i="37" s="1"/>
  <c r="BE43" i="37" s="1"/>
  <c r="I51" i="37"/>
  <c r="M51" i="37" s="1"/>
  <c r="Q51" i="37" s="1"/>
  <c r="U51" i="37" s="1"/>
  <c r="Y51" i="37" s="1"/>
  <c r="AC51" i="37" s="1"/>
  <c r="AG51" i="37" s="1"/>
  <c r="AK51" i="37" s="1"/>
  <c r="AO51" i="37" s="1"/>
  <c r="AS51" i="37" s="1"/>
  <c r="AW51" i="37" s="1"/>
  <c r="BA51" i="37" s="1"/>
  <c r="BE51" i="37" s="1"/>
  <c r="I32" i="37"/>
  <c r="M32" i="37" s="1"/>
  <c r="Q32" i="37" s="1"/>
  <c r="U32" i="37" s="1"/>
  <c r="Y32" i="37" s="1"/>
  <c r="AC32" i="37" s="1"/>
  <c r="AG32" i="37" s="1"/>
  <c r="AK32" i="37" s="1"/>
  <c r="AO32" i="37" s="1"/>
  <c r="AS32" i="37" s="1"/>
  <c r="AW32" i="37" s="1"/>
  <c r="BA32" i="37" s="1"/>
  <c r="BE32" i="37" s="1"/>
  <c r="I60" i="37"/>
  <c r="M60" i="37" s="1"/>
  <c r="Q60" i="37" s="1"/>
  <c r="U60" i="37" s="1"/>
  <c r="Y60" i="37" s="1"/>
  <c r="AC60" i="37" s="1"/>
  <c r="AG60" i="37" s="1"/>
  <c r="AK60" i="37" s="1"/>
  <c r="AO60" i="37" s="1"/>
  <c r="AS60" i="37" s="1"/>
  <c r="AW60" i="37" s="1"/>
  <c r="BA60" i="37" s="1"/>
  <c r="BE60" i="37" s="1"/>
  <c r="I6" i="37"/>
  <c r="M6" i="37" s="1"/>
  <c r="Q6" i="37" s="1"/>
  <c r="U6" i="37" s="1"/>
  <c r="Y6" i="37" s="1"/>
  <c r="AC6" i="37" s="1"/>
  <c r="AG6" i="37" s="1"/>
  <c r="AK6" i="37" s="1"/>
  <c r="AO6" i="37" s="1"/>
  <c r="AS6" i="37" s="1"/>
  <c r="AW6" i="37" s="1"/>
  <c r="BA6" i="37" s="1"/>
  <c r="BE6" i="37" s="1"/>
  <c r="I50" i="37"/>
  <c r="M50" i="37" s="1"/>
  <c r="Q50" i="37" s="1"/>
  <c r="U50" i="37" s="1"/>
  <c r="Y50" i="37" s="1"/>
  <c r="AC50" i="37" s="1"/>
  <c r="AG50" i="37" s="1"/>
  <c r="AK50" i="37" s="1"/>
  <c r="AO50" i="37" s="1"/>
  <c r="AS50" i="37" s="1"/>
  <c r="AW50" i="37" s="1"/>
  <c r="BA50" i="37" s="1"/>
  <c r="BE50" i="37" s="1"/>
  <c r="I36" i="37"/>
  <c r="M36" i="37" s="1"/>
  <c r="Q36" i="37" s="1"/>
  <c r="U36" i="37" s="1"/>
  <c r="Y36" i="37" s="1"/>
  <c r="AC36" i="37" s="1"/>
  <c r="AG36" i="37" s="1"/>
  <c r="AK36" i="37" s="1"/>
  <c r="AO36" i="37" s="1"/>
  <c r="AS36" i="37" s="1"/>
  <c r="AW36" i="37" s="1"/>
  <c r="BA36" i="37" s="1"/>
  <c r="BE36" i="37" s="1"/>
  <c r="I34" i="37"/>
  <c r="M34" i="37" s="1"/>
  <c r="Q34" i="37" s="1"/>
  <c r="U34" i="37" s="1"/>
  <c r="Y34" i="37" s="1"/>
  <c r="AC34" i="37" s="1"/>
  <c r="AG34" i="37" s="1"/>
  <c r="AK34" i="37" s="1"/>
  <c r="AO34" i="37" s="1"/>
  <c r="AS34" i="37" s="1"/>
  <c r="AW34" i="37" s="1"/>
  <c r="BA34" i="37" s="1"/>
  <c r="BE34" i="37" s="1"/>
  <c r="I47" i="37"/>
  <c r="M47" i="37" s="1"/>
  <c r="Q47" i="37" s="1"/>
  <c r="U47" i="37" s="1"/>
  <c r="Y47" i="37" s="1"/>
  <c r="AC47" i="37" s="1"/>
  <c r="AG47" i="37" s="1"/>
  <c r="AK47" i="37" s="1"/>
  <c r="AO47" i="37" s="1"/>
  <c r="AS47" i="37" s="1"/>
  <c r="AW47" i="37" s="1"/>
  <c r="BA47" i="37" s="1"/>
  <c r="BE47" i="37" s="1"/>
  <c r="I53" i="37"/>
  <c r="M53" i="37" s="1"/>
  <c r="Q53" i="37" s="1"/>
  <c r="U53" i="37" s="1"/>
  <c r="Y53" i="37" s="1"/>
  <c r="AC53" i="37" s="1"/>
  <c r="AG53" i="37" s="1"/>
  <c r="AK53" i="37" s="1"/>
  <c r="AO53" i="37" s="1"/>
  <c r="AS53" i="37" s="1"/>
  <c r="AW53" i="37" s="1"/>
  <c r="BA53" i="37" s="1"/>
  <c r="BE53" i="37" s="1"/>
  <c r="I22" i="37"/>
  <c r="M22" i="37" s="1"/>
  <c r="Q22" i="37" s="1"/>
  <c r="U22" i="37" s="1"/>
  <c r="Y22" i="37" s="1"/>
  <c r="AC22" i="37" s="1"/>
  <c r="AG22" i="37" s="1"/>
  <c r="AK22" i="37" s="1"/>
  <c r="AO22" i="37" s="1"/>
  <c r="AS22" i="37" s="1"/>
  <c r="AW22" i="37" s="1"/>
  <c r="BA22" i="37" s="1"/>
  <c r="BE22" i="37" s="1"/>
  <c r="I52" i="37"/>
  <c r="M52" i="37" s="1"/>
  <c r="Q52" i="37" s="1"/>
  <c r="U52" i="37" s="1"/>
  <c r="Y52" i="37" s="1"/>
  <c r="AC52" i="37" s="1"/>
  <c r="AG52" i="37" s="1"/>
  <c r="AK52" i="37" s="1"/>
  <c r="AO52" i="37" s="1"/>
  <c r="AS52" i="37" s="1"/>
  <c r="AW52" i="37" s="1"/>
  <c r="BA52" i="37" s="1"/>
  <c r="BE52" i="37" s="1"/>
  <c r="I11" i="37"/>
  <c r="M11" i="37" s="1"/>
  <c r="Q11" i="37" s="1"/>
  <c r="U11" i="37" s="1"/>
  <c r="Y11" i="37" s="1"/>
  <c r="AC11" i="37" s="1"/>
  <c r="AG11" i="37" s="1"/>
  <c r="AK11" i="37" s="1"/>
  <c r="AO11" i="37" s="1"/>
  <c r="AS11" i="37" s="1"/>
  <c r="AW11" i="37" s="1"/>
  <c r="BA11" i="37" s="1"/>
  <c r="BE11" i="37" s="1"/>
  <c r="I44" i="37"/>
  <c r="M44" i="37" s="1"/>
  <c r="Q44" i="37" s="1"/>
  <c r="U44" i="37" s="1"/>
  <c r="Y44" i="37" s="1"/>
  <c r="AC44" i="37" s="1"/>
  <c r="AG44" i="37" s="1"/>
  <c r="AK44" i="37" s="1"/>
  <c r="AO44" i="37" s="1"/>
  <c r="AS44" i="37" s="1"/>
  <c r="AW44" i="37" s="1"/>
  <c r="BA44" i="37" s="1"/>
  <c r="BE44" i="37" s="1"/>
  <c r="F55" i="37"/>
  <c r="J55" i="37" s="1"/>
  <c r="N55" i="37" s="1"/>
  <c r="R55" i="37" s="1"/>
  <c r="V55" i="37" s="1"/>
  <c r="Z55" i="37" s="1"/>
  <c r="AD55" i="37" s="1"/>
  <c r="AH55" i="37" s="1"/>
  <c r="AL55" i="37" s="1"/>
  <c r="AP55" i="37" s="1"/>
  <c r="AT55" i="37" s="1"/>
  <c r="AX55" i="37" s="1"/>
  <c r="BB55" i="37" s="1"/>
  <c r="F13" i="37"/>
  <c r="J13" i="37" s="1"/>
  <c r="N13" i="37" s="1"/>
  <c r="R13" i="37" s="1"/>
  <c r="V13" i="37" s="1"/>
  <c r="Z13" i="37" s="1"/>
  <c r="AD13" i="37" s="1"/>
  <c r="AH13" i="37" s="1"/>
  <c r="AL13" i="37" s="1"/>
  <c r="AP13" i="37" s="1"/>
  <c r="AT13" i="37" s="1"/>
  <c r="AX13" i="37" s="1"/>
  <c r="BB13" i="37" s="1"/>
  <c r="F59" i="37"/>
  <c r="J59" i="37" s="1"/>
  <c r="N59" i="37" s="1"/>
  <c r="R59" i="37" s="1"/>
  <c r="V59" i="37" s="1"/>
  <c r="Z59" i="37" s="1"/>
  <c r="AD59" i="37" s="1"/>
  <c r="AH59" i="37" s="1"/>
  <c r="AL59" i="37" s="1"/>
  <c r="AP59" i="37" s="1"/>
  <c r="AT59" i="37" s="1"/>
  <c r="AX59" i="37" s="1"/>
  <c r="BB59" i="37" s="1"/>
  <c r="AW57" i="37"/>
  <c r="BA57" i="37" s="1"/>
  <c r="BE57" i="37" s="1"/>
  <c r="BI57" i="37" s="1"/>
  <c r="BM57" i="37" s="1"/>
  <c r="BQ57" i="37" s="1"/>
  <c r="BU57" i="37" s="1"/>
  <c r="BY57" i="37" s="1"/>
  <c r="CC57" i="37" s="1"/>
  <c r="I18" i="42"/>
  <c r="J18" i="42" s="1"/>
  <c r="I7" i="42"/>
  <c r="J7" i="42" s="1"/>
  <c r="I26" i="42"/>
  <c r="J26" i="42" s="1"/>
  <c r="I56" i="42"/>
  <c r="J56" i="42" s="1"/>
  <c r="I24" i="42"/>
  <c r="J24" i="42" s="1"/>
  <c r="I10" i="42"/>
  <c r="J10" i="42" s="1"/>
  <c r="I30" i="42"/>
  <c r="J30" i="42" s="1"/>
  <c r="I62" i="42"/>
  <c r="J62" i="42" s="1"/>
  <c r="I12" i="42"/>
  <c r="J12" i="42" s="1"/>
  <c r="I11" i="42"/>
  <c r="J11" i="42" s="1"/>
  <c r="I16" i="42"/>
  <c r="J16" i="42" s="1"/>
  <c r="I32" i="42"/>
  <c r="J32" i="42" s="1"/>
  <c r="I9" i="42"/>
  <c r="J9" i="42" s="1"/>
  <c r="I31" i="42"/>
  <c r="J31" i="42" s="1"/>
  <c r="I51" i="42"/>
  <c r="J51" i="42" s="1"/>
  <c r="I61" i="42"/>
  <c r="J61" i="42" s="1"/>
  <c r="I33" i="42"/>
  <c r="J33" i="42" s="1"/>
  <c r="I55" i="42"/>
  <c r="J55" i="42" s="1"/>
  <c r="I37" i="42"/>
  <c r="J37" i="42" s="1"/>
  <c r="I27" i="42"/>
  <c r="J27" i="42" s="1"/>
  <c r="I36" i="42"/>
  <c r="J36" i="42" s="1"/>
  <c r="I38" i="42"/>
  <c r="J38" i="42" s="1"/>
  <c r="I63" i="42"/>
  <c r="J63" i="42" s="1"/>
  <c r="I15" i="42"/>
  <c r="J15" i="42" s="1"/>
  <c r="I20" i="42"/>
  <c r="J20" i="42" s="1"/>
  <c r="I53" i="42"/>
  <c r="J53" i="42" s="1"/>
  <c r="I50" i="42"/>
  <c r="J50" i="42" s="1"/>
  <c r="I17" i="42"/>
  <c r="J17" i="42" s="1"/>
  <c r="I47" i="21"/>
  <c r="L48" i="43"/>
  <c r="M48" i="43" s="1"/>
  <c r="K48" i="43"/>
  <c r="J48" i="21"/>
  <c r="J180" i="39" l="1"/>
  <c r="J176" i="39"/>
  <c r="J178" i="39" s="1"/>
  <c r="J101" i="39"/>
  <c r="D34" i="42"/>
  <c r="X42" i="36"/>
  <c r="D42" i="42"/>
  <c r="D24" i="42"/>
  <c r="D43" i="42"/>
  <c r="D45" i="42"/>
  <c r="R6" i="36"/>
  <c r="S6" i="36" s="1"/>
  <c r="T6" i="36" s="1"/>
  <c r="U6" i="36" s="1"/>
  <c r="V6" i="36" s="1"/>
  <c r="W6" i="36" s="1"/>
  <c r="X6" i="36" s="1"/>
  <c r="W10" i="36"/>
  <c r="X10" i="36" s="1"/>
  <c r="D11" i="42"/>
  <c r="D12" i="42"/>
  <c r="W50" i="36"/>
  <c r="X50" i="36" s="1"/>
  <c r="D2" i="39"/>
  <c r="I9" i="39" s="1"/>
  <c r="D19" i="42"/>
  <c r="D8" i="42"/>
  <c r="D29" i="42"/>
  <c r="D13" i="42"/>
  <c r="D26" i="42"/>
  <c r="D49" i="42"/>
  <c r="D56" i="42"/>
  <c r="D44" i="42"/>
  <c r="V18" i="36"/>
  <c r="W18" i="36" s="1"/>
  <c r="X18" i="36" s="1"/>
  <c r="D18" i="42"/>
  <c r="V8" i="36"/>
  <c r="W8" i="36" s="1"/>
  <c r="X8" i="36" s="1"/>
  <c r="D32" i="42"/>
  <c r="T46" i="36"/>
  <c r="U46" i="36" s="1"/>
  <c r="V46" i="36" s="1"/>
  <c r="W46" i="36" s="1"/>
  <c r="X46" i="36" s="1"/>
  <c r="D36" i="42"/>
  <c r="D54" i="42"/>
  <c r="D48" i="42"/>
  <c r="T17" i="36"/>
  <c r="U17" i="36" s="1"/>
  <c r="V17" i="36" s="1"/>
  <c r="W17" i="36" s="1"/>
  <c r="X17" i="36" s="1"/>
  <c r="D33" i="42"/>
  <c r="V4" i="36"/>
  <c r="W4" i="36" s="1"/>
  <c r="T20" i="36"/>
  <c r="U20" i="36" s="1"/>
  <c r="V20" i="36" s="1"/>
  <c r="W20" i="36" s="1"/>
  <c r="X20" i="36" s="1"/>
  <c r="D47" i="42"/>
  <c r="D25" i="42"/>
  <c r="D51" i="42"/>
  <c r="D6" i="42"/>
  <c r="D14" i="42"/>
  <c r="BM8" i="37"/>
  <c r="P63" i="36"/>
  <c r="D31" i="42"/>
  <c r="D55" i="42"/>
  <c r="D39" i="42"/>
  <c r="D27" i="42"/>
  <c r="D21" i="42"/>
  <c r="D53" i="42"/>
  <c r="D10" i="42"/>
  <c r="D40" i="42"/>
  <c r="D23" i="42"/>
  <c r="D41" i="42"/>
  <c r="D28" i="42"/>
  <c r="S63" i="36"/>
  <c r="D22" i="42"/>
  <c r="D52" i="42"/>
  <c r="D37" i="42"/>
  <c r="D5" i="42"/>
  <c r="D30" i="42"/>
  <c r="F16" i="42"/>
  <c r="BI14" i="37"/>
  <c r="BG38" i="37"/>
  <c r="E62" i="42"/>
  <c r="BG5" i="37"/>
  <c r="H36" i="42"/>
  <c r="F22" i="42"/>
  <c r="BI24" i="37"/>
  <c r="BG55" i="37"/>
  <c r="BG35" i="37"/>
  <c r="BI28" i="37"/>
  <c r="BG34" i="37"/>
  <c r="BK34" i="37" s="1"/>
  <c r="R63" i="36"/>
  <c r="BG46" i="37"/>
  <c r="BI16" i="37"/>
  <c r="BG53" i="37"/>
  <c r="F10" i="42"/>
  <c r="G6" i="42"/>
  <c r="BG36" i="37"/>
  <c r="E56" i="42"/>
  <c r="BG54" i="37"/>
  <c r="BI15" i="37"/>
  <c r="BH34" i="37"/>
  <c r="D49" i="21"/>
  <c r="BG48" i="37"/>
  <c r="G50" i="21"/>
  <c r="H49" i="43"/>
  <c r="BI32" i="37"/>
  <c r="BE5" i="37"/>
  <c r="BA63" i="37"/>
  <c r="BF39" i="37"/>
  <c r="BF18" i="37"/>
  <c r="BF37" i="37"/>
  <c r="BF38" i="37"/>
  <c r="BG29" i="37"/>
  <c r="BG42" i="37"/>
  <c r="BH24" i="37"/>
  <c r="BH49" i="37"/>
  <c r="BH55" i="37"/>
  <c r="BH32" i="37"/>
  <c r="BI27" i="37"/>
  <c r="BF54" i="37"/>
  <c r="BH31" i="37"/>
  <c r="BF51" i="37"/>
  <c r="BF13" i="37"/>
  <c r="BI49" i="37"/>
  <c r="BF59" i="37"/>
  <c r="BI53" i="37"/>
  <c r="BI51" i="37"/>
  <c r="BI35" i="37"/>
  <c r="BI30" i="37"/>
  <c r="BG31" i="37"/>
  <c r="BI26" i="37"/>
  <c r="BI25" i="37"/>
  <c r="BH18" i="37"/>
  <c r="BG27" i="37"/>
  <c r="BI20" i="37"/>
  <c r="BF31" i="37"/>
  <c r="BF17" i="37"/>
  <c r="BF46" i="37"/>
  <c r="BF30" i="37"/>
  <c r="BF35" i="37"/>
  <c r="BG11" i="37"/>
  <c r="BG49" i="37"/>
  <c r="BG22" i="37"/>
  <c r="BI12" i="37"/>
  <c r="BH12" i="37"/>
  <c r="BH41" i="37"/>
  <c r="BH59" i="37"/>
  <c r="BH39" i="37"/>
  <c r="BI50" i="37"/>
  <c r="BI22" i="37"/>
  <c r="BF7" i="37"/>
  <c r="BG43" i="37"/>
  <c r="BF47" i="37"/>
  <c r="BI47" i="37"/>
  <c r="BI43" i="37"/>
  <c r="BI55" i="37"/>
  <c r="BI39" i="37"/>
  <c r="BG9" i="37"/>
  <c r="BG45" i="37"/>
  <c r="BF9" i="37"/>
  <c r="BG28" i="37"/>
  <c r="BG14" i="37"/>
  <c r="BF29" i="37"/>
  <c r="BJ29" i="37" s="1"/>
  <c r="BF44" i="37"/>
  <c r="BF20" i="37"/>
  <c r="BF60" i="37"/>
  <c r="BF45" i="37"/>
  <c r="BG18" i="37"/>
  <c r="BG30" i="37"/>
  <c r="BG19" i="37"/>
  <c r="BH38" i="37"/>
  <c r="BH19" i="37"/>
  <c r="BH16" i="37"/>
  <c r="BH7" i="37"/>
  <c r="BI19" i="37"/>
  <c r="BG41" i="37"/>
  <c r="BI38" i="37"/>
  <c r="BI59" i="37"/>
  <c r="BF12" i="37"/>
  <c r="BG25" i="37"/>
  <c r="BH40" i="37"/>
  <c r="BF55" i="37"/>
  <c r="BI34" i="37"/>
  <c r="BI41" i="37"/>
  <c r="BI46" i="37"/>
  <c r="BI48" i="37"/>
  <c r="BG10" i="37"/>
  <c r="BG12" i="37"/>
  <c r="BG20" i="37"/>
  <c r="BG13" i="37"/>
  <c r="BF21" i="37"/>
  <c r="BF43" i="37"/>
  <c r="BF28" i="37"/>
  <c r="BF23" i="37"/>
  <c r="BF41" i="37"/>
  <c r="BG40" i="37"/>
  <c r="BG21" i="37"/>
  <c r="BG23" i="37"/>
  <c r="BK23" i="37" s="1"/>
  <c r="BH21" i="37"/>
  <c r="BH13" i="37"/>
  <c r="BH10" i="37"/>
  <c r="BH48" i="37"/>
  <c r="BG16" i="37"/>
  <c r="BI37" i="37"/>
  <c r="BF11" i="37"/>
  <c r="BH44" i="37"/>
  <c r="BH47" i="37"/>
  <c r="J4" i="42"/>
  <c r="O6" i="42" s="1"/>
  <c r="BG8" i="37"/>
  <c r="BG32" i="37"/>
  <c r="BI36" i="37"/>
  <c r="BI33" i="37"/>
  <c r="BI42" i="37"/>
  <c r="BI40" i="37"/>
  <c r="BH46" i="37"/>
  <c r="BG50" i="37"/>
  <c r="BI13" i="37"/>
  <c r="BG26" i="37"/>
  <c r="BG15" i="37"/>
  <c r="BG44" i="37"/>
  <c r="BK44" i="37" s="1"/>
  <c r="BF49" i="37"/>
  <c r="BF33" i="37"/>
  <c r="BF32" i="37"/>
  <c r="BF40" i="37"/>
  <c r="BF14" i="37"/>
  <c r="BH25" i="37"/>
  <c r="BG7" i="37"/>
  <c r="BH22" i="37"/>
  <c r="BL22" i="37" s="1"/>
  <c r="BH9" i="37"/>
  <c r="BH8" i="37"/>
  <c r="BH50" i="37"/>
  <c r="BG33" i="37"/>
  <c r="BH6" i="37"/>
  <c r="BH23" i="37"/>
  <c r="BH52" i="37"/>
  <c r="BH51" i="37"/>
  <c r="BH35" i="37"/>
  <c r="BI9" i="37"/>
  <c r="BI7" i="37"/>
  <c r="BF27" i="37"/>
  <c r="BF10" i="37"/>
  <c r="BF19" i="37"/>
  <c r="BC6" i="37"/>
  <c r="AY63" i="37"/>
  <c r="BG51" i="37"/>
  <c r="BI11" i="37"/>
  <c r="BI6" i="37"/>
  <c r="BI54" i="37"/>
  <c r="BI45" i="37"/>
  <c r="BG52" i="37"/>
  <c r="BF53" i="37"/>
  <c r="BF8" i="37"/>
  <c r="BH20" i="37"/>
  <c r="BH29" i="37"/>
  <c r="BH45" i="37"/>
  <c r="BL45" i="37" s="1"/>
  <c r="BH27" i="37"/>
  <c r="BH43" i="37"/>
  <c r="BF26" i="37"/>
  <c r="BF42" i="37"/>
  <c r="BB5" i="37"/>
  <c r="AX63" i="37"/>
  <c r="BF34" i="37"/>
  <c r="BF22" i="37"/>
  <c r="BG24" i="37"/>
  <c r="BH36" i="37"/>
  <c r="BH15" i="37"/>
  <c r="BH11" i="37"/>
  <c r="BH53" i="37"/>
  <c r="BH54" i="37"/>
  <c r="BI44" i="37"/>
  <c r="BH14" i="37"/>
  <c r="BF16" i="37"/>
  <c r="BF48" i="37"/>
  <c r="BG17" i="37"/>
  <c r="BH30" i="37"/>
  <c r="BI52" i="37"/>
  <c r="BI60" i="37"/>
  <c r="BI31" i="37"/>
  <c r="BI29" i="37"/>
  <c r="BH33" i="37"/>
  <c r="BL33" i="37" s="1"/>
  <c r="BG39" i="37"/>
  <c r="BH28" i="37"/>
  <c r="BF52" i="37"/>
  <c r="BG47" i="37"/>
  <c r="BH42" i="37"/>
  <c r="BH60" i="37"/>
  <c r="BI21" i="37"/>
  <c r="BM21" i="37" s="1"/>
  <c r="BF50" i="37"/>
  <c r="BF25" i="37"/>
  <c r="BF15" i="37"/>
  <c r="BF36" i="37"/>
  <c r="BF24" i="37"/>
  <c r="BG37" i="37"/>
  <c r="BI18" i="37"/>
  <c r="AZ63" i="37"/>
  <c r="BD5" i="37"/>
  <c r="BH26" i="37"/>
  <c r="BH17" i="37"/>
  <c r="I4" i="42"/>
  <c r="O5" i="42" s="1"/>
  <c r="K47" i="21"/>
  <c r="L47" i="21"/>
  <c r="M47" i="21" s="1"/>
  <c r="J49" i="21"/>
  <c r="J51" i="43"/>
  <c r="I48" i="21"/>
  <c r="K49" i="43"/>
  <c r="L49" i="43"/>
  <c r="M49" i="43" s="1"/>
  <c r="D7" i="42" l="1"/>
  <c r="D50" i="42"/>
  <c r="D17" i="42"/>
  <c r="X4" i="36"/>
  <c r="X63" i="36" s="1"/>
  <c r="W63" i="36"/>
  <c r="V227" i="39"/>
  <c r="D9" i="42"/>
  <c r="D20" i="42"/>
  <c r="D46" i="42"/>
  <c r="BP33" i="37"/>
  <c r="BT33" i="37" s="1"/>
  <c r="BQ21" i="37"/>
  <c r="BU21" i="37" s="1"/>
  <c r="BP45" i="37"/>
  <c r="BT45" i="37" s="1"/>
  <c r="BO34" i="37"/>
  <c r="BS34" i="37" s="1"/>
  <c r="BQ8" i="37"/>
  <c r="BU8" i="37" s="1"/>
  <c r="BP22" i="37"/>
  <c r="BT22" i="37" s="1"/>
  <c r="BO44" i="37"/>
  <c r="BS44" i="37" s="1"/>
  <c r="BO23" i="37"/>
  <c r="BS23" i="37" s="1"/>
  <c r="BN29" i="37"/>
  <c r="BR29" i="37" s="1"/>
  <c r="T63" i="36"/>
  <c r="U63" i="36"/>
  <c r="V63" i="36"/>
  <c r="BJ25" i="37"/>
  <c r="BL30" i="37"/>
  <c r="BL11" i="37"/>
  <c r="BJ8" i="37"/>
  <c r="BL51" i="37"/>
  <c r="BJ28" i="37"/>
  <c r="BK39" i="37"/>
  <c r="BK17" i="37"/>
  <c r="BJ53" i="37"/>
  <c r="BL21" i="37"/>
  <c r="BK18" i="37"/>
  <c r="BL12" i="37"/>
  <c r="BJ13" i="37"/>
  <c r="BJ48" i="37"/>
  <c r="BL36" i="37"/>
  <c r="BL43" i="37"/>
  <c r="BK52" i="37"/>
  <c r="BJ19" i="37"/>
  <c r="BL23" i="37"/>
  <c r="BK7" i="37"/>
  <c r="BL44" i="37"/>
  <c r="BJ21" i="37"/>
  <c r="BJ45" i="37"/>
  <c r="BJ9" i="37"/>
  <c r="BK43" i="37"/>
  <c r="BJ31" i="37"/>
  <c r="BK31" i="37"/>
  <c r="BJ51" i="37"/>
  <c r="BK42" i="37"/>
  <c r="BK5" i="37"/>
  <c r="BL28" i="37"/>
  <c r="BJ42" i="37"/>
  <c r="BL41" i="37"/>
  <c r="BJ50" i="37"/>
  <c r="BL15" i="37"/>
  <c r="BL47" i="37"/>
  <c r="BJ47" i="37"/>
  <c r="BK15" i="37"/>
  <c r="BJ11" i="37"/>
  <c r="BK13" i="37"/>
  <c r="BJ55" i="37"/>
  <c r="BL7" i="37"/>
  <c r="BJ60" i="37"/>
  <c r="BK45" i="37"/>
  <c r="BJ7" i="37"/>
  <c r="BK22" i="37"/>
  <c r="BL31" i="37"/>
  <c r="BK29" i="37"/>
  <c r="BL34" i="37"/>
  <c r="BK36" i="37"/>
  <c r="BL26" i="37"/>
  <c r="BL52" i="37"/>
  <c r="BK24" i="37"/>
  <c r="BL6" i="37"/>
  <c r="BL60" i="37"/>
  <c r="BL14" i="37"/>
  <c r="BK33" i="37"/>
  <c r="BJ14" i="37"/>
  <c r="BK26" i="37"/>
  <c r="BK32" i="37"/>
  <c r="BK21" i="37"/>
  <c r="BK20" i="37"/>
  <c r="BL40" i="37"/>
  <c r="BL16" i="37"/>
  <c r="BP16" i="37" s="1"/>
  <c r="BT16" i="37" s="1"/>
  <c r="BX16" i="37" s="1"/>
  <c r="CB16" i="37" s="1"/>
  <c r="CF16" i="37" s="1"/>
  <c r="BJ20" i="37"/>
  <c r="BK9" i="37"/>
  <c r="BK49" i="37"/>
  <c r="BK27" i="37"/>
  <c r="BJ54" i="37"/>
  <c r="BJ38" i="37"/>
  <c r="BJ10" i="37"/>
  <c r="BK37" i="37"/>
  <c r="BJ22" i="37"/>
  <c r="BK8" i="37"/>
  <c r="BK25" i="37"/>
  <c r="BJ44" i="37"/>
  <c r="BL18" i="37"/>
  <c r="BJ37" i="37"/>
  <c r="BK48" i="37"/>
  <c r="BK35" i="37"/>
  <c r="BL13" i="37"/>
  <c r="BK30" i="37"/>
  <c r="BK14" i="37"/>
  <c r="BJ46" i="37"/>
  <c r="BL49" i="37"/>
  <c r="BK46" i="37"/>
  <c r="BJ26" i="37"/>
  <c r="BJ16" i="37"/>
  <c r="BL27" i="37"/>
  <c r="BL25" i="37"/>
  <c r="BJ27" i="37"/>
  <c r="BL42" i="37"/>
  <c r="BJ34" i="37"/>
  <c r="BJ40" i="37"/>
  <c r="BK40" i="37"/>
  <c r="BJ36" i="37"/>
  <c r="BK47" i="37"/>
  <c r="BL54" i="37"/>
  <c r="BL29" i="37"/>
  <c r="BJ32" i="37"/>
  <c r="BK50" i="37"/>
  <c r="BL48" i="37"/>
  <c r="BJ41" i="37"/>
  <c r="BK10" i="37"/>
  <c r="BJ12" i="37"/>
  <c r="BL38" i="37"/>
  <c r="BL39" i="37"/>
  <c r="BJ35" i="37"/>
  <c r="BL32" i="37"/>
  <c r="BJ18" i="37"/>
  <c r="BK53" i="37"/>
  <c r="BK55" i="37"/>
  <c r="BJ49" i="37"/>
  <c r="BJ43" i="37"/>
  <c r="BK41" i="37"/>
  <c r="BK28" i="37"/>
  <c r="BJ17" i="37"/>
  <c r="BL24" i="37"/>
  <c r="BJ24" i="37"/>
  <c r="BL50" i="37"/>
  <c r="BK16" i="37"/>
  <c r="BK12" i="37"/>
  <c r="BL19" i="37"/>
  <c r="BK11" i="37"/>
  <c r="BL8" i="37"/>
  <c r="BL17" i="37"/>
  <c r="BJ15" i="37"/>
  <c r="BJ52" i="37"/>
  <c r="BL53" i="37"/>
  <c r="BL20" i="37"/>
  <c r="BK51" i="37"/>
  <c r="BL35" i="37"/>
  <c r="BL9" i="37"/>
  <c r="BJ33" i="37"/>
  <c r="BL46" i="37"/>
  <c r="BL10" i="37"/>
  <c r="BJ23" i="37"/>
  <c r="BK19" i="37"/>
  <c r="BL59" i="37"/>
  <c r="BJ30" i="37"/>
  <c r="BJ59" i="37"/>
  <c r="BL55" i="37"/>
  <c r="BJ39" i="37"/>
  <c r="BK54" i="37"/>
  <c r="BK38" i="37"/>
  <c r="BM34" i="37"/>
  <c r="BM20" i="37"/>
  <c r="BM54" i="37"/>
  <c r="BM37" i="37"/>
  <c r="BM22" i="37"/>
  <c r="BM35" i="37"/>
  <c r="BM32" i="37"/>
  <c r="BM36" i="37"/>
  <c r="BM29" i="37"/>
  <c r="BM44" i="37"/>
  <c r="BM39" i="37"/>
  <c r="BM50" i="37"/>
  <c r="BM51" i="37"/>
  <c r="BM27" i="37"/>
  <c r="BM28" i="37"/>
  <c r="BM12" i="37"/>
  <c r="BM31" i="37"/>
  <c r="BM6" i="37"/>
  <c r="BM7" i="37"/>
  <c r="BM13" i="37"/>
  <c r="BM60" i="37"/>
  <c r="BM11" i="37"/>
  <c r="BM9" i="37"/>
  <c r="BM55" i="37"/>
  <c r="BM25" i="37"/>
  <c r="BM53" i="37"/>
  <c r="BM33" i="37"/>
  <c r="BM18" i="37"/>
  <c r="BM30" i="37"/>
  <c r="BM52" i="37"/>
  <c r="BM48" i="37"/>
  <c r="BM59" i="37"/>
  <c r="BM43" i="37"/>
  <c r="BM26" i="37"/>
  <c r="BM19" i="37"/>
  <c r="BM45" i="37"/>
  <c r="BM40" i="37"/>
  <c r="BM46" i="37"/>
  <c r="BM38" i="37"/>
  <c r="BM47" i="37"/>
  <c r="BM49" i="37"/>
  <c r="BM16" i="37"/>
  <c r="BM24" i="37"/>
  <c r="BM42" i="37"/>
  <c r="BM41" i="37"/>
  <c r="BM15" i="37"/>
  <c r="BM14" i="37"/>
  <c r="D50" i="21"/>
  <c r="G51" i="21"/>
  <c r="H50" i="43"/>
  <c r="G52" i="43" s="1"/>
  <c r="BE63" i="37"/>
  <c r="BI5" i="37"/>
  <c r="BB63" i="37"/>
  <c r="BF5" i="37"/>
  <c r="BC63" i="37"/>
  <c r="BG6" i="37"/>
  <c r="BD63" i="37"/>
  <c r="BH5" i="37"/>
  <c r="K48" i="21"/>
  <c r="L48" i="21"/>
  <c r="M48" i="21" s="1"/>
  <c r="J50" i="21"/>
  <c r="I49" i="21"/>
  <c r="L50" i="43"/>
  <c r="M50" i="43" s="1"/>
  <c r="K50" i="43"/>
  <c r="H13" i="39" l="1"/>
  <c r="J11" i="39"/>
  <c r="Z216" i="39"/>
  <c r="X227" i="39" s="1"/>
  <c r="BX45" i="37"/>
  <c r="BY21" i="37"/>
  <c r="BV29" i="37"/>
  <c r="BW23" i="37"/>
  <c r="BX33" i="37"/>
  <c r="BW44" i="37"/>
  <c r="BW34" i="37"/>
  <c r="BX22" i="37"/>
  <c r="BY8" i="37"/>
  <c r="D4" i="42"/>
  <c r="BP42" i="37"/>
  <c r="BT42" i="37" s="1"/>
  <c r="BQ49" i="37"/>
  <c r="BU49" i="37" s="1"/>
  <c r="BQ43" i="37"/>
  <c r="BU43" i="37" s="1"/>
  <c r="BQ25" i="37"/>
  <c r="BU25" i="37" s="1"/>
  <c r="BQ31" i="37"/>
  <c r="BU31" i="37" s="1"/>
  <c r="BQ29" i="37"/>
  <c r="BU29" i="37" s="1"/>
  <c r="BQ34" i="37"/>
  <c r="BU34" i="37" s="1"/>
  <c r="BP59" i="37"/>
  <c r="BT59" i="37" s="1"/>
  <c r="BO51" i="37"/>
  <c r="BS51" i="37" s="1"/>
  <c r="BP19" i="37"/>
  <c r="BT19" i="37" s="1"/>
  <c r="BO41" i="37"/>
  <c r="BS41" i="37" s="1"/>
  <c r="BP39" i="37"/>
  <c r="BT39" i="37" s="1"/>
  <c r="BP29" i="37"/>
  <c r="BT29" i="37" s="1"/>
  <c r="BN27" i="37"/>
  <c r="BR27" i="37" s="1"/>
  <c r="BO14" i="37"/>
  <c r="BS14" i="37" s="1"/>
  <c r="BO25" i="37"/>
  <c r="BS25" i="37" s="1"/>
  <c r="BO49" i="37"/>
  <c r="BS49" i="37" s="1"/>
  <c r="BO26" i="37"/>
  <c r="BS26" i="37" s="1"/>
  <c r="BP26" i="37"/>
  <c r="BT26" i="37" s="1"/>
  <c r="BN60" i="37"/>
  <c r="BR60" i="37" s="1"/>
  <c r="BP15" i="37"/>
  <c r="BT15" i="37" s="1"/>
  <c r="BO31" i="37"/>
  <c r="BS31" i="37" s="1"/>
  <c r="BP23" i="37"/>
  <c r="BT23" i="37" s="1"/>
  <c r="BO18" i="37"/>
  <c r="BS18" i="37" s="1"/>
  <c r="BP11" i="37"/>
  <c r="BT11" i="37" s="1"/>
  <c r="BQ44" i="37"/>
  <c r="BU44" i="37" s="1"/>
  <c r="BN44" i="37"/>
  <c r="BR44" i="37" s="1"/>
  <c r="BQ47" i="37"/>
  <c r="BU47" i="37" s="1"/>
  <c r="BQ59" i="37"/>
  <c r="BU59" i="37" s="1"/>
  <c r="BQ55" i="37"/>
  <c r="BU55" i="37" s="1"/>
  <c r="BQ12" i="37"/>
  <c r="BU12" i="37" s="1"/>
  <c r="BQ36" i="37"/>
  <c r="BU36" i="37" s="1"/>
  <c r="BO19" i="37"/>
  <c r="BS19" i="37" s="1"/>
  <c r="BP20" i="37"/>
  <c r="BT20" i="37" s="1"/>
  <c r="BO12" i="37"/>
  <c r="BS12" i="37" s="1"/>
  <c r="BN43" i="37"/>
  <c r="BR43" i="37" s="1"/>
  <c r="BP38" i="37"/>
  <c r="BT38" i="37" s="1"/>
  <c r="BP54" i="37"/>
  <c r="BT54" i="37" s="1"/>
  <c r="BP25" i="37"/>
  <c r="BT25" i="37" s="1"/>
  <c r="BO30" i="37"/>
  <c r="BS30" i="37" s="1"/>
  <c r="BO8" i="37"/>
  <c r="BS8" i="37" s="1"/>
  <c r="BO9" i="37"/>
  <c r="BS9" i="37" s="1"/>
  <c r="BN14" i="37"/>
  <c r="BR14" i="37" s="1"/>
  <c r="BO36" i="37"/>
  <c r="BS36" i="37" s="1"/>
  <c r="BP7" i="37"/>
  <c r="BT7" i="37" s="1"/>
  <c r="BN50" i="37"/>
  <c r="BR50" i="37" s="1"/>
  <c r="BN31" i="37"/>
  <c r="BR31" i="37" s="1"/>
  <c r="BN19" i="37"/>
  <c r="BR19" i="37" s="1"/>
  <c r="BP21" i="37"/>
  <c r="BT21" i="37" s="1"/>
  <c r="BP30" i="37"/>
  <c r="BT30" i="37" s="1"/>
  <c r="BQ16" i="37"/>
  <c r="BU16" i="37" s="1"/>
  <c r="BO28" i="37"/>
  <c r="BS28" i="37" s="1"/>
  <c r="BQ32" i="37"/>
  <c r="BU32" i="37" s="1"/>
  <c r="BN49" i="37"/>
  <c r="BR49" i="37" s="1"/>
  <c r="BN22" i="37"/>
  <c r="BR22" i="37" s="1"/>
  <c r="BO33" i="37"/>
  <c r="BS33" i="37" s="1"/>
  <c r="BN55" i="37"/>
  <c r="BR55" i="37" s="1"/>
  <c r="BO52" i="37"/>
  <c r="BS52" i="37" s="1"/>
  <c r="BN25" i="37"/>
  <c r="BR25" i="37" s="1"/>
  <c r="BQ20" i="37"/>
  <c r="BU20" i="37" s="1"/>
  <c r="BO11" i="37"/>
  <c r="BS11" i="37" s="1"/>
  <c r="BN46" i="37"/>
  <c r="BR46" i="37" s="1"/>
  <c r="BO45" i="37"/>
  <c r="BS45" i="37" s="1"/>
  <c r="BP12" i="37"/>
  <c r="BT12" i="37" s="1"/>
  <c r="BQ48" i="37"/>
  <c r="BU48" i="37" s="1"/>
  <c r="BN23" i="37"/>
  <c r="BR23" i="37" s="1"/>
  <c r="BP13" i="37"/>
  <c r="BT13" i="37" s="1"/>
  <c r="BP34" i="37"/>
  <c r="BT34" i="37" s="1"/>
  <c r="BN53" i="37"/>
  <c r="BR53" i="37" s="1"/>
  <c r="BQ15" i="37"/>
  <c r="BU15" i="37" s="1"/>
  <c r="BQ46" i="37"/>
  <c r="BU46" i="37" s="1"/>
  <c r="BQ52" i="37"/>
  <c r="BU52" i="37" s="1"/>
  <c r="BQ11" i="37"/>
  <c r="BU11" i="37" s="1"/>
  <c r="BQ27" i="37"/>
  <c r="BU27" i="37" s="1"/>
  <c r="BQ35" i="37"/>
  <c r="BU35" i="37" s="1"/>
  <c r="BO54" i="37"/>
  <c r="BS54" i="37" s="1"/>
  <c r="BP10" i="37"/>
  <c r="BT10" i="37" s="1"/>
  <c r="BN52" i="37"/>
  <c r="BR52" i="37" s="1"/>
  <c r="BP50" i="37"/>
  <c r="BT50" i="37" s="1"/>
  <c r="BO55" i="37"/>
  <c r="BS55" i="37" s="1"/>
  <c r="BO10" i="37"/>
  <c r="BS10" i="37" s="1"/>
  <c r="BN36" i="37"/>
  <c r="BR36" i="37" s="1"/>
  <c r="BN16" i="37"/>
  <c r="BR16" i="37" s="1"/>
  <c r="BO35" i="37"/>
  <c r="BS35" i="37" s="1"/>
  <c r="BO37" i="37"/>
  <c r="BS37" i="37" s="1"/>
  <c r="BP14" i="37"/>
  <c r="BT14" i="37" s="1"/>
  <c r="BO29" i="37"/>
  <c r="BS29" i="37" s="1"/>
  <c r="BO13" i="37"/>
  <c r="BS13" i="37" s="1"/>
  <c r="BN42" i="37"/>
  <c r="BR42" i="37" s="1"/>
  <c r="BN9" i="37"/>
  <c r="BR9" i="37" s="1"/>
  <c r="BP43" i="37"/>
  <c r="BT43" i="37" s="1"/>
  <c r="BO17" i="37"/>
  <c r="BS17" i="37" s="1"/>
  <c r="BQ6" i="37"/>
  <c r="BU6" i="37" s="1"/>
  <c r="BN35" i="37"/>
  <c r="BR35" i="37" s="1"/>
  <c r="BP52" i="37"/>
  <c r="BT52" i="37" s="1"/>
  <c r="BO7" i="37"/>
  <c r="BS7" i="37" s="1"/>
  <c r="BQ38" i="37"/>
  <c r="BU38" i="37" s="1"/>
  <c r="BQ9" i="37"/>
  <c r="BU9" i="37" s="1"/>
  <c r="BO38" i="37"/>
  <c r="BS38" i="37" s="1"/>
  <c r="BO16" i="37"/>
  <c r="BS16" i="37" s="1"/>
  <c r="BO47" i="37"/>
  <c r="BS47" i="37" s="1"/>
  <c r="BN20" i="37"/>
  <c r="BR20" i="37" s="1"/>
  <c r="BO43" i="37"/>
  <c r="BS43" i="37" s="1"/>
  <c r="BQ41" i="37"/>
  <c r="BU41" i="37" s="1"/>
  <c r="BQ60" i="37"/>
  <c r="BU60" i="37" s="1"/>
  <c r="BN39" i="37"/>
  <c r="BR39" i="37" s="1"/>
  <c r="BO53" i="37"/>
  <c r="BS53" i="37" s="1"/>
  <c r="BN10" i="37"/>
  <c r="BR10" i="37" s="1"/>
  <c r="BN45" i="37"/>
  <c r="BR45" i="37" s="1"/>
  <c r="BQ26" i="37"/>
  <c r="BU26" i="37" s="1"/>
  <c r="BP35" i="37"/>
  <c r="BT35" i="37" s="1"/>
  <c r="BO27" i="37"/>
  <c r="BS27" i="37" s="1"/>
  <c r="BN51" i="37"/>
  <c r="BR51" i="37" s="1"/>
  <c r="BQ14" i="37"/>
  <c r="BU14" i="37" s="1"/>
  <c r="BQ28" i="37"/>
  <c r="BU28" i="37" s="1"/>
  <c r="BP53" i="37"/>
  <c r="BT53" i="37" s="1"/>
  <c r="BP27" i="37"/>
  <c r="BT27" i="37" s="1"/>
  <c r="BP41" i="37"/>
  <c r="BT41" i="37" s="1"/>
  <c r="BQ40" i="37"/>
  <c r="BU40" i="37" s="1"/>
  <c r="BQ30" i="37"/>
  <c r="BU30" i="37" s="1"/>
  <c r="BQ51" i="37"/>
  <c r="BU51" i="37" s="1"/>
  <c r="BQ22" i="37"/>
  <c r="BU22" i="37" s="1"/>
  <c r="BP46" i="37"/>
  <c r="BT46" i="37" s="1"/>
  <c r="BN15" i="37"/>
  <c r="BR15" i="37" s="1"/>
  <c r="BN24" i="37"/>
  <c r="BR24" i="37" s="1"/>
  <c r="BN41" i="37"/>
  <c r="BR41" i="37" s="1"/>
  <c r="BO40" i="37"/>
  <c r="BS40" i="37" s="1"/>
  <c r="BN26" i="37"/>
  <c r="BR26" i="37" s="1"/>
  <c r="BO48" i="37"/>
  <c r="BS48" i="37" s="1"/>
  <c r="BP40" i="37"/>
  <c r="BT40" i="37" s="1"/>
  <c r="BP60" i="37"/>
  <c r="BT60" i="37" s="1"/>
  <c r="BP31" i="37"/>
  <c r="BT31" i="37" s="1"/>
  <c r="BN11" i="37"/>
  <c r="BR11" i="37" s="1"/>
  <c r="BP28" i="37"/>
  <c r="BT28" i="37" s="1"/>
  <c r="BP36" i="37"/>
  <c r="BT36" i="37" s="1"/>
  <c r="BO39" i="37"/>
  <c r="BS39" i="37" s="1"/>
  <c r="BQ42" i="37"/>
  <c r="BU42" i="37" s="1"/>
  <c r="BQ45" i="37"/>
  <c r="BU45" i="37" s="1"/>
  <c r="BQ18" i="37"/>
  <c r="BU18" i="37" s="1"/>
  <c r="BQ13" i="37"/>
  <c r="BU13" i="37" s="1"/>
  <c r="BQ50" i="37"/>
  <c r="BU50" i="37" s="1"/>
  <c r="BQ37" i="37"/>
  <c r="BU37" i="37" s="1"/>
  <c r="BP55" i="37"/>
  <c r="BT55" i="37" s="1"/>
  <c r="BN33" i="37"/>
  <c r="BR33" i="37" s="1"/>
  <c r="BP17" i="37"/>
  <c r="BT17" i="37" s="1"/>
  <c r="BP24" i="37"/>
  <c r="BT24" i="37" s="1"/>
  <c r="BN18" i="37"/>
  <c r="BR18" i="37" s="1"/>
  <c r="BP48" i="37"/>
  <c r="BT48" i="37" s="1"/>
  <c r="BN40" i="37"/>
  <c r="BR40" i="37" s="1"/>
  <c r="BO46" i="37"/>
  <c r="BS46" i="37" s="1"/>
  <c r="BN37" i="37"/>
  <c r="BR37" i="37" s="1"/>
  <c r="BN38" i="37"/>
  <c r="BR38" i="37" s="1"/>
  <c r="BO20" i="37"/>
  <c r="BS20" i="37" s="1"/>
  <c r="BP6" i="37"/>
  <c r="BT6" i="37" s="1"/>
  <c r="BO22" i="37"/>
  <c r="BS22" i="37" s="1"/>
  <c r="BO15" i="37"/>
  <c r="BS15" i="37" s="1"/>
  <c r="BO5" i="37"/>
  <c r="BN21" i="37"/>
  <c r="BR21" i="37" s="1"/>
  <c r="BN48" i="37"/>
  <c r="BR48" i="37" s="1"/>
  <c r="BN28" i="37"/>
  <c r="BR28" i="37" s="1"/>
  <c r="BQ53" i="37"/>
  <c r="BU53" i="37" s="1"/>
  <c r="BN30" i="37"/>
  <c r="BR30" i="37" s="1"/>
  <c r="BN32" i="37"/>
  <c r="BR32" i="37" s="1"/>
  <c r="BO32" i="37"/>
  <c r="BS32" i="37" s="1"/>
  <c r="BP47" i="37"/>
  <c r="BT47" i="37" s="1"/>
  <c r="BN8" i="37"/>
  <c r="BR8" i="37" s="1"/>
  <c r="BN12" i="37"/>
  <c r="BR12" i="37" s="1"/>
  <c r="BQ24" i="37"/>
  <c r="BU24" i="37" s="1"/>
  <c r="BQ19" i="37"/>
  <c r="BU19" i="37" s="1"/>
  <c r="BQ33" i="37"/>
  <c r="BU33" i="37" s="1"/>
  <c r="BQ7" i="37"/>
  <c r="BU7" i="37" s="1"/>
  <c r="BQ39" i="37"/>
  <c r="BU39" i="37" s="1"/>
  <c r="BQ54" i="37"/>
  <c r="BU54" i="37" s="1"/>
  <c r="BN59" i="37"/>
  <c r="BR59" i="37" s="1"/>
  <c r="BP9" i="37"/>
  <c r="BT9" i="37" s="1"/>
  <c r="BP8" i="37"/>
  <c r="BT8" i="37" s="1"/>
  <c r="BN17" i="37"/>
  <c r="BR17" i="37" s="1"/>
  <c r="BP32" i="37"/>
  <c r="BT32" i="37" s="1"/>
  <c r="BO50" i="37"/>
  <c r="BS50" i="37" s="1"/>
  <c r="BN34" i="37"/>
  <c r="BR34" i="37" s="1"/>
  <c r="BP49" i="37"/>
  <c r="BT49" i="37" s="1"/>
  <c r="BP18" i="37"/>
  <c r="BT18" i="37" s="1"/>
  <c r="BN54" i="37"/>
  <c r="BR54" i="37" s="1"/>
  <c r="BO21" i="37"/>
  <c r="BS21" i="37" s="1"/>
  <c r="BO24" i="37"/>
  <c r="BS24" i="37" s="1"/>
  <c r="BN7" i="37"/>
  <c r="BR7" i="37" s="1"/>
  <c r="BN47" i="37"/>
  <c r="BR47" i="37" s="1"/>
  <c r="BO42" i="37"/>
  <c r="BS42" i="37" s="1"/>
  <c r="BP44" i="37"/>
  <c r="BT44" i="37" s="1"/>
  <c r="BN13" i="37"/>
  <c r="BR13" i="37" s="1"/>
  <c r="BP51" i="37"/>
  <c r="BT51" i="37" s="1"/>
  <c r="BH63" i="37"/>
  <c r="BL5" i="37"/>
  <c r="BF63" i="37"/>
  <c r="BJ5" i="37"/>
  <c r="H15" i="42"/>
  <c r="BG63" i="37"/>
  <c r="BK6" i="37"/>
  <c r="BI63" i="37"/>
  <c r="BM5" i="37"/>
  <c r="D51" i="21"/>
  <c r="G52" i="21"/>
  <c r="H51" i="43"/>
  <c r="J51" i="21"/>
  <c r="J52" i="21"/>
  <c r="I50" i="21"/>
  <c r="K51" i="43"/>
  <c r="L51" i="43"/>
  <c r="M51" i="43" s="1"/>
  <c r="K49" i="21"/>
  <c r="L49" i="21"/>
  <c r="M49" i="21" s="1"/>
  <c r="G53" i="43" l="1"/>
  <c r="G53" i="21" s="1"/>
  <c r="H32" i="42"/>
  <c r="CB33" i="37"/>
  <c r="CF33" i="37" s="1"/>
  <c r="CA23" i="37"/>
  <c r="BZ29" i="37"/>
  <c r="CB45" i="37"/>
  <c r="CB22" i="37"/>
  <c r="CA34" i="37"/>
  <c r="CA44" i="37"/>
  <c r="CE44" i="37" s="1"/>
  <c r="E43" i="42" s="1"/>
  <c r="CC21" i="37"/>
  <c r="CC8" i="37"/>
  <c r="CG8" i="37" s="1"/>
  <c r="F8" i="42" s="1"/>
  <c r="BX14" i="37"/>
  <c r="BV13" i="37"/>
  <c r="BY37" i="37"/>
  <c r="BV20" i="37"/>
  <c r="BV46" i="37"/>
  <c r="BY55" i="37"/>
  <c r="BX47" i="37"/>
  <c r="BY50" i="37"/>
  <c r="BX27" i="37"/>
  <c r="BW47" i="37"/>
  <c r="BX10" i="37"/>
  <c r="BV53" i="37"/>
  <c r="BY32" i="37"/>
  <c r="BX7" i="37"/>
  <c r="BX38" i="37"/>
  <c r="BY59" i="37"/>
  <c r="BX15" i="37"/>
  <c r="BX29" i="37"/>
  <c r="BY31" i="37"/>
  <c r="BW42" i="37"/>
  <c r="BV34" i="37"/>
  <c r="BY39" i="37"/>
  <c r="BW32" i="37"/>
  <c r="BW15" i="37"/>
  <c r="BX48" i="37"/>
  <c r="BY13" i="37"/>
  <c r="BX31" i="37"/>
  <c r="BV15" i="37"/>
  <c r="BX53" i="37"/>
  <c r="BV10" i="37"/>
  <c r="BW16" i="37"/>
  <c r="BW17" i="37"/>
  <c r="BW35" i="37"/>
  <c r="BW54" i="37"/>
  <c r="BX34" i="37"/>
  <c r="BY20" i="37"/>
  <c r="BW28" i="37"/>
  <c r="BW36" i="37"/>
  <c r="BV43" i="37"/>
  <c r="BY47" i="37"/>
  <c r="BV60" i="37"/>
  <c r="BX39" i="37"/>
  <c r="BY25" i="37"/>
  <c r="BX18" i="37"/>
  <c r="BV41" i="37"/>
  <c r="BV27" i="37"/>
  <c r="BV40" i="37"/>
  <c r="BV47" i="37"/>
  <c r="BW22" i="37"/>
  <c r="BX46" i="37"/>
  <c r="BW38" i="37"/>
  <c r="BY35" i="37"/>
  <c r="BY16" i="37"/>
  <c r="BV44" i="37"/>
  <c r="BX26" i="37"/>
  <c r="BW41" i="37"/>
  <c r="BV7" i="37"/>
  <c r="BX32" i="37"/>
  <c r="BY33" i="37"/>
  <c r="BV30" i="37"/>
  <c r="BX6" i="37"/>
  <c r="BX24" i="37"/>
  <c r="BY45" i="37"/>
  <c r="BX40" i="37"/>
  <c r="BY22" i="37"/>
  <c r="BY14" i="37"/>
  <c r="BV39" i="37"/>
  <c r="BY9" i="37"/>
  <c r="BV9" i="37"/>
  <c r="BV36" i="37"/>
  <c r="BY27" i="37"/>
  <c r="BV23" i="37"/>
  <c r="BW52" i="37"/>
  <c r="BX30" i="37"/>
  <c r="BW9" i="37"/>
  <c r="BX20" i="37"/>
  <c r="BY44" i="37"/>
  <c r="BW26" i="37"/>
  <c r="BX19" i="37"/>
  <c r="BY49" i="37"/>
  <c r="BV59" i="37"/>
  <c r="BW46" i="37"/>
  <c r="BX28" i="37"/>
  <c r="BV35" i="37"/>
  <c r="BV52" i="37"/>
  <c r="BV49" i="37"/>
  <c r="BW31" i="37"/>
  <c r="BY29" i="37"/>
  <c r="BY54" i="37"/>
  <c r="BV11" i="37"/>
  <c r="BW37" i="37"/>
  <c r="BW50" i="37"/>
  <c r="BV32" i="37"/>
  <c r="BX60" i="37"/>
  <c r="BW53" i="37"/>
  <c r="BV16" i="37"/>
  <c r="BV25" i="37"/>
  <c r="BY43" i="37"/>
  <c r="BW24" i="37"/>
  <c r="BV17" i="37"/>
  <c r="BY19" i="37"/>
  <c r="BY53" i="37"/>
  <c r="BW20" i="37"/>
  <c r="BX17" i="37"/>
  <c r="BY42" i="37"/>
  <c r="BW48" i="37"/>
  <c r="BY51" i="37"/>
  <c r="CC51" i="37" s="1"/>
  <c r="CG51" i="37" s="1"/>
  <c r="BV51" i="37"/>
  <c r="BZ51" i="37" s="1"/>
  <c r="CD51" i="37" s="1"/>
  <c r="BY60" i="37"/>
  <c r="BY38" i="37"/>
  <c r="BV42" i="37"/>
  <c r="BW10" i="37"/>
  <c r="BY11" i="37"/>
  <c r="BY48" i="37"/>
  <c r="BV55" i="37"/>
  <c r="BX21" i="37"/>
  <c r="BW8" i="37"/>
  <c r="BW19" i="37"/>
  <c r="BX11" i="37"/>
  <c r="BW49" i="37"/>
  <c r="BW51" i="37"/>
  <c r="CA51" i="37" s="1"/>
  <c r="CE51" i="37" s="1"/>
  <c r="BX42" i="37"/>
  <c r="BV21" i="37"/>
  <c r="BY26" i="37"/>
  <c r="BY15" i="37"/>
  <c r="BV50" i="37"/>
  <c r="BX49" i="37"/>
  <c r="BV24" i="37"/>
  <c r="BV45" i="37"/>
  <c r="BY6" i="37"/>
  <c r="BW11" i="37"/>
  <c r="BV18" i="37"/>
  <c r="BW21" i="37"/>
  <c r="BX8" i="37"/>
  <c r="BV28" i="37"/>
  <c r="BV38" i="37"/>
  <c r="BV33" i="37"/>
  <c r="BW39" i="37"/>
  <c r="BV26" i="37"/>
  <c r="BY30" i="37"/>
  <c r="BW27" i="37"/>
  <c r="BY41" i="37"/>
  <c r="BW7" i="37"/>
  <c r="BW13" i="37"/>
  <c r="BW55" i="37"/>
  <c r="BY52" i="37"/>
  <c r="BX12" i="37"/>
  <c r="BW33" i="37"/>
  <c r="BV19" i="37"/>
  <c r="BW30" i="37"/>
  <c r="BY36" i="37"/>
  <c r="BW18" i="37"/>
  <c r="BW25" i="37"/>
  <c r="BX59" i="37"/>
  <c r="BV8" i="37"/>
  <c r="BX41" i="37"/>
  <c r="BX54" i="37"/>
  <c r="BX44" i="37"/>
  <c r="BY7" i="37"/>
  <c r="BY18" i="37"/>
  <c r="BY28" i="37"/>
  <c r="BX43" i="37"/>
  <c r="BX13" i="37"/>
  <c r="BV14" i="37"/>
  <c r="BW12" i="37"/>
  <c r="BY24" i="37"/>
  <c r="BX51" i="37"/>
  <c r="CB51" i="37" s="1"/>
  <c r="CF51" i="37" s="1"/>
  <c r="BV54" i="37"/>
  <c r="BX9" i="37"/>
  <c r="BV12" i="37"/>
  <c r="BV48" i="37"/>
  <c r="BV37" i="37"/>
  <c r="BX55" i="37"/>
  <c r="BX36" i="37"/>
  <c r="BW40" i="37"/>
  <c r="BY40" i="37"/>
  <c r="BX35" i="37"/>
  <c r="BW43" i="37"/>
  <c r="BX52" i="37"/>
  <c r="BW29" i="37"/>
  <c r="BX50" i="37"/>
  <c r="BY46" i="37"/>
  <c r="BW45" i="37"/>
  <c r="BV22" i="37"/>
  <c r="BV31" i="37"/>
  <c r="BX25" i="37"/>
  <c r="BY12" i="37"/>
  <c r="BX23" i="37"/>
  <c r="BW14" i="37"/>
  <c r="BY34" i="37"/>
  <c r="BK63" i="37"/>
  <c r="BO6" i="37"/>
  <c r="BS6" i="37" s="1"/>
  <c r="BW6" i="37" s="1"/>
  <c r="BJ63" i="37"/>
  <c r="BN5" i="37"/>
  <c r="BM63" i="37"/>
  <c r="BQ5" i="37"/>
  <c r="BL63" i="37"/>
  <c r="BP5" i="37"/>
  <c r="BS5" i="37"/>
  <c r="BW5" i="37" s="1"/>
  <c r="CA5" i="37" s="1"/>
  <c r="D52" i="21"/>
  <c r="H52" i="43"/>
  <c r="K50" i="21"/>
  <c r="L50" i="21"/>
  <c r="M50" i="21" s="1"/>
  <c r="J54" i="43"/>
  <c r="I51" i="21"/>
  <c r="K52" i="43"/>
  <c r="L52" i="43"/>
  <c r="M52" i="43" s="1"/>
  <c r="CE5" i="37" l="1"/>
  <c r="E5" i="42" s="1"/>
  <c r="CF22" i="37"/>
  <c r="H21" i="42" s="1"/>
  <c r="CD29" i="37"/>
  <c r="G28" i="42" s="1"/>
  <c r="CE23" i="37"/>
  <c r="E22" i="42" s="1"/>
  <c r="CG21" i="37"/>
  <c r="F20" i="42" s="1"/>
  <c r="CF45" i="37"/>
  <c r="H44" i="42" s="1"/>
  <c r="CE34" i="37"/>
  <c r="E33" i="42" s="1"/>
  <c r="J53" i="21"/>
  <c r="J54" i="21" s="1"/>
  <c r="J56" i="43"/>
  <c r="G54" i="43"/>
  <c r="L54" i="43" s="1"/>
  <c r="M54" i="43" s="1"/>
  <c r="CB50" i="37"/>
  <c r="CF50" i="37" s="1"/>
  <c r="H49" i="42" s="1"/>
  <c r="BZ19" i="37"/>
  <c r="CA8" i="37"/>
  <c r="BZ52" i="37"/>
  <c r="BZ9" i="37"/>
  <c r="BZ34" i="37"/>
  <c r="BZ46" i="37"/>
  <c r="CB23" i="37"/>
  <c r="CA29" i="37"/>
  <c r="BZ37" i="37"/>
  <c r="BZ14" i="37"/>
  <c r="CB41" i="37"/>
  <c r="CF41" i="37" s="1"/>
  <c r="H40" i="42" s="1"/>
  <c r="CA33" i="37"/>
  <c r="BZ18" i="37"/>
  <c r="CB21" i="37"/>
  <c r="BZ17" i="37"/>
  <c r="CA50" i="37"/>
  <c r="BZ35" i="37"/>
  <c r="CB20" i="37"/>
  <c r="BZ30" i="37"/>
  <c r="CB18" i="37"/>
  <c r="BZ15" i="37"/>
  <c r="CD15" i="37" s="1"/>
  <c r="G14" i="42" s="1"/>
  <c r="CA42" i="37"/>
  <c r="BZ53" i="37"/>
  <c r="BZ20" i="37"/>
  <c r="CA21" i="37"/>
  <c r="CB52" i="37"/>
  <c r="BZ26" i="37"/>
  <c r="CB28" i="37"/>
  <c r="CA6" i="37"/>
  <c r="CA43" i="37"/>
  <c r="CB59" i="37"/>
  <c r="CA48" i="37"/>
  <c r="CA46" i="37"/>
  <c r="CB32" i="37"/>
  <c r="CA54" i="37"/>
  <c r="CB29" i="37"/>
  <c r="CA47" i="37"/>
  <c r="CA14" i="37"/>
  <c r="CA12" i="37"/>
  <c r="BZ32" i="37"/>
  <c r="BZ41" i="37"/>
  <c r="CB13" i="37"/>
  <c r="CB12" i="37"/>
  <c r="CA11" i="37"/>
  <c r="BZ55" i="37"/>
  <c r="CA37" i="37"/>
  <c r="CA9" i="37"/>
  <c r="CA38" i="37"/>
  <c r="CB34" i="37"/>
  <c r="CB31" i="37"/>
  <c r="CB10" i="37"/>
  <c r="CB25" i="37"/>
  <c r="CB43" i="37"/>
  <c r="CA39" i="37"/>
  <c r="CB42" i="37"/>
  <c r="BZ11" i="37"/>
  <c r="CB46" i="37"/>
  <c r="CB39" i="37"/>
  <c r="BZ13" i="37"/>
  <c r="BZ31" i="37"/>
  <c r="CB35" i="37"/>
  <c r="CB9" i="37"/>
  <c r="CA25" i="37"/>
  <c r="CA55" i="37"/>
  <c r="BZ33" i="37"/>
  <c r="BZ45" i="37"/>
  <c r="BZ25" i="37"/>
  <c r="BZ59" i="37"/>
  <c r="CA52" i="37"/>
  <c r="BZ7" i="37"/>
  <c r="CA22" i="37"/>
  <c r="BZ60" i="37"/>
  <c r="CA35" i="37"/>
  <c r="CB48" i="37"/>
  <c r="CB15" i="37"/>
  <c r="CF15" i="37" s="1"/>
  <c r="H14" i="42" s="1"/>
  <c r="CB27" i="37"/>
  <c r="CB14" i="37"/>
  <c r="CB55" i="37"/>
  <c r="CA27" i="37"/>
  <c r="CA28" i="37"/>
  <c r="BZ8" i="37"/>
  <c r="BZ21" i="37"/>
  <c r="CA24" i="37"/>
  <c r="BZ39" i="37"/>
  <c r="BZ12" i="37"/>
  <c r="BZ54" i="37"/>
  <c r="CA18" i="37"/>
  <c r="BZ38" i="37"/>
  <c r="CA49" i="37"/>
  <c r="CB17" i="37"/>
  <c r="BZ23" i="37"/>
  <c r="CA41" i="37"/>
  <c r="BZ47" i="37"/>
  <c r="CA17" i="37"/>
  <c r="CA15" i="37"/>
  <c r="CE15" i="37" s="1"/>
  <c r="E14" i="42" s="1"/>
  <c r="CB53" i="37"/>
  <c r="CB30" i="37"/>
  <c r="BZ22" i="37"/>
  <c r="CA13" i="37"/>
  <c r="BZ24" i="37"/>
  <c r="CA10" i="37"/>
  <c r="BZ16" i="37"/>
  <c r="CB40" i="37"/>
  <c r="CA45" i="37"/>
  <c r="CA40" i="37"/>
  <c r="CA7" i="37"/>
  <c r="BZ28" i="37"/>
  <c r="CB49" i="37"/>
  <c r="CB11" i="37"/>
  <c r="BZ42" i="37"/>
  <c r="CA20" i="37"/>
  <c r="CA53" i="37"/>
  <c r="CE53" i="37" s="1"/>
  <c r="E52" i="42" s="1"/>
  <c r="CA31" i="37"/>
  <c r="CB19" i="37"/>
  <c r="CB26" i="37"/>
  <c r="BZ40" i="37"/>
  <c r="BZ43" i="37"/>
  <c r="CA16" i="37"/>
  <c r="CA32" i="37"/>
  <c r="CB38" i="37"/>
  <c r="CB47" i="37"/>
  <c r="CB54" i="37"/>
  <c r="CB6" i="37"/>
  <c r="BZ48" i="37"/>
  <c r="CB36" i="37"/>
  <c r="CB44" i="37"/>
  <c r="CA30" i="37"/>
  <c r="CB8" i="37"/>
  <c r="BZ50" i="37"/>
  <c r="CA19" i="37"/>
  <c r="CB60" i="37"/>
  <c r="BZ49" i="37"/>
  <c r="CA26" i="37"/>
  <c r="BZ36" i="37"/>
  <c r="CB24" i="37"/>
  <c r="BZ44" i="37"/>
  <c r="BZ27" i="37"/>
  <c r="CA36" i="37"/>
  <c r="BZ10" i="37"/>
  <c r="CB7" i="37"/>
  <c r="CC37" i="37"/>
  <c r="CC52" i="37"/>
  <c r="CC14" i="37"/>
  <c r="CC28" i="37"/>
  <c r="CC11" i="37"/>
  <c r="CC42" i="37"/>
  <c r="CC54" i="37"/>
  <c r="CC22" i="37"/>
  <c r="CC48" i="37"/>
  <c r="CC43" i="37"/>
  <c r="CC40" i="37"/>
  <c r="CC18" i="37"/>
  <c r="CC29" i="37"/>
  <c r="CC49" i="37"/>
  <c r="CC47" i="37"/>
  <c r="CC59" i="37"/>
  <c r="CC50" i="37"/>
  <c r="CC12" i="37"/>
  <c r="CC7" i="37"/>
  <c r="CC36" i="37"/>
  <c r="CC27" i="37"/>
  <c r="CC45" i="37"/>
  <c r="CC6" i="37"/>
  <c r="CC24" i="37"/>
  <c r="CC41" i="37"/>
  <c r="CC38" i="37"/>
  <c r="CC53" i="37"/>
  <c r="CC39" i="37"/>
  <c r="CC55" i="37"/>
  <c r="CC34" i="37"/>
  <c r="CC15" i="37"/>
  <c r="CC60" i="37"/>
  <c r="CC19" i="37"/>
  <c r="CC44" i="37"/>
  <c r="CC16" i="37"/>
  <c r="CC32" i="37"/>
  <c r="CC33" i="37"/>
  <c r="CC25" i="37"/>
  <c r="CC31" i="37"/>
  <c r="CC13" i="37"/>
  <c r="CC46" i="37"/>
  <c r="CC30" i="37"/>
  <c r="CC26" i="37"/>
  <c r="CC9" i="37"/>
  <c r="CC35" i="37"/>
  <c r="CC20" i="37"/>
  <c r="H50" i="42"/>
  <c r="G50" i="42"/>
  <c r="E50" i="42"/>
  <c r="E2" i="39"/>
  <c r="H72" i="39" s="1"/>
  <c r="F50" i="42"/>
  <c r="BO63" i="37"/>
  <c r="BW63" i="37"/>
  <c r="BU5" i="37"/>
  <c r="BY5" i="37" s="1"/>
  <c r="BQ63" i="37"/>
  <c r="BT5" i="37"/>
  <c r="BX5" i="37" s="1"/>
  <c r="BP63" i="37"/>
  <c r="BR5" i="37"/>
  <c r="BV5" i="37" s="1"/>
  <c r="BN63" i="37"/>
  <c r="BS63" i="37"/>
  <c r="D53" i="21"/>
  <c r="I52" i="21"/>
  <c r="K53" i="43"/>
  <c r="L53" i="43"/>
  <c r="M53" i="43" s="1"/>
  <c r="J55" i="43"/>
  <c r="K51" i="21"/>
  <c r="L51" i="21"/>
  <c r="M51" i="21" s="1"/>
  <c r="CE45" i="37" l="1"/>
  <c r="E44" i="42" s="1"/>
  <c r="CF53" i="37"/>
  <c r="H52" i="42" s="1"/>
  <c r="CE49" i="37"/>
  <c r="E48" i="42" s="1"/>
  <c r="CD8" i="37"/>
  <c r="G8" i="42" s="1"/>
  <c r="CF48" i="37"/>
  <c r="H47" i="42" s="1"/>
  <c r="CD45" i="37"/>
  <c r="G44" i="42" s="1"/>
  <c r="CF39" i="37"/>
  <c r="H38" i="42" s="1"/>
  <c r="CF31" i="37"/>
  <c r="H30" i="42" s="1"/>
  <c r="CF13" i="37"/>
  <c r="H55" i="42" s="1"/>
  <c r="CF32" i="37"/>
  <c r="H31" i="42" s="1"/>
  <c r="CF52" i="37"/>
  <c r="H51" i="42" s="1"/>
  <c r="CD30" i="37"/>
  <c r="G29" i="42" s="1"/>
  <c r="CD9" i="37"/>
  <c r="G9" i="42" s="1"/>
  <c r="CG14" i="37"/>
  <c r="F13" i="42" s="1"/>
  <c r="CG7" i="37"/>
  <c r="F7" i="42" s="1"/>
  <c r="CG46" i="37"/>
  <c r="F45" i="42" s="1"/>
  <c r="CG19" i="37"/>
  <c r="F18" i="42" s="1"/>
  <c r="CG41" i="37"/>
  <c r="F40" i="42" s="1"/>
  <c r="CG50" i="37"/>
  <c r="F49" i="42" s="1"/>
  <c r="CG48" i="37"/>
  <c r="F47" i="42" s="1"/>
  <c r="CG37" i="37"/>
  <c r="F36" i="42" s="1"/>
  <c r="CE26" i="37"/>
  <c r="E25" i="42" s="1"/>
  <c r="CF36" i="37"/>
  <c r="H35" i="42" s="1"/>
  <c r="CD43" i="37"/>
  <c r="G42" i="42" s="1"/>
  <c r="CD42" i="37"/>
  <c r="G41" i="42" s="1"/>
  <c r="CD16" i="37"/>
  <c r="G15" i="42" s="1"/>
  <c r="CE18" i="37"/>
  <c r="E17" i="42" s="1"/>
  <c r="CE27" i="37"/>
  <c r="E26" i="42" s="1"/>
  <c r="CD60" i="37"/>
  <c r="G62" i="42" s="1"/>
  <c r="CE55" i="37"/>
  <c r="E54" i="42" s="1"/>
  <c r="CD11" i="37"/>
  <c r="G11" i="42" s="1"/>
  <c r="CE38" i="37"/>
  <c r="E37" i="42" s="1"/>
  <c r="CD32" i="37"/>
  <c r="G31" i="42" s="1"/>
  <c r="CE48" i="37"/>
  <c r="E47" i="42" s="1"/>
  <c r="CD20" i="37"/>
  <c r="G19" i="42" s="1"/>
  <c r="CD35" i="37"/>
  <c r="G34" i="42" s="1"/>
  <c r="CD14" i="37"/>
  <c r="G13" i="42" s="1"/>
  <c r="CE8" i="37"/>
  <c r="E8" i="42" s="1"/>
  <c r="CG26" i="37"/>
  <c r="F25" i="42" s="1"/>
  <c r="CG53" i="37"/>
  <c r="F52" i="42" s="1"/>
  <c r="CE30" i="37"/>
  <c r="E29" i="42" s="1"/>
  <c r="CG13" i="37"/>
  <c r="F55" i="42" s="1"/>
  <c r="CG60" i="37"/>
  <c r="F62" i="42" s="1"/>
  <c r="CG24" i="37"/>
  <c r="F23" i="42" s="1"/>
  <c r="CG59" i="37"/>
  <c r="F56" i="42" s="1"/>
  <c r="CG22" i="37"/>
  <c r="F21" i="42" s="1"/>
  <c r="CF7" i="37"/>
  <c r="H7" i="42" s="1"/>
  <c r="CD49" i="37"/>
  <c r="G48" i="42" s="1"/>
  <c r="CD48" i="37"/>
  <c r="G47" i="42" s="1"/>
  <c r="CD40" i="37"/>
  <c r="G39" i="42" s="1"/>
  <c r="CF11" i="37"/>
  <c r="H11" i="42" s="1"/>
  <c r="CE10" i="37"/>
  <c r="E10" i="42" s="1"/>
  <c r="CE17" i="37"/>
  <c r="E16" i="42" s="1"/>
  <c r="CD54" i="37"/>
  <c r="G53" i="42" s="1"/>
  <c r="CF55" i="37"/>
  <c r="H54" i="42" s="1"/>
  <c r="CE22" i="37"/>
  <c r="E21" i="42" s="1"/>
  <c r="CE25" i="37"/>
  <c r="E24" i="42" s="1"/>
  <c r="CF42" i="37"/>
  <c r="H41" i="42" s="1"/>
  <c r="CE9" i="37"/>
  <c r="E9" i="42" s="1"/>
  <c r="CE12" i="37"/>
  <c r="E12" i="42" s="1"/>
  <c r="H56" i="42"/>
  <c r="CF59" i="37"/>
  <c r="CD53" i="37"/>
  <c r="G52" i="42" s="1"/>
  <c r="CE50" i="37"/>
  <c r="E49" i="42" s="1"/>
  <c r="CD37" i="37"/>
  <c r="G36" i="42" s="1"/>
  <c r="CD19" i="37"/>
  <c r="G18" i="42" s="1"/>
  <c r="F39" i="42"/>
  <c r="CG40" i="37"/>
  <c r="CG30" i="37"/>
  <c r="F29" i="42" s="1"/>
  <c r="CG12" i="37"/>
  <c r="F12" i="42" s="1"/>
  <c r="CD36" i="37"/>
  <c r="G35" i="42" s="1"/>
  <c r="CE20" i="37"/>
  <c r="E19" i="42" s="1"/>
  <c r="CD38" i="37"/>
  <c r="G37" i="42" s="1"/>
  <c r="CF20" i="37"/>
  <c r="H19" i="42" s="1"/>
  <c r="F30" i="42"/>
  <c r="CG31" i="37"/>
  <c r="CG15" i="37"/>
  <c r="F14" i="42" s="1"/>
  <c r="CG6" i="37"/>
  <c r="F6" i="42" s="1"/>
  <c r="CG47" i="37"/>
  <c r="F46" i="42" s="1"/>
  <c r="CG54" i="37"/>
  <c r="F53" i="42" s="1"/>
  <c r="G10" i="42"/>
  <c r="CD10" i="37"/>
  <c r="CF60" i="37"/>
  <c r="H62" i="42" s="1"/>
  <c r="CF6" i="37"/>
  <c r="H6" i="42" s="1"/>
  <c r="CF26" i="37"/>
  <c r="H25" i="42" s="1"/>
  <c r="CF49" i="37"/>
  <c r="H48" i="42" s="1"/>
  <c r="CD24" i="37"/>
  <c r="G23" i="42" s="1"/>
  <c r="CD47" i="37"/>
  <c r="G46" i="42" s="1"/>
  <c r="CD12" i="37"/>
  <c r="G12" i="42" s="1"/>
  <c r="CF14" i="37"/>
  <c r="H13" i="42" s="1"/>
  <c r="CD7" i="37"/>
  <c r="G7" i="42" s="1"/>
  <c r="CF9" i="37"/>
  <c r="H9" i="42" s="1"/>
  <c r="CE39" i="37"/>
  <c r="E38" i="42" s="1"/>
  <c r="CE37" i="37"/>
  <c r="E36" i="42" s="1"/>
  <c r="E13" i="42"/>
  <c r="CE14" i="37"/>
  <c r="CE43" i="37"/>
  <c r="E42" i="42" s="1"/>
  <c r="CE42" i="37"/>
  <c r="E41" i="42" s="1"/>
  <c r="CD17" i="37"/>
  <c r="G16" i="42" s="1"/>
  <c r="CE29" i="37"/>
  <c r="E28" i="42" s="1"/>
  <c r="CF24" i="37"/>
  <c r="H23" i="42" s="1"/>
  <c r="CG38" i="37"/>
  <c r="F37" i="42" s="1"/>
  <c r="CG52" i="37"/>
  <c r="F51" i="42" s="1"/>
  <c r="CE16" i="37"/>
  <c r="E15" i="42" s="1"/>
  <c r="CE28" i="37"/>
  <c r="E27" i="42" s="1"/>
  <c r="CD33" i="37"/>
  <c r="G32" i="42" s="1"/>
  <c r="CF46" i="37"/>
  <c r="H45" i="42" s="1"/>
  <c r="CF34" i="37"/>
  <c r="H33" i="42" s="1"/>
  <c r="CD41" i="37"/>
  <c r="G40" i="42" s="1"/>
  <c r="CE46" i="37"/>
  <c r="E45" i="42" s="1"/>
  <c r="CD52" i="37"/>
  <c r="G51" i="42" s="1"/>
  <c r="CG20" i="37"/>
  <c r="F19" i="42" s="1"/>
  <c r="CG25" i="37"/>
  <c r="F24" i="42" s="1"/>
  <c r="F33" i="42"/>
  <c r="CG34" i="37"/>
  <c r="CG45" i="37"/>
  <c r="F44" i="42" s="1"/>
  <c r="CG49" i="37"/>
  <c r="F48" i="42" s="1"/>
  <c r="CG42" i="37"/>
  <c r="F41" i="42" s="1"/>
  <c r="CE36" i="37"/>
  <c r="E35" i="42" s="1"/>
  <c r="CE19" i="37"/>
  <c r="E18" i="42" s="1"/>
  <c r="CF54" i="37"/>
  <c r="H53" i="42" s="1"/>
  <c r="CF19" i="37"/>
  <c r="H18" i="42" s="1"/>
  <c r="CD28" i="37"/>
  <c r="G27" i="42" s="1"/>
  <c r="CE13" i="37"/>
  <c r="E55" i="42" s="1"/>
  <c r="CE41" i="37"/>
  <c r="E40" i="42" s="1"/>
  <c r="CD39" i="37"/>
  <c r="G38" i="42" s="1"/>
  <c r="CF27" i="37"/>
  <c r="H26" i="42" s="1"/>
  <c r="CE52" i="37"/>
  <c r="E51" i="42" s="1"/>
  <c r="CF35" i="37"/>
  <c r="H34" i="42" s="1"/>
  <c r="CF43" i="37"/>
  <c r="H42" i="42" s="1"/>
  <c r="CD55" i="37"/>
  <c r="G54" i="42" s="1"/>
  <c r="CE47" i="37"/>
  <c r="E46" i="42" s="1"/>
  <c r="CE6" i="37"/>
  <c r="E6" i="42" s="1"/>
  <c r="CF21" i="37"/>
  <c r="H20" i="42" s="1"/>
  <c r="CF23" i="37"/>
  <c r="H22" i="42" s="1"/>
  <c r="CG16" i="37"/>
  <c r="F15" i="42" s="1"/>
  <c r="CE32" i="37"/>
  <c r="E31" i="42" s="1"/>
  <c r="CG44" i="37"/>
  <c r="F43" i="42" s="1"/>
  <c r="CG43" i="37"/>
  <c r="F42" i="42" s="1"/>
  <c r="CF44" i="37"/>
  <c r="H43" i="42" s="1"/>
  <c r="CF40" i="37"/>
  <c r="H39" i="42" s="1"/>
  <c r="CE35" i="37"/>
  <c r="E34" i="42" s="1"/>
  <c r="CE21" i="37"/>
  <c r="E20" i="42" s="1"/>
  <c r="CG35" i="37"/>
  <c r="F34" i="42" s="1"/>
  <c r="CG33" i="37"/>
  <c r="F32" i="42" s="1"/>
  <c r="CG55" i="37"/>
  <c r="F54" i="42" s="1"/>
  <c r="CG27" i="37"/>
  <c r="F26" i="42" s="1"/>
  <c r="CG29" i="37"/>
  <c r="F28" i="42" s="1"/>
  <c r="CG11" i="37"/>
  <c r="F11" i="42" s="1"/>
  <c r="CD27" i="37"/>
  <c r="G26" i="42" s="1"/>
  <c r="CD50" i="37"/>
  <c r="G49" i="42" s="1"/>
  <c r="CF47" i="37"/>
  <c r="H46" i="42" s="1"/>
  <c r="CE31" i="37"/>
  <c r="E30" i="42" s="1"/>
  <c r="CE7" i="37"/>
  <c r="CD22" i="37"/>
  <c r="G21" i="42" s="1"/>
  <c r="CD23" i="37"/>
  <c r="G22" i="42" s="1"/>
  <c r="CE24" i="37"/>
  <c r="E23" i="42" s="1"/>
  <c r="CD59" i="37"/>
  <c r="G56" i="42" s="1"/>
  <c r="CD31" i="37"/>
  <c r="G30" i="42" s="1"/>
  <c r="CF25" i="37"/>
  <c r="H24" i="42" s="1"/>
  <c r="E11" i="42"/>
  <c r="CE11" i="37"/>
  <c r="CF29" i="37"/>
  <c r="H28" i="42" s="1"/>
  <c r="CF28" i="37"/>
  <c r="H27" i="42" s="1"/>
  <c r="CD18" i="37"/>
  <c r="G17" i="42" s="1"/>
  <c r="CD46" i="37"/>
  <c r="G45" i="42" s="1"/>
  <c r="CG9" i="37"/>
  <c r="F9" i="42" s="1"/>
  <c r="CG32" i="37"/>
  <c r="F31" i="42" s="1"/>
  <c r="CG39" i="37"/>
  <c r="F38" i="42" s="1"/>
  <c r="CG36" i="37"/>
  <c r="F35" i="42" s="1"/>
  <c r="CG18" i="37"/>
  <c r="F17" i="42" s="1"/>
  <c r="CG28" i="37"/>
  <c r="F27" i="42" s="1"/>
  <c r="CD44" i="37"/>
  <c r="G43" i="42" s="1"/>
  <c r="CF8" i="37"/>
  <c r="H8" i="42" s="1"/>
  <c r="CF38" i="37"/>
  <c r="H37" i="42" s="1"/>
  <c r="CE40" i="37"/>
  <c r="E39" i="42" s="1"/>
  <c r="CF30" i="37"/>
  <c r="H29" i="42" s="1"/>
  <c r="CF17" i="37"/>
  <c r="H16" i="42" s="1"/>
  <c r="CD21" i="37"/>
  <c r="G20" i="42" s="1"/>
  <c r="CD25" i="37"/>
  <c r="G24" i="42" s="1"/>
  <c r="CD13" i="37"/>
  <c r="G55" i="42" s="1"/>
  <c r="CF10" i="37"/>
  <c r="H10" i="42" s="1"/>
  <c r="CF12" i="37"/>
  <c r="H12" i="42" s="1"/>
  <c r="CE54" i="37"/>
  <c r="E53" i="42" s="1"/>
  <c r="CD26" i="37"/>
  <c r="G25" i="42" s="1"/>
  <c r="CF18" i="37"/>
  <c r="H17" i="42" s="1"/>
  <c r="CE33" i="37"/>
  <c r="E32" i="42" s="1"/>
  <c r="CD34" i="37"/>
  <c r="G33" i="42" s="1"/>
  <c r="J57" i="43"/>
  <c r="G54" i="21"/>
  <c r="H53" i="43"/>
  <c r="G55" i="43" s="1"/>
  <c r="CA63" i="37"/>
  <c r="BV63" i="37"/>
  <c r="BZ5" i="37"/>
  <c r="BX63" i="37"/>
  <c r="CB5" i="37"/>
  <c r="CF5" i="37" s="1"/>
  <c r="BY63" i="37"/>
  <c r="CC5" i="37"/>
  <c r="CG5" i="37" s="1"/>
  <c r="BR63" i="37"/>
  <c r="BT63" i="37"/>
  <c r="BU63" i="37"/>
  <c r="D54" i="21"/>
  <c r="I53" i="21"/>
  <c r="K52" i="21"/>
  <c r="L52" i="21"/>
  <c r="M52" i="21" s="1"/>
  <c r="CE63" i="37" l="1"/>
  <c r="E7" i="42"/>
  <c r="E4" i="42" s="1"/>
  <c r="CG63" i="37"/>
  <c r="CF63" i="37"/>
  <c r="CD5" i="37"/>
  <c r="CD63" i="37" s="1"/>
  <c r="L55" i="43"/>
  <c r="M55" i="43" s="1"/>
  <c r="H54" i="43"/>
  <c r="CB63" i="37"/>
  <c r="H5" i="42"/>
  <c r="H4" i="42" s="1"/>
  <c r="H2" i="39"/>
  <c r="H88" i="39" s="1"/>
  <c r="BZ63" i="37"/>
  <c r="G2" i="39"/>
  <c r="H82" i="39" s="1"/>
  <c r="CC63" i="37"/>
  <c r="F2" i="39"/>
  <c r="H78" i="39" s="1"/>
  <c r="F5" i="42"/>
  <c r="F4" i="42" s="1"/>
  <c r="I54" i="21"/>
  <c r="K53" i="21"/>
  <c r="L53" i="21"/>
  <c r="M53" i="21" s="1"/>
  <c r="G5" i="42" l="1"/>
  <c r="G4" i="42" s="1"/>
  <c r="G56" i="43"/>
  <c r="L56" i="43" s="1"/>
  <c r="M56" i="43" s="1"/>
  <c r="K54" i="21"/>
  <c r="L54" i="21"/>
  <c r="M54" i="21" s="1"/>
  <c r="H55" i="43" l="1"/>
  <c r="G57" i="43" s="1"/>
  <c r="L57" i="43" s="1"/>
  <c r="M57" i="43" s="1"/>
  <c r="H56" i="43" l="1"/>
  <c r="H57" i="43"/>
  <c r="Z68" i="1" l="1"/>
  <c r="Z7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Carr, Steven</author>
    <author>jessie.bailey</author>
    <author>Jessie Bailey</author>
  </authors>
  <commentList>
    <comment ref="AB1" authorId="0" shapeId="0" xr:uid="{7C79FCFE-F838-4AEC-9003-08429C492C37}">
      <text>
        <r>
          <rPr>
            <b/>
            <sz val="9"/>
            <color indexed="81"/>
            <rFont val="Tahoma"/>
            <family val="2"/>
          </rPr>
          <t>Carr, Steven:</t>
        </r>
        <r>
          <rPr>
            <sz val="9"/>
            <color indexed="81"/>
            <rFont val="Tahoma"/>
            <family val="2"/>
          </rPr>
          <t xml:space="preserve">
Includes ARP funds. Revert to annual appropriation levels prior to FY 2027 formula runs. </t>
        </r>
      </text>
    </comment>
    <comment ref="B58" authorId="1" shapeId="0" xr:uid="{00000000-0006-0000-0400-000001000000}">
      <text>
        <r>
          <rPr>
            <b/>
            <sz val="8"/>
            <color indexed="81"/>
            <rFont val="Tahoma"/>
            <family val="2"/>
          </rPr>
          <t>jessie.bailey:</t>
        </r>
        <r>
          <rPr>
            <sz val="8"/>
            <color indexed="81"/>
            <rFont val="Tahoma"/>
            <family val="2"/>
          </rPr>
          <t xml:space="preserve">
Includes funds for HI for running "Competition"
</t>
        </r>
      </text>
    </comment>
    <comment ref="B63" authorId="2" shapeId="0" xr:uid="{00000000-0006-0000-0400-000002000000}">
      <text>
        <r>
          <rPr>
            <b/>
            <sz val="9"/>
            <color indexed="81"/>
            <rFont val="Tahoma"/>
            <family val="2"/>
          </rPr>
          <t>Jessie Bailey:</t>
        </r>
        <r>
          <rPr>
            <sz val="9"/>
            <color indexed="81"/>
            <rFont val="Tahoma"/>
            <family val="2"/>
          </rPr>
          <t xml:space="preserve">
My understanding is that this WAS allocated but Minnesota adjusted it's childcount downward meaning that the baseline for future calculations needed to take that into account?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Authorised User</author>
    <author>jessie.bailey</author>
    <author>Jessie Bailey</author>
    <author>RT</author>
    <author>Trombley, Robert</author>
  </authors>
  <commentList>
    <comment ref="D3" authorId="0" shapeId="0" xr:uid="{00000000-0006-0000-0E00-000001000000}">
      <text>
        <r>
          <rPr>
            <b/>
            <sz val="9"/>
            <color indexed="81"/>
            <rFont val="Tahoma"/>
            <family val="2"/>
          </rPr>
          <t>Authorised User:</t>
        </r>
        <r>
          <rPr>
            <sz val="9"/>
            <color indexed="81"/>
            <rFont val="Tahoma"/>
            <family val="2"/>
          </rPr>
          <t xml:space="preserve">
States have until mid-august to update SPPE numbers and then they are finalized by NCES. </t>
        </r>
      </text>
    </comment>
    <comment ref="G3" authorId="1" shapeId="0" xr:uid="{00000000-0006-0000-0E00-000002000000}">
      <text>
        <r>
          <rPr>
            <b/>
            <sz val="8"/>
            <color indexed="81"/>
            <rFont val="Tahoma"/>
            <family val="2"/>
          </rPr>
          <t>jessie.bailey:</t>
        </r>
        <r>
          <rPr>
            <sz val="8"/>
            <color indexed="81"/>
            <rFont val="Tahoma"/>
            <family val="2"/>
          </rPr>
          <t xml:space="preserve">
From IDEAdata.org, childcount US &amp; Outlying areas.  Updated July 15th 2008</t>
        </r>
      </text>
    </comment>
    <comment ref="D36" authorId="1" shapeId="0" xr:uid="{00000000-0006-0000-0E00-000003000000}">
      <text>
        <r>
          <rPr>
            <b/>
            <sz val="8"/>
            <color indexed="81"/>
            <rFont val="Tahoma"/>
            <family val="2"/>
          </rPr>
          <t>jessie.bailey:</t>
        </r>
        <r>
          <rPr>
            <sz val="8"/>
            <color indexed="81"/>
            <rFont val="Tahoma"/>
            <family val="2"/>
          </rPr>
          <t xml:space="preserve">
Stable Number Avail Jan 2009 (FY2007 data)</t>
        </r>
      </text>
    </comment>
    <comment ref="G36" authorId="1" shapeId="0" xr:uid="{00000000-0006-0000-0E00-000004000000}">
      <text>
        <r>
          <rPr>
            <b/>
            <sz val="8"/>
            <color indexed="81"/>
            <rFont val="Tahoma"/>
            <family val="2"/>
          </rPr>
          <t>jessie.bailey:</t>
        </r>
        <r>
          <rPr>
            <sz val="8"/>
            <color indexed="81"/>
            <rFont val="Tahoma"/>
            <family val="2"/>
          </rPr>
          <t xml:space="preserve">
Avail July 15th 2008</t>
        </r>
      </text>
    </comment>
    <comment ref="D37" authorId="2" shapeId="0" xr:uid="{00000000-0006-0000-0E00-000005000000}">
      <text>
        <r>
          <rPr>
            <b/>
            <sz val="9"/>
            <color indexed="81"/>
            <rFont val="Tahoma"/>
            <family val="2"/>
          </rPr>
          <t>Jessie Bailey:</t>
        </r>
        <r>
          <rPr>
            <sz val="9"/>
            <color indexed="81"/>
            <rFont val="Tahoma"/>
            <family val="2"/>
          </rPr>
          <t xml:space="preserve">
FY 2008 Data - Final number sent by Frank Johnson 5/28/2010
</t>
        </r>
      </text>
    </comment>
    <comment ref="G37" authorId="2" shapeId="0" xr:uid="{00000000-0006-0000-0E00-000006000000}">
      <text>
        <r>
          <rPr>
            <b/>
            <sz val="9"/>
            <color indexed="81"/>
            <rFont val="Tahoma"/>
            <family val="2"/>
          </rPr>
          <t>Jessie Bailey:</t>
        </r>
        <r>
          <rPr>
            <sz val="9"/>
            <color indexed="81"/>
            <rFont val="Tahoma"/>
            <family val="2"/>
          </rPr>
          <t xml:space="preserve">
Confirmed by Rosa Olmeda May 2010</t>
        </r>
      </text>
    </comment>
    <comment ref="D38" authorId="2" shapeId="0" xr:uid="{00000000-0006-0000-0E00-000007000000}">
      <text>
        <r>
          <rPr>
            <b/>
            <sz val="9"/>
            <color indexed="81"/>
            <rFont val="Tahoma"/>
            <family val="2"/>
          </rPr>
          <t>Jessie Bailey:</t>
        </r>
        <r>
          <rPr>
            <sz val="9"/>
            <color indexed="81"/>
            <rFont val="Tahoma"/>
            <family val="2"/>
          </rPr>
          <t xml:space="preserve">
FY 2009 draft SPPE data sent by Frank Johnson on 12/22/2010</t>
        </r>
      </text>
    </comment>
    <comment ref="D39" authorId="0" shapeId="0" xr:uid="{00000000-0006-0000-0E00-000008000000}">
      <text>
        <r>
          <rPr>
            <b/>
            <sz val="9"/>
            <color indexed="81"/>
            <rFont val="Tahoma"/>
            <family val="2"/>
          </rPr>
          <t>Authorised User:</t>
        </r>
        <r>
          <rPr>
            <sz val="9"/>
            <color indexed="81"/>
            <rFont val="Tahoma"/>
            <family val="2"/>
          </rPr>
          <t xml:space="preserve">
FY 2010 SPPE numbers from Stephen Cornman sent 9/24. </t>
        </r>
      </text>
    </comment>
    <comment ref="D40" authorId="3" shapeId="0" xr:uid="{00000000-0006-0000-0E00-000009000000}">
      <text>
        <r>
          <rPr>
            <b/>
            <sz val="9"/>
            <color indexed="81"/>
            <rFont val="Tahoma"/>
            <family val="2"/>
          </rPr>
          <t>RT:</t>
        </r>
        <r>
          <rPr>
            <sz val="9"/>
            <color indexed="81"/>
            <rFont val="Tahoma"/>
            <family val="2"/>
          </rPr>
          <t xml:space="preserve">
FY 2011 SPPE numbers from Stephen Cornman sent 10/30.</t>
        </r>
      </text>
    </comment>
    <comment ref="G40" authorId="3" shapeId="0" xr:uid="{00000000-0006-0000-0E00-00000A000000}">
      <text>
        <r>
          <rPr>
            <b/>
            <sz val="9"/>
            <color indexed="81"/>
            <rFont val="Tahoma"/>
            <family val="2"/>
          </rPr>
          <t>RT:</t>
        </r>
        <r>
          <rPr>
            <sz val="9"/>
            <color indexed="81"/>
            <rFont val="Tahoma"/>
            <family val="2"/>
          </rPr>
          <t xml:space="preserve">
Last updated Fall 2012. The grant for IDEA data ended in FY12, and the Department is now responsible for collecting and validating this data. The new data will be available in December. 
</t>
        </r>
      </text>
    </comment>
    <comment ref="D41" authorId="3" shapeId="0" xr:uid="{00000000-0006-0000-0E00-00000B000000}">
      <text>
        <r>
          <rPr>
            <b/>
            <sz val="9"/>
            <color indexed="81"/>
            <rFont val="Tahoma"/>
            <family val="2"/>
          </rPr>
          <t>RT:</t>
        </r>
        <r>
          <rPr>
            <sz val="9"/>
            <color indexed="81"/>
            <rFont val="Tahoma"/>
            <family val="2"/>
          </rPr>
          <t xml:space="preserve">
FY 2012 SPPE numbers from Stephen Cornman sent 12/4</t>
        </r>
      </text>
    </comment>
    <comment ref="D42" authorId="4" shapeId="0" xr:uid="{00000000-0006-0000-0E00-00000C000000}">
      <text>
        <r>
          <rPr>
            <b/>
            <sz val="9"/>
            <color indexed="81"/>
            <rFont val="Tahoma"/>
            <family val="2"/>
          </rPr>
          <t>Trombley, Robert:</t>
        </r>
        <r>
          <rPr>
            <sz val="9"/>
            <color indexed="81"/>
            <rFont val="Tahoma"/>
            <family val="2"/>
          </rPr>
          <t xml:space="preserve">
FY 2013 SPPE numbers from Stephen Cornman sent 12/4</t>
        </r>
      </text>
    </comment>
    <comment ref="E42" authorId="4" shapeId="0" xr:uid="{00000000-0006-0000-0E00-00000D000000}">
      <text>
        <r>
          <rPr>
            <b/>
            <sz val="9"/>
            <color indexed="81"/>
            <rFont val="Tahoma"/>
            <family val="2"/>
          </rPr>
          <t>Trombley, Robert:</t>
        </r>
        <r>
          <rPr>
            <sz val="9"/>
            <color indexed="81"/>
            <rFont val="Tahoma"/>
            <family val="2"/>
          </rPr>
          <t xml:space="preserve">
</t>
        </r>
      </text>
    </comment>
    <comment ref="D43" authorId="4" shapeId="0" xr:uid="{00000000-0006-0000-0E00-00000E000000}">
      <text>
        <r>
          <rPr>
            <b/>
            <sz val="9"/>
            <color indexed="81"/>
            <rFont val="Tahoma"/>
            <family val="2"/>
          </rPr>
          <t>Trombley, Robert:</t>
        </r>
        <r>
          <rPr>
            <sz val="9"/>
            <color indexed="81"/>
            <rFont val="Tahoma"/>
            <family val="2"/>
          </rPr>
          <t xml:space="preserve">
FY 2014 SPPE numbers from Stephen Cornman sent 1/26</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jessie.bailey</author>
    <author>Jessie Bailey</author>
    <author>Authorised User</author>
    <author>RT</author>
    <author>Trombley, Robert</author>
    <author>Carr, Steven</author>
  </authors>
  <commentList>
    <comment ref="G36" authorId="0" shapeId="0" xr:uid="{00000000-0006-0000-0F00-000001000000}">
      <text>
        <r>
          <rPr>
            <b/>
            <sz val="8"/>
            <color indexed="81"/>
            <rFont val="Tahoma"/>
            <family val="2"/>
          </rPr>
          <t>jessie.bailey:</t>
        </r>
        <r>
          <rPr>
            <sz val="8"/>
            <color indexed="81"/>
            <rFont val="Tahoma"/>
            <family val="2"/>
          </rPr>
          <t xml:space="preserve">
Avail July 15th 2008</t>
        </r>
      </text>
    </comment>
    <comment ref="D37" authorId="0" shapeId="0" xr:uid="{00000000-0006-0000-0F00-000002000000}">
      <text>
        <r>
          <rPr>
            <b/>
            <sz val="8"/>
            <color indexed="81"/>
            <rFont val="Tahoma"/>
            <family val="2"/>
          </rPr>
          <t>jessie.bailey:</t>
        </r>
        <r>
          <rPr>
            <sz val="8"/>
            <color indexed="81"/>
            <rFont val="Tahoma"/>
            <family val="2"/>
          </rPr>
          <t xml:space="preserve">
Stable Number Avail Jan 2009 (FY2007 data)</t>
        </r>
      </text>
    </comment>
    <comment ref="G37" authorId="1" shapeId="0" xr:uid="{00000000-0006-0000-0F00-000003000000}">
      <text>
        <r>
          <rPr>
            <b/>
            <sz val="9"/>
            <color indexed="81"/>
            <rFont val="Tahoma"/>
            <family val="2"/>
          </rPr>
          <t>Jessie Bailey:</t>
        </r>
        <r>
          <rPr>
            <sz val="9"/>
            <color indexed="81"/>
            <rFont val="Tahoma"/>
            <family val="2"/>
          </rPr>
          <t xml:space="preserve">
Confirmed by Rosa Olmeda May 2010</t>
        </r>
      </text>
    </comment>
    <comment ref="D38" authorId="1" shapeId="0" xr:uid="{00000000-0006-0000-0F00-000004000000}">
      <text>
        <r>
          <rPr>
            <b/>
            <sz val="9"/>
            <color indexed="81"/>
            <rFont val="Tahoma"/>
            <family val="2"/>
          </rPr>
          <t>Jessie Bailey:</t>
        </r>
        <r>
          <rPr>
            <sz val="9"/>
            <color indexed="81"/>
            <rFont val="Tahoma"/>
            <family val="2"/>
          </rPr>
          <t xml:space="preserve">
FY 2008 Data - Final number sent by Frank Johnson 5/28/2010
</t>
        </r>
      </text>
    </comment>
    <comment ref="D39" authorId="1" shapeId="0" xr:uid="{00000000-0006-0000-0F00-000005000000}">
      <text>
        <r>
          <rPr>
            <b/>
            <sz val="9"/>
            <color indexed="81"/>
            <rFont val="Tahoma"/>
            <family val="2"/>
          </rPr>
          <t>Jessie Bailey:</t>
        </r>
        <r>
          <rPr>
            <sz val="9"/>
            <color indexed="81"/>
            <rFont val="Tahoma"/>
            <family val="2"/>
          </rPr>
          <t xml:space="preserve">
FY 2009 draft SPPE data sent by Frank Johnson on 12/22/2010</t>
        </r>
      </text>
    </comment>
    <comment ref="D40" authorId="2" shapeId="0" xr:uid="{00000000-0006-0000-0F00-000006000000}">
      <text>
        <r>
          <rPr>
            <b/>
            <sz val="9"/>
            <color indexed="81"/>
            <rFont val="Tahoma"/>
            <family val="2"/>
          </rPr>
          <t>Authorised User:</t>
        </r>
        <r>
          <rPr>
            <sz val="9"/>
            <color indexed="81"/>
            <rFont val="Tahoma"/>
            <family val="2"/>
          </rPr>
          <t xml:space="preserve">
FY 2010 SPPE numbers from Stephen Cornman sent 9/24. </t>
        </r>
      </text>
    </comment>
    <comment ref="D41" authorId="3" shapeId="0" xr:uid="{00000000-0006-0000-0F00-000007000000}">
      <text>
        <r>
          <rPr>
            <b/>
            <sz val="9"/>
            <color indexed="81"/>
            <rFont val="Tahoma"/>
            <family val="2"/>
          </rPr>
          <t>RT:</t>
        </r>
        <r>
          <rPr>
            <sz val="9"/>
            <color indexed="81"/>
            <rFont val="Tahoma"/>
            <family val="2"/>
          </rPr>
          <t xml:space="preserve">
FY 2010 SPPE numbers from Stephen Cornman sent 10/30
. </t>
        </r>
      </text>
    </comment>
    <comment ref="D42" authorId="3" shapeId="0" xr:uid="{00000000-0006-0000-0F00-000008000000}">
      <text>
        <r>
          <rPr>
            <b/>
            <sz val="9"/>
            <color indexed="81"/>
            <rFont val="Tahoma"/>
            <family val="2"/>
          </rPr>
          <t>RT:</t>
        </r>
        <r>
          <rPr>
            <sz val="9"/>
            <color indexed="81"/>
            <rFont val="Tahoma"/>
            <family val="2"/>
          </rPr>
          <t xml:space="preserve">
FY 2011 SPPE numbers from Stephen Cornman sent 12/4</t>
        </r>
      </text>
    </comment>
    <comment ref="D43" authorId="4" shapeId="0" xr:uid="{00000000-0006-0000-0F00-000009000000}">
      <text>
        <r>
          <rPr>
            <b/>
            <sz val="9"/>
            <color indexed="81"/>
            <rFont val="Tahoma"/>
            <family val="2"/>
          </rPr>
          <t>Trombley, Robert:</t>
        </r>
        <r>
          <rPr>
            <sz val="9"/>
            <color indexed="81"/>
            <rFont val="Tahoma"/>
            <family val="2"/>
          </rPr>
          <t xml:space="preserve">
FY 2014 SPPE numbers from Stephen Cornman sent 1/26/17</t>
        </r>
      </text>
    </comment>
    <comment ref="D50" authorId="5" shapeId="0" xr:uid="{8E026ED3-A0A1-4A67-9099-49B66CF9FAA8}">
      <text>
        <r>
          <rPr>
            <b/>
            <sz val="9"/>
            <color indexed="81"/>
            <rFont val="Tahoma"/>
            <family val="2"/>
          </rPr>
          <t>Carr, Steven:</t>
        </r>
        <r>
          <rPr>
            <sz val="9"/>
            <color indexed="81"/>
            <rFont val="Tahoma"/>
            <family val="2"/>
          </rPr>
          <t xml:space="preserve">
FY20 SPPE via Stephen Cornman (IES).</t>
        </r>
      </text>
    </comment>
    <comment ref="D51" authorId="5" shapeId="0" xr:uid="{D91AB9EA-AE76-4F72-B62B-82589DA3626A}">
      <text>
        <r>
          <rPr>
            <b/>
            <sz val="9"/>
            <color indexed="81"/>
            <rFont val="Tahoma"/>
            <family val="2"/>
          </rPr>
          <t>Carr, Steven:</t>
        </r>
        <r>
          <rPr>
            <sz val="9"/>
            <color indexed="81"/>
            <rFont val="Tahoma"/>
            <family val="2"/>
          </rPr>
          <t xml:space="preserve">
FY 21  SPPE via Stephen Cornman</t>
        </r>
      </text>
    </comment>
    <comment ref="D52" authorId="5" shapeId="0" xr:uid="{89DD334D-CB90-4AA2-ABF6-58C1FE82361A}">
      <text>
        <r>
          <rPr>
            <b/>
            <sz val="9"/>
            <color indexed="81"/>
            <rFont val="Tahoma"/>
            <family val="2"/>
          </rPr>
          <t>Carr, Steven:</t>
        </r>
        <r>
          <rPr>
            <sz val="9"/>
            <color indexed="81"/>
            <rFont val="Tahoma"/>
            <family val="2"/>
          </rPr>
          <t xml:space="preserve">
FY 22 SPPE via Stephen Cornman</t>
        </r>
      </text>
    </comment>
    <comment ref="D53" authorId="5" shapeId="0" xr:uid="{39D2FAB1-0880-4AA6-AAF0-57442F3448CB}">
      <text>
        <r>
          <rPr>
            <b/>
            <sz val="9"/>
            <color indexed="81"/>
            <rFont val="Tahoma"/>
            <family val="2"/>
          </rPr>
          <t>Carr, Steven:</t>
        </r>
        <r>
          <rPr>
            <sz val="9"/>
            <color indexed="81"/>
            <rFont val="Tahoma"/>
            <family val="2"/>
          </rPr>
          <t xml:space="preserve">
FY 23 Preliminary SPPE via Stephen Cornman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gregory.frane</author>
  </authors>
  <commentList>
    <comment ref="B17" authorId="0" shapeId="0" xr:uid="{00000000-0006-0000-1400-000001000000}">
      <text>
        <r>
          <rPr>
            <b/>
            <sz val="8"/>
            <color indexed="81"/>
            <rFont val="Tahoma"/>
            <family val="2"/>
          </rPr>
          <t xml:space="preserve">See 20 U.S.C. 1411(e)(1)(A) and 1411(e)(3)(B)(i)
</t>
        </r>
      </text>
    </comment>
    <comment ref="B23" authorId="0" shapeId="0" xr:uid="{00000000-0006-0000-1400-000002000000}">
      <text>
        <r>
          <rPr>
            <b/>
            <sz val="8"/>
            <color indexed="81"/>
            <rFont val="Tahoma"/>
            <family val="2"/>
          </rPr>
          <t xml:space="preserve">See 20 U.S.C. 1411(e)(1)(D)
</t>
        </r>
      </text>
    </comment>
    <comment ref="B27" authorId="0" shapeId="0" xr:uid="{00000000-0006-0000-1400-000003000000}">
      <text>
        <r>
          <rPr>
            <b/>
            <sz val="8"/>
            <color indexed="81"/>
            <rFont val="Tahoma"/>
            <family val="2"/>
          </rPr>
          <t>See 20 U.S.C. 1411(e)(6) and 1411(e)(1)(B)</t>
        </r>
        <r>
          <rPr>
            <sz val="8"/>
            <color indexed="81"/>
            <rFont val="Tahoma"/>
            <family val="2"/>
          </rPr>
          <t xml:space="preserve">
</t>
        </r>
      </text>
    </comment>
    <comment ref="C34" authorId="0" shapeId="0" xr:uid="{00000000-0006-0000-1400-000004000000}">
      <text>
        <r>
          <rPr>
            <b/>
            <sz val="8"/>
            <color indexed="81"/>
            <rFont val="Tahoma"/>
            <family val="2"/>
          </rPr>
          <t>See 20 U.S.C. 1411(e)(2)(C)(i)</t>
        </r>
        <r>
          <rPr>
            <sz val="8"/>
            <color indexed="81"/>
            <rFont val="Tahoma"/>
            <family val="2"/>
          </rPr>
          <t xml:space="preserve">
</t>
        </r>
      </text>
    </comment>
    <comment ref="C37" authorId="0" shapeId="0" xr:uid="{00000000-0006-0000-1400-000005000000}">
      <text>
        <r>
          <rPr>
            <b/>
            <sz val="8"/>
            <color indexed="81"/>
            <rFont val="Tahoma"/>
            <family val="2"/>
          </rPr>
          <t>See 20 U.S.C. 1411(e)(2)(C)(iii)</t>
        </r>
        <r>
          <rPr>
            <sz val="8"/>
            <color indexed="81"/>
            <rFont val="Tahoma"/>
            <family val="2"/>
          </rPr>
          <t xml:space="preserve">
</t>
        </r>
      </text>
    </comment>
    <comment ref="C41" authorId="0" shapeId="0" xr:uid="{00000000-0006-0000-1400-000006000000}">
      <text>
        <r>
          <rPr>
            <b/>
            <sz val="8"/>
            <color indexed="81"/>
            <rFont val="Tahoma"/>
            <family val="2"/>
          </rPr>
          <t>See 20 U.S.C. 1411(e)(2)(C)(vii)</t>
        </r>
        <r>
          <rPr>
            <sz val="8"/>
            <color indexed="81"/>
            <rFont val="Tahoma"/>
            <family val="2"/>
          </rPr>
          <t xml:space="preserve">
</t>
        </r>
      </text>
    </comment>
    <comment ref="C43" authorId="0" shapeId="0" xr:uid="{00000000-0006-0000-1400-000007000000}">
      <text>
        <r>
          <rPr>
            <b/>
            <sz val="8"/>
            <color indexed="81"/>
            <rFont val="Tahoma"/>
            <family val="2"/>
          </rPr>
          <t>See 20 U.S.C. 1411(e)(2)(C)(viii)</t>
        </r>
        <r>
          <rPr>
            <sz val="8"/>
            <color indexed="81"/>
            <rFont val="Tahoma"/>
            <family val="2"/>
          </rPr>
          <t xml:space="preserve">
</t>
        </r>
      </text>
    </comment>
    <comment ref="B50" authorId="0" shapeId="0" xr:uid="{00000000-0006-0000-1400-000008000000}">
      <text>
        <r>
          <rPr>
            <b/>
            <sz val="8"/>
            <color indexed="81"/>
            <rFont val="Tahoma"/>
            <family val="2"/>
          </rPr>
          <t xml:space="preserve">See 20 U.S.C. 1411(e)(7)
</t>
        </r>
      </text>
    </comment>
    <comment ref="A70" authorId="0" shapeId="0" xr:uid="{00000000-0006-0000-1400-000009000000}">
      <text>
        <r>
          <rPr>
            <b/>
            <sz val="8"/>
            <color indexed="81"/>
            <rFont val="Tahoma"/>
            <family val="2"/>
          </rPr>
          <t>See 20 U.S.C. 1411(e)(2)(A)(i)</t>
        </r>
        <r>
          <rPr>
            <sz val="8"/>
            <color indexed="81"/>
            <rFont val="Tahoma"/>
            <family val="2"/>
          </rPr>
          <t xml:space="preserve">
</t>
        </r>
      </text>
    </comment>
    <comment ref="A76" authorId="0" shapeId="0" xr:uid="{00000000-0006-0000-1400-00000A000000}">
      <text>
        <r>
          <rPr>
            <b/>
            <sz val="8"/>
            <color indexed="81"/>
            <rFont val="Tahoma"/>
            <family val="2"/>
          </rPr>
          <t>See 20 U.S.C. 1411(e)(2)(A)(i) and 20 U.S.C. 1411(e)(2)(A)(iii)(I)</t>
        </r>
        <r>
          <rPr>
            <sz val="8"/>
            <color indexed="81"/>
            <rFont val="Tahoma"/>
            <family val="2"/>
          </rPr>
          <t xml:space="preserve">
</t>
        </r>
      </text>
    </comment>
    <comment ref="A80" authorId="0" shapeId="0" xr:uid="{00000000-0006-0000-1400-00000B000000}">
      <text>
        <r>
          <rPr>
            <b/>
            <sz val="8"/>
            <color indexed="81"/>
            <rFont val="Tahoma"/>
            <family val="2"/>
          </rPr>
          <t>See 20 U.S.C. 1411(e)(2)(A)(ii)</t>
        </r>
        <r>
          <rPr>
            <sz val="8"/>
            <color indexed="81"/>
            <rFont val="Tahoma"/>
            <family val="2"/>
          </rPr>
          <t xml:space="preserve">
</t>
        </r>
      </text>
    </comment>
    <comment ref="A86" authorId="0" shapeId="0" xr:uid="{00000000-0006-0000-1400-00000C000000}">
      <text>
        <r>
          <rPr>
            <b/>
            <sz val="8"/>
            <color indexed="81"/>
            <rFont val="Tahoma"/>
            <family val="2"/>
          </rPr>
          <t>See 20 U.S.C. 1411(e)(2)(A)(ii) and 20 U.S.C. 1411(e)(2)(A)(iii)(II)</t>
        </r>
        <r>
          <rPr>
            <sz val="8"/>
            <color indexed="81"/>
            <rFont val="Tahoma"/>
            <family val="2"/>
          </rPr>
          <t xml:space="preserve">
</t>
        </r>
      </text>
    </comment>
    <comment ref="A91" authorId="0" shapeId="0" xr:uid="{00000000-0006-0000-1400-00000D000000}">
      <text>
        <r>
          <rPr>
            <b/>
            <sz val="8"/>
            <color indexed="81"/>
            <rFont val="Tahoma"/>
            <family val="2"/>
          </rPr>
          <t>Local Educational Agency Risk Pool - For the purpose of assisting local educational agencies (including a charter school that is a local educational agency or a consortium of local educational agencies) in addressing the needs of high need children with disabilities, each State shall have the option to reserve for each fiscal year 10 percent of the amount of funds the State reserves for State-level activities. See 20 U.S.C. 1411(e)(3)(A)(i)</t>
        </r>
        <r>
          <rPr>
            <sz val="8"/>
            <color indexed="81"/>
            <rFont val="Tahoma"/>
            <family val="2"/>
          </rPr>
          <t xml:space="preserve">
</t>
        </r>
      </text>
    </comment>
    <comment ref="C115" authorId="0" shapeId="0" xr:uid="{00000000-0006-0000-1400-00000E000000}">
      <text>
        <r>
          <rPr>
            <b/>
            <sz val="8"/>
            <color indexed="81"/>
            <rFont val="Tahoma"/>
            <family val="2"/>
          </rPr>
          <t>See 20 U.S.C. 1411(e)(2)(B)(i)</t>
        </r>
        <r>
          <rPr>
            <sz val="8"/>
            <color indexed="81"/>
            <rFont val="Tahoma"/>
            <family val="2"/>
          </rPr>
          <t xml:space="preserve">
</t>
        </r>
      </text>
    </comment>
    <comment ref="C118" authorId="0" shapeId="0" xr:uid="{00000000-0006-0000-1400-00000F000000}">
      <text>
        <r>
          <rPr>
            <b/>
            <sz val="8"/>
            <color indexed="81"/>
            <rFont val="Tahoma"/>
            <family val="2"/>
          </rPr>
          <t>See 20 U.S.C. 1411(e)(2)(B)(ii)</t>
        </r>
        <r>
          <rPr>
            <sz val="8"/>
            <color indexed="81"/>
            <rFont val="Tahoma"/>
            <family val="2"/>
          </rPr>
          <t xml:space="preserve">
</t>
        </r>
      </text>
    </comment>
    <comment ref="C124" authorId="0" shapeId="0" xr:uid="{00000000-0006-0000-1400-000010000000}">
      <text>
        <r>
          <rPr>
            <b/>
            <sz val="8"/>
            <color indexed="81"/>
            <rFont val="Tahoma"/>
            <family val="2"/>
          </rPr>
          <t>See 20 U.S.C. 1411(e)(2)(C)(i)</t>
        </r>
        <r>
          <rPr>
            <sz val="8"/>
            <color indexed="81"/>
            <rFont val="Tahoma"/>
            <family val="2"/>
          </rPr>
          <t xml:space="preserve">
</t>
        </r>
      </text>
    </comment>
    <comment ref="C127" authorId="0" shapeId="0" xr:uid="{00000000-0006-0000-1400-000011000000}">
      <text>
        <r>
          <rPr>
            <b/>
            <sz val="8"/>
            <color indexed="81"/>
            <rFont val="Tahoma"/>
            <family val="2"/>
          </rPr>
          <t>See 20 U.S.C. 1411(e)(2)(C)(iii)</t>
        </r>
        <r>
          <rPr>
            <sz val="8"/>
            <color indexed="81"/>
            <rFont val="Tahoma"/>
            <family val="2"/>
          </rPr>
          <t xml:space="preserve">
</t>
        </r>
      </text>
    </comment>
    <comment ref="C131" authorId="0" shapeId="0" xr:uid="{00000000-0006-0000-1400-000012000000}">
      <text>
        <r>
          <rPr>
            <b/>
            <sz val="8"/>
            <color indexed="81"/>
            <rFont val="Tahoma"/>
            <family val="2"/>
          </rPr>
          <t>See 20 U.S.C. 1411(e)(2)(C)(vii)</t>
        </r>
        <r>
          <rPr>
            <sz val="8"/>
            <color indexed="81"/>
            <rFont val="Tahoma"/>
            <family val="2"/>
          </rPr>
          <t xml:space="preserve">
</t>
        </r>
      </text>
    </comment>
    <comment ref="C133" authorId="0" shapeId="0" xr:uid="{00000000-0006-0000-1400-000013000000}">
      <text>
        <r>
          <rPr>
            <b/>
            <sz val="8"/>
            <color indexed="81"/>
            <rFont val="Tahoma"/>
            <family val="2"/>
          </rPr>
          <t>See 20 U.S.C. 1411(e)(2)(C)(viii)</t>
        </r>
        <r>
          <rPr>
            <sz val="8"/>
            <color indexed="81"/>
            <rFont val="Tahoma"/>
            <family val="2"/>
          </rPr>
          <t xml:space="preserve">
</t>
        </r>
      </text>
    </comment>
    <comment ref="C136" authorId="0" shapeId="0" xr:uid="{00000000-0006-0000-1400-000014000000}">
      <text>
        <r>
          <rPr>
            <b/>
            <sz val="8"/>
            <color indexed="81"/>
            <rFont val="Tahoma"/>
            <family val="2"/>
          </rPr>
          <t>See 20 U.S.C. 1411(e)(2)(C)(ii)</t>
        </r>
        <r>
          <rPr>
            <sz val="8"/>
            <color indexed="81"/>
            <rFont val="Tahoma"/>
            <family val="2"/>
          </rPr>
          <t xml:space="preserve">
</t>
        </r>
      </text>
    </comment>
    <comment ref="C139" authorId="0" shapeId="0" xr:uid="{00000000-0006-0000-1400-000015000000}">
      <text>
        <r>
          <rPr>
            <b/>
            <sz val="8"/>
            <color indexed="81"/>
            <rFont val="Tahoma"/>
            <family val="2"/>
          </rPr>
          <t>See 20 U.S.C. 1411(e)(2)(C)(iv)</t>
        </r>
        <r>
          <rPr>
            <sz val="8"/>
            <color indexed="81"/>
            <rFont val="Tahoma"/>
            <family val="2"/>
          </rPr>
          <t xml:space="preserve">
</t>
        </r>
      </text>
    </comment>
    <comment ref="C142" authorId="0" shapeId="0" xr:uid="{00000000-0006-0000-1400-000016000000}">
      <text>
        <r>
          <rPr>
            <b/>
            <sz val="8"/>
            <color indexed="81"/>
            <rFont val="Tahoma"/>
            <family val="2"/>
          </rPr>
          <t>See 20 U.S.C. 1411(e)(2)(C)(v)</t>
        </r>
        <r>
          <rPr>
            <sz val="8"/>
            <color indexed="81"/>
            <rFont val="Tahoma"/>
            <family val="2"/>
          </rPr>
          <t xml:space="preserve">
</t>
        </r>
      </text>
    </comment>
    <comment ref="C146" authorId="0" shapeId="0" xr:uid="{00000000-0006-0000-1400-000017000000}">
      <text>
        <r>
          <rPr>
            <b/>
            <sz val="8"/>
            <color indexed="81"/>
            <rFont val="Tahoma"/>
            <family val="2"/>
          </rPr>
          <t>See 20 U.S.C. 1411(e)(2)(C)(vi)</t>
        </r>
        <r>
          <rPr>
            <sz val="8"/>
            <color indexed="81"/>
            <rFont val="Tahoma"/>
            <family val="2"/>
          </rPr>
          <t xml:space="preserve">
</t>
        </r>
      </text>
    </comment>
    <comment ref="C150" authorId="0" shapeId="0" xr:uid="{00000000-0006-0000-1400-000018000000}">
      <text>
        <r>
          <rPr>
            <b/>
            <sz val="8"/>
            <color indexed="81"/>
            <rFont val="Tahoma"/>
            <family val="2"/>
          </rPr>
          <t>See 20 U.S.C. 1411(e)(2)(C)(ix)</t>
        </r>
        <r>
          <rPr>
            <sz val="8"/>
            <color indexed="81"/>
            <rFont val="Tahoma"/>
            <family val="2"/>
          </rPr>
          <t xml:space="preserve">
</t>
        </r>
      </text>
    </comment>
    <comment ref="C155" authorId="0" shapeId="0" xr:uid="{00000000-0006-0000-1400-000019000000}">
      <text>
        <r>
          <rPr>
            <b/>
            <sz val="8"/>
            <color indexed="81"/>
            <rFont val="Tahoma"/>
            <family val="2"/>
          </rPr>
          <t>See 20 U.S.C. 1411(e)(2)(C)(x)</t>
        </r>
        <r>
          <rPr>
            <sz val="8"/>
            <color indexed="81"/>
            <rFont val="Tahoma"/>
            <family val="2"/>
          </rPr>
          <t xml:space="preserve">
</t>
        </r>
      </text>
    </comment>
    <comment ref="C161" authorId="0" shapeId="0" xr:uid="{00000000-0006-0000-1400-00001A000000}">
      <text>
        <r>
          <rPr>
            <b/>
            <sz val="8"/>
            <color indexed="81"/>
            <rFont val="Tahoma"/>
            <family val="2"/>
          </rPr>
          <t>See 20 U.S.C. 1411(e)(2)(C)(xi)</t>
        </r>
        <r>
          <rPr>
            <sz val="8"/>
            <color indexed="81"/>
            <rFont val="Tahoma"/>
            <family val="2"/>
          </rPr>
          <t xml:space="preserve">
</t>
        </r>
      </text>
    </comment>
    <comment ref="C185" authorId="0" shapeId="0" xr:uid="{00000000-0006-0000-1400-00001B000000}">
      <text>
        <r>
          <rPr>
            <b/>
            <sz val="8"/>
            <color indexed="81"/>
            <rFont val="Tahoma"/>
            <family val="2"/>
          </rPr>
          <t>See 20 U.S.C. 1411(e)(3)(A)(i)(I)</t>
        </r>
        <r>
          <rPr>
            <sz val="8"/>
            <color indexed="81"/>
            <rFont val="Tahoma"/>
            <family val="2"/>
          </rPr>
          <t xml:space="preserve">
</t>
        </r>
      </text>
    </comment>
    <comment ref="C189" authorId="0" shapeId="0" xr:uid="{00000000-0006-0000-1400-00001C000000}">
      <text>
        <r>
          <rPr>
            <b/>
            <sz val="8"/>
            <color indexed="81"/>
            <rFont val="Tahoma"/>
            <family val="2"/>
          </rPr>
          <t>See 20 U.S.C. 1411(e)(3)(A)(i)(II) and 20 U.S.C. 1411(e)(3)(B)(ii)</t>
        </r>
        <r>
          <rPr>
            <sz val="8"/>
            <color indexed="81"/>
            <rFont val="Tahoma"/>
            <family val="2"/>
          </rPr>
          <t xml:space="preserve">
</t>
        </r>
      </text>
    </comment>
    <comment ref="C196" authorId="0" shapeId="0" xr:uid="{00000000-0006-0000-1400-00001D000000}">
      <text>
        <r>
          <rPr>
            <b/>
            <sz val="8"/>
            <color indexed="81"/>
            <rFont val="Tahoma"/>
            <family val="2"/>
          </rPr>
          <t>See 20 U.S.C. 1411(e)(3)(B)(i)</t>
        </r>
        <r>
          <rPr>
            <sz val="8"/>
            <color indexed="81"/>
            <rFont val="Tahoma"/>
            <family val="2"/>
          </rPr>
          <t xml:space="preserve">
</t>
        </r>
      </text>
    </comment>
  </commentList>
</comments>
</file>

<file path=xl/sharedStrings.xml><?xml version="1.0" encoding="utf-8"?>
<sst xmlns="http://schemas.openxmlformats.org/spreadsheetml/2006/main" count="1350" uniqueCount="474">
  <si>
    <t>OA Set-Aside</t>
  </si>
  <si>
    <t>State</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</si>
  <si>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</si>
  <si>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</si>
  <si>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</si>
  <si>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</si>
  <si>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</si>
  <si>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</si>
  <si>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</si>
  <si>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</si>
  <si>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</si>
  <si>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</si>
  <si>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</si>
  <si>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</si>
  <si>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</si>
  <si>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</si>
  <si>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</si>
  <si>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</si>
  <si>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</si>
  <si>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</si>
  <si>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</si>
  <si>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</si>
  <si>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</si>
  <si>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</si>
  <si>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</si>
  <si>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</si>
  <si>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</si>
  <si>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</si>
  <si>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</si>
  <si>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</si>
  <si>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</si>
  <si>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</si>
  <si>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</si>
  <si>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</si>
  <si>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</si>
  <si>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</si>
  <si>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</si>
  <si>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</si>
  <si>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</si>
  <si>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</si>
  <si>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</si>
  <si>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</si>
  <si>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</si>
  <si>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</si>
  <si>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</si>
  <si>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</si>
  <si>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</si>
  <si>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</si>
  <si>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</si>
  <si>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</si>
  <si>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</si>
  <si>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</si>
  <si>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</si>
  <si>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American Samoa</t>
  </si>
  <si>
    <t>Guam</t>
  </si>
  <si>
    <t>Northern Mariana Islands</t>
  </si>
  <si>
    <t>Puerto Rico</t>
  </si>
  <si>
    <t>Virgin Islands</t>
  </si>
  <si>
    <t>Freely Associated States</t>
  </si>
  <si>
    <t>Department of the Interior</t>
  </si>
  <si>
    <t>Other</t>
  </si>
  <si>
    <t>Unallocated</t>
  </si>
  <si>
    <t>Appropriation Year</t>
  </si>
  <si>
    <t>Appropriation Amount</t>
  </si>
  <si>
    <t>Set Aside</t>
  </si>
  <si>
    <t>Annual</t>
  </si>
  <si>
    <t>Advance</t>
  </si>
  <si>
    <t>Prior Year Funding Levels</t>
  </si>
  <si>
    <t>Total</t>
  </si>
  <si>
    <t>Adjustment</t>
  </si>
  <si>
    <t>Increase Chosen</t>
  </si>
  <si>
    <t>Increase in Appropriation</t>
  </si>
  <si>
    <t>Inflation</t>
  </si>
  <si>
    <t>Prior Year Penalties</t>
  </si>
  <si>
    <t>FY 2016 Economic Assumptions for ED</t>
  </si>
  <si>
    <t>CPI-U -- NOT SEASONALLY ADJUSTED</t>
  </si>
  <si>
    <t>BLS Update:</t>
  </si>
  <si>
    <t>Most Recent Actual Entry from BLS Update:</t>
  </si>
  <si>
    <t>Economic Assumptions Update</t>
  </si>
  <si>
    <t>1. Monthly CPI-U, All Items -- Not Seasonally Adjusted</t>
  </si>
  <si>
    <t>Month</t>
  </si>
  <si>
    <t>cpiu_nsa</t>
  </si>
  <si>
    <t>Jan</t>
  </si>
  <si>
    <t>Feb</t>
  </si>
  <si>
    <t>Mar</t>
  </si>
  <si>
    <t>Apr</t>
  </si>
  <si>
    <t>May</t>
  </si>
  <si>
    <t>Jun</t>
  </si>
  <si>
    <t>Jul</t>
  </si>
  <si>
    <t>Aug</t>
  </si>
  <si>
    <t>Sep</t>
  </si>
  <si>
    <t>Oct</t>
  </si>
  <si>
    <t>Nov</t>
  </si>
  <si>
    <t>Dec</t>
  </si>
  <si>
    <t xml:space="preserve"> </t>
  </si>
  <si>
    <t>FY Inflation</t>
  </si>
  <si>
    <t>FY</t>
  </si>
  <si>
    <t>TA Maximum</t>
  </si>
  <si>
    <t>Northern Marianas</t>
  </si>
  <si>
    <t xml:space="preserve">APPE DATA AS OF </t>
  </si>
  <si>
    <t>NEXT UPDATE</t>
  </si>
  <si>
    <t>School Year</t>
  </si>
  <si>
    <t>Year of Applicable APPE</t>
  </si>
  <si>
    <t>APPE</t>
  </si>
  <si>
    <t>Inflation (CPI-U)</t>
  </si>
  <si>
    <t>Year of Applicable Child Count</t>
  </si>
  <si>
    <t>Applicable Child Count</t>
  </si>
  <si>
    <t>Percent Increase in Child Count</t>
  </si>
  <si>
    <t>Appropriation</t>
  </si>
  <si>
    <t>TA Set Aside</t>
  </si>
  <si>
    <t>Percent Increase in Appropriation</t>
  </si>
  <si>
    <t>Share of Appropriation Per Child</t>
  </si>
  <si>
    <t>Percent of APPE</t>
  </si>
  <si>
    <t>1977</t>
  </si>
  <si>
    <t>1978</t>
  </si>
  <si>
    <t>77-78</t>
  </si>
  <si>
    <t>75-76</t>
  </si>
  <si>
    <t>76-77</t>
  </si>
  <si>
    <t>1979</t>
  </si>
  <si>
    <t>78-79</t>
  </si>
  <si>
    <t>1980</t>
  </si>
  <si>
    <t>79-80</t>
  </si>
  <si>
    <t>1981</t>
  </si>
  <si>
    <t>80-81</t>
  </si>
  <si>
    <t>1982</t>
  </si>
  <si>
    <t>81-82</t>
  </si>
  <si>
    <t>1983</t>
  </si>
  <si>
    <t>82-83</t>
  </si>
  <si>
    <t>1984</t>
  </si>
  <si>
    <t>83-84</t>
  </si>
  <si>
    <t>1985</t>
  </si>
  <si>
    <t>84-85</t>
  </si>
  <si>
    <t>1986</t>
  </si>
  <si>
    <t>85-86</t>
  </si>
  <si>
    <t>1987</t>
  </si>
  <si>
    <t>86-87</t>
  </si>
  <si>
    <t>1988</t>
  </si>
  <si>
    <t>87-88</t>
  </si>
  <si>
    <t>1989</t>
  </si>
  <si>
    <t>88-89</t>
  </si>
  <si>
    <t>1990</t>
  </si>
  <si>
    <t>89-90</t>
  </si>
  <si>
    <t>1991</t>
  </si>
  <si>
    <t>90-91</t>
  </si>
  <si>
    <t>1992</t>
  </si>
  <si>
    <t>91-92</t>
  </si>
  <si>
    <t>1993</t>
  </si>
  <si>
    <t>92-93</t>
  </si>
  <si>
    <t>1994</t>
  </si>
  <si>
    <t>93-94</t>
  </si>
  <si>
    <t>1995</t>
  </si>
  <si>
    <t>94-95</t>
  </si>
  <si>
    <t>1996</t>
  </si>
  <si>
    <t>95-96</t>
  </si>
  <si>
    <t>1997</t>
  </si>
  <si>
    <t>96-97</t>
  </si>
  <si>
    <t xml:space="preserve">  </t>
  </si>
  <si>
    <t>1998</t>
  </si>
  <si>
    <t>97-98</t>
  </si>
  <si>
    <t>1999</t>
  </si>
  <si>
    <t>98-99</t>
  </si>
  <si>
    <t>2000</t>
  </si>
  <si>
    <t>99-00</t>
  </si>
  <si>
    <t>2001</t>
  </si>
  <si>
    <t>00-01</t>
  </si>
  <si>
    <t>2002</t>
  </si>
  <si>
    <t>01-02</t>
  </si>
  <si>
    <t>2003</t>
  </si>
  <si>
    <t>02-03</t>
  </si>
  <si>
    <t>2004</t>
  </si>
  <si>
    <t>03-04</t>
  </si>
  <si>
    <t>2005</t>
  </si>
  <si>
    <t>04-05</t>
  </si>
  <si>
    <t>05-06</t>
  </si>
  <si>
    <t>06-07</t>
  </si>
  <si>
    <t>07-08</t>
  </si>
  <si>
    <t>08-09</t>
  </si>
  <si>
    <t>09-10</t>
  </si>
  <si>
    <t>10-11</t>
  </si>
  <si>
    <t>11-12</t>
  </si>
  <si>
    <t>12-13</t>
  </si>
  <si>
    <t>13-14</t>
  </si>
  <si>
    <t>14-15</t>
  </si>
  <si>
    <t>15-16</t>
  </si>
  <si>
    <t>16-17</t>
  </si>
  <si>
    <t>17-18</t>
  </si>
  <si>
    <t>18-19</t>
  </si>
  <si>
    <t>19-20</t>
  </si>
  <si>
    <t>20-21</t>
  </si>
  <si>
    <t>21-22</t>
  </si>
  <si>
    <t>22-23</t>
  </si>
  <si>
    <t>23-24</t>
  </si>
  <si>
    <t>24-25</t>
  </si>
  <si>
    <t>25-26</t>
  </si>
  <si>
    <t>26-27</t>
  </si>
  <si>
    <t>*Source NCES Common Core of Data (http://nces.ed.gov/ccd/)</t>
  </si>
  <si>
    <t>* Select Rows as States (http://nces.ed.gov/ccd/bat/)</t>
  </si>
  <si>
    <t>Applicable child count from IDEAdata.org</t>
  </si>
  <si>
    <t>18-21</t>
  </si>
  <si>
    <t>3-5</t>
  </si>
  <si>
    <t>6-11</t>
  </si>
  <si>
    <t>12-17</t>
  </si>
  <si>
    <t>6-17</t>
  </si>
  <si>
    <t>14-21</t>
  </si>
  <si>
    <t>3-21</t>
  </si>
  <si>
    <t>Table 1-1. Children and students served under IDEA, Part B, by age group and state:  Fall 2007</t>
  </si>
  <si>
    <t xml:space="preserve">          -</t>
  </si>
  <si>
    <t>Source:  U.S. Department of Education, Office of Special Education Programs, Data Analysis System (DANS),</t>
  </si>
  <si>
    <t>OMB #1820-0043: "Children with Disabilities Receiving Special Education Under Part B of the Individuals</t>
  </si>
  <si>
    <t>with Disabilities Education Act," 2007.  Data updated as of July 15, 2008.</t>
  </si>
  <si>
    <t>Note:  Please see the Part B Child Count Data Notes in appendix B for information the state submitted to</t>
  </si>
  <si>
    <t>clarify its data submission.</t>
  </si>
  <si>
    <t>- Data not available.</t>
  </si>
  <si>
    <t>State Level Activities: State Administration</t>
  </si>
  <si>
    <t>Year</t>
  </si>
  <si>
    <t>State Level Activities: Other State Level Activities</t>
  </si>
  <si>
    <t>Plan</t>
  </si>
  <si>
    <t>2006 RPLA</t>
  </si>
  <si>
    <t>2006 RPHA</t>
  </si>
  <si>
    <t>2006 LA</t>
  </si>
  <si>
    <t>2006 HA</t>
  </si>
  <si>
    <t>2007 RPLA</t>
  </si>
  <si>
    <t>2007 RPHA</t>
  </si>
  <si>
    <t>2007 LA</t>
  </si>
  <si>
    <t>2007 HA</t>
  </si>
  <si>
    <t>2008 RPLA</t>
  </si>
  <si>
    <t>2008 RPHA</t>
  </si>
  <si>
    <t>2008 LA</t>
  </si>
  <si>
    <t>2008 HA</t>
  </si>
  <si>
    <t>2009 RPLA</t>
  </si>
  <si>
    <t>2009 RPHA</t>
  </si>
  <si>
    <t>2009 LA</t>
  </si>
  <si>
    <t>2009 HA</t>
  </si>
  <si>
    <t>2010 RPLA</t>
  </si>
  <si>
    <t>2010 RPHA</t>
  </si>
  <si>
    <t>2010 LA</t>
  </si>
  <si>
    <t>2010 HA</t>
  </si>
  <si>
    <t>2011 RPLA</t>
  </si>
  <si>
    <t>2011 RPHA</t>
  </si>
  <si>
    <t>2011 LA</t>
  </si>
  <si>
    <t>2011 HA</t>
  </si>
  <si>
    <t>2012 RPLA</t>
  </si>
  <si>
    <t>2012 RPHA</t>
  </si>
  <si>
    <t>2012 LA</t>
  </si>
  <si>
    <t>2012 HA</t>
  </si>
  <si>
    <t>2013 RPLA</t>
  </si>
  <si>
    <t>2013 RPHA</t>
  </si>
  <si>
    <t>2013 LA</t>
  </si>
  <si>
    <t>2013 HA</t>
  </si>
  <si>
    <t>2014 RPLA</t>
  </si>
  <si>
    <t>2014 RPHA</t>
  </si>
  <si>
    <t>2014 LA</t>
  </si>
  <si>
    <t>2014 HA</t>
  </si>
  <si>
    <t>2015 RPLA</t>
  </si>
  <si>
    <t>2015 RPHA</t>
  </si>
  <si>
    <t>2015 LA</t>
  </si>
  <si>
    <t>2015 HA</t>
  </si>
  <si>
    <t>2016 RPLA</t>
  </si>
  <si>
    <t>2016 RPHA</t>
  </si>
  <si>
    <t>2016 LA</t>
  </si>
  <si>
    <t>2016 HA</t>
  </si>
  <si>
    <t>2017 RPLA</t>
  </si>
  <si>
    <t>2017 RPHA</t>
  </si>
  <si>
    <t>2017 LA</t>
  </si>
  <si>
    <t>2017 HA</t>
  </si>
  <si>
    <t>2018 RPLA</t>
  </si>
  <si>
    <t>2018 RPHA</t>
  </si>
  <si>
    <t>2018 LA</t>
  </si>
  <si>
    <t>2018 HA</t>
  </si>
  <si>
    <t>2019 RPLA</t>
  </si>
  <si>
    <t>2019 RPHA</t>
  </si>
  <si>
    <t>2019 LA</t>
  </si>
  <si>
    <t>2019 HA</t>
  </si>
  <si>
    <t>2020 RPLA</t>
  </si>
  <si>
    <t>2020 RPHA</t>
  </si>
  <si>
    <t>2020 LA</t>
  </si>
  <si>
    <t>2020 HA</t>
  </si>
  <si>
    <t>Risk Pool and Low Admin</t>
  </si>
  <si>
    <t>Risk Pool and High Admin</t>
  </si>
  <si>
    <t>No Risk Pool and Low Admin</t>
  </si>
  <si>
    <t>No Risk Pool and High Admin</t>
  </si>
  <si>
    <t>Select Area</t>
  </si>
  <si>
    <t>FFY</t>
  </si>
  <si>
    <t>REGULAR AWARD AMOUNT Est.</t>
  </si>
  <si>
    <t>TOTAL AWARD AMOUNT</t>
  </si>
  <si>
    <t>ADMINISTRATION</t>
  </si>
  <si>
    <t>Sec.</t>
  </si>
  <si>
    <t>Maximum Available for Administration.</t>
  </si>
  <si>
    <t>III</t>
  </si>
  <si>
    <t xml:space="preserve">How much do you want to set aside for Administration in dollars? </t>
  </si>
  <si>
    <t xml:space="preserve">You must distribute, in whole dollars, the amount you want to set aside for </t>
  </si>
  <si>
    <t xml:space="preserve">Administration among the following activities: </t>
  </si>
  <si>
    <t>For the purpose of administering IDEA Part B including Preschool Grants under 20 U.S.C. 1419, a High Cost Fund, and the coordination of activities under Part B with, and providing technical assistance to, other programs that provide services to children with disabilities.  (Note: These funds may be used for Administering but not Financing a High Cost Fund)</t>
  </si>
  <si>
    <t>a.</t>
  </si>
  <si>
    <t>For the administration of Part C of IDEA, if the SEA is the Lead Agency for the State under Part C.</t>
  </si>
  <si>
    <t>b.</t>
  </si>
  <si>
    <t xml:space="preserve">You may set aside a portion of your Administration funds resulting from inflation for the following 4 Other State-Level Activities.  Additional funds for these purposes may also be set aside under Other State-Level Activities.  Based on the amount that you propose to set aside for Administration, the maximum amount of Administration funds that you may use for these 4 activities is:  </t>
  </si>
  <si>
    <t>For support and direct services, including technical assistance, personnel preparation, and professional development and training.</t>
  </si>
  <si>
    <t>c.</t>
  </si>
  <si>
    <t>To assist local educational agencies in providing positive behavioral interventions and supports and appropriate mental health services for children with disabilities.</t>
  </si>
  <si>
    <t>d.</t>
  </si>
  <si>
    <t>To assist local educational agencies in meeting personnel shortages.</t>
  </si>
  <si>
    <t>e.</t>
  </si>
  <si>
    <t>To support capacity building activities and improve the delivery of services by local educational agencies to improve results for children with disabilities.</t>
  </si>
  <si>
    <t>f.</t>
  </si>
  <si>
    <t xml:space="preserve">  Subtotal, Administration funds used for Other State-Level Activities</t>
  </si>
  <si>
    <t>If you receive a Preschool Grant under 20 U.S.C. 1419, you may use Administration funds, along with other funds, to develop and implement a State policy jointly with the lead agency under Part C and the SEA to provide early intervention services (which must include an educational component that promotes school readiness and incorporates preliteracy, language, and numeracy skills) in accordance with Part C to children with disabilities who are eligible for services under the Preschool Grant program and who previously received services under Part C until such children enter, or are eligible under State law to enter, kindergarten, or elementary school as appropriate.</t>
  </si>
  <si>
    <t>g.</t>
  </si>
  <si>
    <t xml:space="preserve">                            The total of details for your Administration set-aside is </t>
  </si>
  <si>
    <t>OTHER STATE-LEVEL ACTIVITIES</t>
  </si>
  <si>
    <t>If you propose to set aside more than $850,000 for Administration and you DO wish to use funds for a High Cost Fund, the maximum amount that you may use for Other State-Level Activities is:</t>
  </si>
  <si>
    <t>Of the amount you set aside for Other State-Level Activities at least 10% must be used for the High Cost Fund.</t>
  </si>
  <si>
    <t>If you propose to set aside more than $850,000 for Administration and you DO NOT wish to use funds for a High Cost Fund, the maximum amount that you may use for Other State-Level Activities is:</t>
  </si>
  <si>
    <t>If you propose to set aside $850,000 or less for Administration and you DO wish to use funds for a High Cost Fund, the maximum amount that you may use for Other State-Level             Activities is:</t>
  </si>
  <si>
    <t>If you propose to set aside $850,000 or less for Administration and you DO NOT wish to use funds for a High Cost Fund, the maximum amount that you may use for Other State-Level Activities is:</t>
  </si>
  <si>
    <t>Do you wish to use funds for a High Cost Fund?  (Yes or No)</t>
  </si>
  <si>
    <t>Yes</t>
  </si>
  <si>
    <t>Based on the amount that you intend to set aside for</t>
  </si>
  <si>
    <t>No</t>
  </si>
  <si>
    <t>Administration, the size of your total award, and your decision</t>
  </si>
  <si>
    <t>use set aside funds to support a High Cost Fund, the</t>
  </si>
  <si>
    <t>maximum that you may use for Other State-Level Activities is:</t>
  </si>
  <si>
    <t>How much do you want to set aside for Other State-Level Activities?</t>
  </si>
  <si>
    <t xml:space="preserve">You must distribute the amount you want to set aside for </t>
  </si>
  <si>
    <t xml:space="preserve">Other State-Level Activities the following activities. </t>
  </si>
  <si>
    <t>You can distribute amounts in any order you wish.  The</t>
  </si>
  <si>
    <t>total balance remaining to be distributed at any time appears in red.</t>
  </si>
  <si>
    <t>Required Activities:</t>
  </si>
  <si>
    <t>For monitoring, enforcement, and complaint investigation.  (You must use at least $1 for this purpose)</t>
  </si>
  <si>
    <t>h.</t>
  </si>
  <si>
    <t>To establish and implement the mediation process required by 20 U.S.C. 1415(e), including providing for the cost of mediators and support personnel.  (You must use at least $1 for this purpose)</t>
  </si>
  <si>
    <t>i.</t>
  </si>
  <si>
    <t>Optional Authorized Activities:</t>
  </si>
  <si>
    <t>For support and direct services, including technical assistance, personnel preparation, and professional development and training</t>
  </si>
  <si>
    <t>j.</t>
  </si>
  <si>
    <t>k.</t>
  </si>
  <si>
    <t>l.</t>
  </si>
  <si>
    <t>m.</t>
  </si>
  <si>
    <t>To support paperwork reduction activities, including expanding the use of technology in the IEP process.</t>
  </si>
  <si>
    <t>n.</t>
  </si>
  <si>
    <t>To improve the use of technology in the classroom by children with disabilities to enhance learning.</t>
  </si>
  <si>
    <t>o.</t>
  </si>
  <si>
    <t>To support the use of technology, including technology with universal design principles and assistive technology devices, to maximize accessibility to the general education curriculum for children with disabilities.</t>
  </si>
  <si>
    <t>p.</t>
  </si>
  <si>
    <t xml:space="preserve">Development and implementation of transition programs, including coordination of services with agencies involved in supporting the transition of children with disabilities to postsecondary activities.  </t>
  </si>
  <si>
    <t>q.</t>
  </si>
  <si>
    <t>Alternative programming for children with disabilities who have been expelled from school, and services for children with disabilities in correctional facilities, children enrolled in State-operated or State-supported schools, and children with disabilities in charter schools.</t>
  </si>
  <si>
    <t>r.</t>
  </si>
  <si>
    <r>
      <t xml:space="preserve">To support the development and provision of appropriate accommodations for children with disabilities, or the development and provision of alternate assessments that are valid and reliable for assessing the performance of children with disabilities, in accordance with Sections 1111(b) and </t>
    </r>
    <r>
      <rPr>
        <sz val="11"/>
        <rFont val="Calibri"/>
        <family val="2"/>
        <scheme val="minor"/>
      </rPr>
      <t>1201</t>
    </r>
    <r>
      <rPr>
        <sz val="10"/>
        <rFont val="Arial"/>
        <family val="2"/>
      </rPr>
      <t xml:space="preserve"> of the Elementary and Secondary Education Act of 1965.</t>
    </r>
  </si>
  <si>
    <t>s.</t>
  </si>
  <si>
    <r>
      <t xml:space="preserve">To provide technical assistance to schools and LEAs, and direct services, including </t>
    </r>
    <r>
      <rPr>
        <sz val="11"/>
        <rFont val="Calibri"/>
        <family val="2"/>
        <scheme val="minor"/>
      </rPr>
      <t xml:space="preserve">direct student services described in section 1003A(c)(3) of the ESEA </t>
    </r>
    <r>
      <rPr>
        <sz val="10"/>
        <rFont val="Arial"/>
        <family val="2"/>
      </rPr>
      <t xml:space="preserve">to children with disabilities, </t>
    </r>
    <r>
      <rPr>
        <sz val="11"/>
        <rFont val="Calibri"/>
        <family val="2"/>
        <scheme val="minor"/>
      </rPr>
      <t>to schools or LEAs implementing comprehensive support and improvement activities or targeted support and improvement activities under section 1111(d) of the ESEA on the basis</t>
    </r>
    <r>
      <rPr>
        <sz val="10"/>
        <rFont val="Arial"/>
        <family val="2"/>
      </rPr>
      <t xml:space="preserve"> of </t>
    </r>
    <r>
      <rPr>
        <sz val="11"/>
        <rFont val="Calibri"/>
        <family val="2"/>
        <scheme val="minor"/>
      </rPr>
      <t xml:space="preserve">consistent underperformance of the </t>
    </r>
    <r>
      <rPr>
        <sz val="10"/>
        <rFont val="Arial"/>
        <family val="2"/>
      </rPr>
      <t xml:space="preserve">disaggregated subgroup of children with disabilities, including providing professional development to special and regular education teachers, who teach children with disabilities, based on scientifically based research to improve educational instruction, in order to improve academic achievement </t>
    </r>
    <r>
      <rPr>
        <sz val="11"/>
        <rFont val="Calibri"/>
        <family val="2"/>
        <scheme val="minor"/>
      </rPr>
      <t>based on the challenging academic standards described in section 1111(b)(1)</t>
    </r>
    <r>
      <rPr>
        <sz val="10"/>
        <rFont val="Arial"/>
        <family val="2"/>
      </rPr>
      <t xml:space="preserve"> of the ESEA.  </t>
    </r>
  </si>
  <si>
    <t>t.</t>
  </si>
  <si>
    <t xml:space="preserve">        The total of details for your Other State-Level Activities set-aside is </t>
  </si>
  <si>
    <t>You are almost done.</t>
  </si>
  <si>
    <t xml:space="preserve">If you are using money for a High Cost Fund.  You must report how </t>
  </si>
  <si>
    <t xml:space="preserve">much you will use for each of the following two activities.  You reported that you would use </t>
  </si>
  <si>
    <t xml:space="preserve">To establish and make disbursements from the high cost fund to local educational agencies in accordance with 20 U.S.C. 1411(e)(3) during the first and succeeding fiscal years of the high cost fund. </t>
  </si>
  <si>
    <t>u.</t>
  </si>
  <si>
    <t>To support innovative and effective ways of cost sharing by the State, by an LEA, or among a consortium of LEAs, as determined by the State in coordination with representatives from LEAs, subject to 20 U.S.C. 1411(e)(3)(B)(ii) (Amount may not be more than 5% of the amount reserved for the LEA Risk Pool.)</t>
  </si>
  <si>
    <t>v.</t>
  </si>
  <si>
    <t>Establishment of High Cost Fund (20 U.S.C. 1411(e)(3)(B)(i) - A State shall not use any of the funds the State reserves pursuant to 20 U.S.C. 1411(e)(3)(A)(i), but may use the funds the State reserves under 20 U.S.C. 1411(e)(1), to establish and support the high cost fund.</t>
  </si>
  <si>
    <t xml:space="preserve">  Subtotal, High Cost Fund</t>
  </si>
  <si>
    <t>TABLE II</t>
  </si>
  <si>
    <t xml:space="preserve">          </t>
  </si>
  <si>
    <t>Administration</t>
  </si>
  <si>
    <t xml:space="preserve">You may revise any of the numbers you have provided for Administration up or down by up to 10 percent of the total amount that you </t>
  </si>
  <si>
    <t>reported for Adminstration</t>
  </si>
  <si>
    <t xml:space="preserve"> without the approval of the Office of Special Education Programs, subject to the</t>
  </si>
  <si>
    <t>following limitations:</t>
  </si>
  <si>
    <t>For Administration, you reported that you would use a total of ………………….………..…………………...………….…………</t>
  </si>
  <si>
    <t>You may not increase this amount above your maximum for Administration of.………..…………..…………….………</t>
  </si>
  <si>
    <t>If you set aside $850,000 or less for Administration in your approved Use of Funds</t>
  </si>
  <si>
    <t xml:space="preserve">proposal, but are proposing to increase this amount above $850,000, you must </t>
  </si>
  <si>
    <t>obtain approval from the Office of Special Education Programs.</t>
  </si>
  <si>
    <t>There are four specific Other State-Level Activities for which you may use a</t>
  </si>
  <si>
    <t xml:space="preserve">limited amount of the Administration funds shown above.  For these </t>
  </si>
  <si>
    <t xml:space="preserve">four activities, you indicated in your approved Use of Funds </t>
  </si>
  <si>
    <t>proposal that you would use a total of ……………………………………………………………...…………………………..</t>
  </si>
  <si>
    <t xml:space="preserve">For every dollar over </t>
  </si>
  <si>
    <t>but below</t>
  </si>
  <si>
    <t xml:space="preserve">that you set aside for Administration, you may set aside one </t>
  </si>
  <si>
    <t>dollar of your Administration funds for these four Other State-Level</t>
  </si>
  <si>
    <t>Activities.</t>
  </si>
  <si>
    <t>At the total level that you reported for Administration, you may use</t>
  </si>
  <si>
    <t xml:space="preserve">a maximum of </t>
  </si>
  <si>
    <t xml:space="preserve">of your Administration funding for </t>
  </si>
  <si>
    <t>these four activities.</t>
  </si>
  <si>
    <t>The four activities are:</t>
  </si>
  <si>
    <t xml:space="preserve">For support and direct services, including technical assistance, personnel </t>
  </si>
  <si>
    <t>preparation, and professional development and training.</t>
  </si>
  <si>
    <t xml:space="preserve">To assist local educational agencies in providing positive behavioral interventions </t>
  </si>
  <si>
    <t>and supports and appropriate mental health services for children with disabilities.</t>
  </si>
  <si>
    <t>To assist local educational agencies in meeting personnel shortages,</t>
  </si>
  <si>
    <t xml:space="preserve">To support capacity building activities and improve the delivery of services by </t>
  </si>
  <si>
    <t>local educational agencies to improve results for children with disabilities.</t>
  </si>
  <si>
    <t>Other State-Level Activities</t>
  </si>
  <si>
    <t>You may revise any of the numbers you have provided for Other State-Level Activities up or down by up to 10 percent</t>
  </si>
  <si>
    <t>of the total amount that you reported for Other State-Level Activities</t>
  </si>
  <si>
    <t>without the approval of the Office of Special Education Programs, subject to the following limitations:</t>
  </si>
  <si>
    <t>For Other State-Level Activities, you reported that you would use a total of ……………..……………….……………………………..………….……...……..</t>
  </si>
  <si>
    <t xml:space="preserve">You may not increase this amount above your maximum for Other </t>
  </si>
  <si>
    <t>State-Level Activities of.………………..……………………………………………………...………..…...……………</t>
  </si>
  <si>
    <t xml:space="preserve">For the Required Activity - For monitoring, enforcement, and complaint </t>
  </si>
  <si>
    <t>investigation - you must spend at least $1.</t>
  </si>
  <si>
    <t xml:space="preserve">For the Required Activity - To establish and implement the mediation process </t>
  </si>
  <si>
    <t xml:space="preserve">required by section 615(e) of the Individuals with Disabilities Education Act, </t>
  </si>
  <si>
    <t xml:space="preserve">including providing for the cost of mediators and support personnel - you must </t>
  </si>
  <si>
    <t>spend at least $1.</t>
  </si>
  <si>
    <t>Total Award</t>
  </si>
  <si>
    <t xml:space="preserve">  LEA Base Allocation</t>
  </si>
  <si>
    <t xml:space="preserve">  Maximum  Available for Administration</t>
  </si>
  <si>
    <t xml:space="preserve"> Maximum Other Set-Aside If ACTUAL Administration is Greater than $850,000 With Risk Pool </t>
  </si>
  <si>
    <t xml:space="preserve">Maximum Other Set-Aside If ACTUAL Administration is Greater than $850,000 Without Risk Pool </t>
  </si>
  <si>
    <t xml:space="preserve">Maximum Other Set-Aside If ACTUAL Administration is Less than or Equal to $850,000 With Risk Pool </t>
  </si>
  <si>
    <t>Maximum Other Set-Aside If ACTUAL Administration is Less than or Equal to $850,000 Without Risk Pool</t>
  </si>
  <si>
    <t xml:space="preserve">  July 1 to September 30 Regular Awards</t>
  </si>
  <si>
    <t xml:space="preserve">   Regular Awards After October 1</t>
  </si>
  <si>
    <t>A</t>
  </si>
  <si>
    <t>B</t>
  </si>
  <si>
    <t>C</t>
  </si>
  <si>
    <t>D</t>
  </si>
  <si>
    <t>E</t>
  </si>
  <si>
    <t>F</t>
  </si>
  <si>
    <t>G</t>
  </si>
  <si>
    <t>H</t>
  </si>
  <si>
    <t>I</t>
  </si>
  <si>
    <t>J</t>
  </si>
  <si>
    <t>TOTAL</t>
  </si>
  <si>
    <t>TABLE I</t>
  </si>
  <si>
    <t>Check</t>
  </si>
  <si>
    <t>Part 1:</t>
  </si>
  <si>
    <t>Part 2:</t>
  </si>
  <si>
    <t>ARRA:</t>
  </si>
  <si>
    <t>Other:</t>
  </si>
  <si>
    <t>Factor:</t>
  </si>
  <si>
    <t>Year:</t>
  </si>
  <si>
    <t>Dept of the Interior</t>
  </si>
  <si>
    <t>Freely Associated</t>
  </si>
  <si>
    <r>
      <t xml:space="preserve">NOTE: </t>
    </r>
    <r>
      <rPr>
        <sz val="11"/>
        <rFont val="Arial"/>
        <family val="2"/>
      </rPr>
      <t xml:space="preserve"> The minimum total amount that a State </t>
    </r>
    <r>
      <rPr>
        <b/>
        <sz val="11"/>
        <rFont val="Arial"/>
        <family val="2"/>
      </rPr>
      <t xml:space="preserve">must </t>
    </r>
    <r>
      <rPr>
        <sz val="11"/>
        <rFont val="Arial"/>
        <family val="2"/>
      </rPr>
      <t>pass on to LEAs (excluding funds in a risk pool) is the Total Award (in Column B) less the amount in available to the State for Admin (Column D), less the amount set-aside for other activities (in either Column E, F, G, or H). If a State establishes a risk pool, at least 10 Percent of the amount ACTUALLY set aside (under Column E or G) must be used for the risk pool.</t>
    </r>
  </si>
  <si>
    <t>Approved By:</t>
  </si>
  <si>
    <t>SERRAPAD Division Director (Bill Cordes - Acting)</t>
  </si>
  <si>
    <t>Date</t>
  </si>
  <si>
    <t>Preparing Analyst (John English)</t>
  </si>
  <si>
    <t>PB 2021 (Nov 2019)</t>
  </si>
  <si>
    <t>Preparing Analyst (Steven Byrd)</t>
  </si>
  <si>
    <t>Reviewing Analyst (Justis Tuia)</t>
  </si>
  <si>
    <t>2021 RPLA</t>
  </si>
  <si>
    <t>2021 RPHA</t>
  </si>
  <si>
    <t>2021 LA</t>
  </si>
  <si>
    <t>2021 HA</t>
  </si>
  <si>
    <t>Formula grants to States</t>
  </si>
  <si>
    <t>Formula grants to OAs</t>
  </si>
  <si>
    <t>Grants to Freely Associated</t>
  </si>
  <si>
    <t>Departent of Interior</t>
  </si>
  <si>
    <t>2023 RPLA</t>
  </si>
  <si>
    <t>2023 RPHA</t>
  </si>
  <si>
    <t>2023 LA</t>
  </si>
  <si>
    <t>2023 HA</t>
  </si>
  <si>
    <t>2024 RPLA</t>
  </si>
  <si>
    <t>2024 RPHA</t>
  </si>
  <si>
    <t>2024 LA</t>
  </si>
  <si>
    <t>2024 HA</t>
  </si>
  <si>
    <t>2025 RPLA</t>
  </si>
  <si>
    <t>2025 RPHA</t>
  </si>
  <si>
    <t>2025 LA</t>
  </si>
  <si>
    <t>2025 HA</t>
  </si>
  <si>
    <t>Consumer Price Index Historical Tables for U.S. City Average : Mid–Atlantic Information Office : U.S. Bureau of Labor Statistics</t>
  </si>
  <si>
    <t>27-28</t>
  </si>
  <si>
    <t>28-29</t>
  </si>
  <si>
    <t>29-30</t>
  </si>
  <si>
    <t>2026 RPLA</t>
  </si>
  <si>
    <t>2026 RPHA</t>
  </si>
  <si>
    <t>2026 LA</t>
  </si>
  <si>
    <t>2026 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</si>
</sst>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5" formatCode="&quot;$&quot;#,##0_);\(&quot;$&quot;#,##0\)"/>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0.000"/>
    <numFmt numFmtId="167" formatCode="#,##0.0"/>
    <numFmt numFmtId="168" formatCode=";;;"/>
    <numFmt numFmtId="169" formatCode="0.000%"/>
    <numFmt numFmtId="170" formatCode="0.000"/>
    <numFmt numFmtId="171" formatCode="0.0000%"/>
    <numFmt numFmtId="172" formatCode="0.0%"/>
    <numFmt numFmtId="173" formatCode="mm/dd/yy"/>
    <numFmt numFmtId="174" formatCode="_(&quot;$&quot;* #,##0_);_(&quot;$&quot;* \(#,##0\);_(&quot;$&quot;* &quot;-&quot;??_);_(@_)"/>
    <numFmt numFmtId="175" formatCode="_(* #,##0_);_(* \(#,##0\);_(* &quot;-&quot;??_);_(@_)"/>
    <numFmt numFmtId="176" formatCode="0.0"/>
    <numFmt numFmtId="177" formatCode="0.00000000000000%"/>
    <numFmt numFmtId="178" formatCode="_(* #,##0.000000000_);_(* \(#,##0.000000000\);_(* &quot;-&quot;??_);_(@_)"/>
    <numFmt numFmtId="179" formatCode="_(* #,##0.000000_);_(* \(#,##0.000000\);_(* &quot;-&quot;??_);_(@_)"/>
    <numFmt numFmtId="180" formatCode="_(* #,##0.00000000_);_(* \(#,##0.00000000\);_(* &quot;-&quot;??_);_(@_)"/>
  </numFmts>
  <fonts count="33" x14ac:knownFonts="1">
    <font>
      <sz val="10"/>
      <name val="Arial"/>
    </font>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b/>
      <sz val="8"/>
      <color indexed="81"/>
      <name val="Tahoma"/>
      <family val="2"/>
    </font>
    <font>
      <sz val="8"/>
      <color indexed="81"/>
      <name val="Tahoma"/>
      <family val="2"/>
    </font>
    <font>
      <b/>
      <sz val="10"/>
      <name val="Arial"/>
      <family val="2"/>
    </font>
    <font>
      <sz val="10"/>
      <name val="Arial"/>
      <family val="2"/>
    </font>
    <font>
      <b/>
      <sz val="12"/>
      <name val="Times New Roman"/>
      <family val="1"/>
    </font>
    <font>
      <sz val="12"/>
      <name val="Times New Roman"/>
      <family val="1"/>
    </font>
    <font>
      <u/>
      <sz val="12"/>
      <name val="Times New Roman"/>
      <family val="1"/>
    </font>
    <font>
      <b/>
      <sz val="10"/>
      <name val="Courier New"/>
      <family val="3"/>
      <charset val="204"/>
    </font>
    <font>
      <sz val="10"/>
      <name val="Courier New"/>
      <family val="3"/>
    </font>
    <font>
      <b/>
      <sz val="10"/>
      <name val="Courier New"/>
      <family val="3"/>
    </font>
    <font>
      <b/>
      <sz val="16"/>
      <name val="Arial"/>
      <family val="2"/>
    </font>
    <font>
      <sz val="16"/>
      <name val="Arial"/>
      <family val="2"/>
    </font>
    <font>
      <i/>
      <sz val="10"/>
      <name val="Arial"/>
      <family val="2"/>
    </font>
    <font>
      <b/>
      <sz val="11"/>
      <name val="Arial"/>
      <family val="2"/>
    </font>
    <font>
      <b/>
      <sz val="13"/>
      <name val="Arial"/>
      <family val="2"/>
    </font>
    <font>
      <sz val="11"/>
      <name val="Arial"/>
      <family val="2"/>
    </font>
    <font>
      <sz val="18"/>
      <name val="Arial"/>
      <family val="2"/>
    </font>
    <font>
      <sz val="9"/>
      <color indexed="81"/>
      <name val="Tahoma"/>
      <family val="2"/>
    </font>
    <font>
      <b/>
      <sz val="9"/>
      <color indexed="81"/>
      <name val="Tahoma"/>
      <family val="2"/>
    </font>
    <font>
      <sz val="10"/>
      <color rgb="FFFF0000"/>
      <name val="Arial"/>
      <family val="2"/>
    </font>
    <font>
      <sz val="11"/>
      <name val="Calibri"/>
      <family val="2"/>
      <scheme val="minor"/>
    </font>
    <font>
      <u/>
      <sz val="11"/>
      <color theme="10"/>
      <name val="Calibri"/>
      <family val="2"/>
      <scheme val="minor"/>
    </font>
    <font>
      <sz val="12"/>
      <color theme="1"/>
      <name val="Times New Roman"/>
      <family val="1"/>
    </font>
    <font>
      <sz val="8"/>
      <name val="Arial"/>
      <family val="2"/>
    </font>
    <font>
      <sz val="10"/>
      <color theme="0"/>
      <name val="Arial"/>
      <family val="2"/>
    </font>
    <font>
      <b/>
      <sz val="10"/>
      <color theme="0"/>
      <name val="Arial"/>
      <family val="2"/>
    </font>
    <font>
      <b/>
      <sz val="14"/>
      <name val="Arial"/>
      <family val="2"/>
    </font>
  </fonts>
  <fills count="19">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10"/>
        <bgColor indexed="64"/>
      </patternFill>
    </fill>
    <fill>
      <patternFill patternType="solid">
        <fgColor indexed="22"/>
        <bgColor indexed="64"/>
      </patternFill>
    </fill>
    <fill>
      <patternFill patternType="solid">
        <fgColor indexed="9"/>
        <bgColor indexed="64"/>
      </patternFill>
    </fill>
    <fill>
      <patternFill patternType="gray0625"/>
    </fill>
    <fill>
      <patternFill patternType="solid">
        <fgColor theme="2" tint="-0.499984740745262"/>
        <bgColor indexed="64"/>
      </patternFill>
    </fill>
    <fill>
      <patternFill patternType="solid">
        <fgColor rgb="FF92D050"/>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bgColor indexed="64"/>
      </patternFill>
    </fill>
    <fill>
      <patternFill patternType="solid">
        <fgColor rgb="FF66FFFF"/>
        <bgColor indexed="64"/>
      </patternFill>
    </fill>
    <fill>
      <patternFill patternType="solid">
        <fgColor rgb="FF00B0F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8" tint="0.59999389629810485"/>
        <bgColor indexed="64"/>
      </patternFill>
    </fill>
  </fills>
  <borders count="37">
    <border>
      <left/>
      <right/>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double">
        <color indexed="64"/>
      </bottom>
      <diagonal/>
    </border>
    <border>
      <left/>
      <right style="thin">
        <color indexed="64"/>
      </right>
      <top/>
      <bottom/>
      <diagonal/>
    </border>
    <border>
      <left/>
      <right/>
      <top style="thin">
        <color indexed="64"/>
      </top>
      <bottom style="medium">
        <color indexed="64"/>
      </bottom>
      <diagonal/>
    </border>
    <border>
      <left/>
      <right/>
      <top style="thin">
        <color indexed="64"/>
      </top>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right/>
      <top style="thin">
        <color auto="1"/>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double">
        <color indexed="64"/>
      </left>
      <right style="thin">
        <color indexed="64"/>
      </right>
      <top/>
      <bottom style="double">
        <color indexed="64"/>
      </bottom>
      <diagonal/>
    </border>
  </borders>
  <cellStyleXfs count="13">
    <xf numFmtId="0" fontId="0" fillId="0" borderId="0"/>
    <xf numFmtId="43" fontId="3" fillId="0" borderId="0" applyFont="0" applyFill="0" applyBorder="0" applyAlignment="0" applyProtection="0"/>
    <xf numFmtId="44" fontId="3" fillId="0" borderId="0" applyFont="0" applyFill="0" applyBorder="0" applyAlignment="0" applyProtection="0"/>
    <xf numFmtId="167" fontId="11" fillId="0" borderId="0"/>
    <xf numFmtId="9" fontId="3" fillId="0" borderId="0" applyFont="0" applyFill="0" applyBorder="0" applyAlignment="0" applyProtection="0"/>
    <xf numFmtId="167" fontId="11"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167" fontId="28" fillId="0" borderId="0"/>
    <xf numFmtId="0" fontId="1" fillId="0" borderId="0"/>
  </cellStyleXfs>
  <cellXfs count="298">
    <xf numFmtId="0" fontId="0" fillId="0" borderId="0" xfId="0"/>
    <xf numFmtId="0" fontId="4" fillId="0" borderId="1" xfId="0" applyFont="1" applyBorder="1"/>
    <xf numFmtId="0" fontId="5" fillId="0" borderId="1" xfId="0" quotePrefix="1" applyFont="1" applyBorder="1" applyAlignment="1">
      <alignment horizontal="center"/>
    </xf>
    <xf numFmtId="0" fontId="5" fillId="0" borderId="1" xfId="0" applyFont="1" applyBorder="1" applyAlignment="1">
      <alignment horizontal="center"/>
    </xf>
    <xf numFmtId="0" fontId="5" fillId="0" borderId="0" xfId="0" applyFont="1"/>
    <xf numFmtId="164" fontId="5" fillId="0" borderId="0" xfId="0" applyNumberFormat="1" applyFont="1"/>
    <xf numFmtId="5" fontId="4" fillId="0" borderId="1" xfId="0" applyNumberFormat="1" applyFont="1" applyBorder="1"/>
    <xf numFmtId="164" fontId="5" fillId="0" borderId="1" xfId="0" applyNumberFormat="1" applyFont="1" applyBorder="1"/>
    <xf numFmtId="164" fontId="0" fillId="0" borderId="0" xfId="0" applyNumberFormat="1"/>
    <xf numFmtId="0" fontId="0" fillId="2" borderId="0" xfId="0" applyFill="1"/>
    <xf numFmtId="1" fontId="12" fillId="0" borderId="0" xfId="3" applyNumberFormat="1" applyFont="1"/>
    <xf numFmtId="167" fontId="11" fillId="0" borderId="0" xfId="3"/>
    <xf numFmtId="171" fontId="0" fillId="0" borderId="0" xfId="4" applyNumberFormat="1" applyFont="1"/>
    <xf numFmtId="0" fontId="13" fillId="0" borderId="1" xfId="0" applyFont="1" applyBorder="1" applyAlignment="1">
      <alignment horizontal="left" vertical="center"/>
    </xf>
    <xf numFmtId="0" fontId="13" fillId="0" borderId="1" xfId="0" applyFont="1" applyBorder="1" applyAlignment="1">
      <alignment horizontal="right" vertical="center"/>
    </xf>
    <xf numFmtId="0" fontId="14" fillId="0" borderId="0" xfId="0" applyFont="1"/>
    <xf numFmtId="3" fontId="14" fillId="0" borderId="0" xfId="0" applyNumberFormat="1" applyFont="1"/>
    <xf numFmtId="0" fontId="8" fillId="0" borderId="0" xfId="0" applyFont="1"/>
    <xf numFmtId="167" fontId="11" fillId="3" borderId="4" xfId="3" applyFill="1" applyBorder="1"/>
    <xf numFmtId="169" fontId="0" fillId="3" borderId="4" xfId="4" applyNumberFormat="1" applyFont="1" applyFill="1" applyBorder="1"/>
    <xf numFmtId="0" fontId="15" fillId="0" borderId="0" xfId="0" applyFont="1" applyAlignment="1">
      <alignment horizontal="left" vertical="center"/>
    </xf>
    <xf numFmtId="0" fontId="15" fillId="0" borderId="0" xfId="0" applyFont="1" applyAlignment="1">
      <alignment horizontal="right" vertical="center"/>
    </xf>
    <xf numFmtId="0" fontId="14" fillId="0" borderId="7" xfId="0" applyFont="1" applyBorder="1" applyAlignment="1">
      <alignment horizontal="right"/>
    </xf>
    <xf numFmtId="0" fontId="14" fillId="0" borderId="0" xfId="0" applyFont="1" applyAlignment="1">
      <alignment horizontal="right"/>
    </xf>
    <xf numFmtId="0" fontId="13" fillId="0" borderId="0" xfId="0" applyFont="1"/>
    <xf numFmtId="0" fontId="14" fillId="0" borderId="0" xfId="0" applyFont="1" applyAlignment="1">
      <alignment wrapText="1"/>
    </xf>
    <xf numFmtId="49" fontId="14" fillId="0" borderId="0" xfId="0" applyNumberFormat="1" applyFont="1"/>
    <xf numFmtId="0" fontId="12" fillId="0" borderId="0" xfId="3" applyNumberFormat="1" applyFont="1"/>
    <xf numFmtId="174" fontId="3" fillId="0" borderId="0" xfId="2" applyNumberFormat="1"/>
    <xf numFmtId="174" fontId="3" fillId="0" borderId="0" xfId="2" applyNumberFormat="1" applyFont="1"/>
    <xf numFmtId="174" fontId="3" fillId="2" borderId="0" xfId="2" applyNumberFormat="1" applyFill="1"/>
    <xf numFmtId="174" fontId="0" fillId="0" borderId="0" xfId="2" applyNumberFormat="1" applyFont="1"/>
    <xf numFmtId="174" fontId="3" fillId="2" borderId="0" xfId="2" applyNumberFormat="1" applyFont="1" applyFill="1"/>
    <xf numFmtId="174" fontId="0" fillId="2" borderId="0" xfId="2" applyNumberFormat="1" applyFont="1" applyFill="1"/>
    <xf numFmtId="177" fontId="0" fillId="0" borderId="0" xfId="0" applyNumberFormat="1"/>
    <xf numFmtId="0" fontId="17" fillId="0" borderId="0" xfId="0" applyFont="1"/>
    <xf numFmtId="0" fontId="3" fillId="0" borderId="0" xfId="0" applyFont="1"/>
    <xf numFmtId="164" fontId="8" fillId="0" borderId="0" xfId="0" applyNumberFormat="1" applyFont="1"/>
    <xf numFmtId="0" fontId="16" fillId="6" borderId="0" xfId="0" applyFont="1" applyFill="1" applyAlignment="1">
      <alignment horizontal="right"/>
    </xf>
    <xf numFmtId="0" fontId="16" fillId="6" borderId="0" xfId="0" applyFont="1" applyFill="1" applyAlignment="1">
      <alignment horizontal="left"/>
    </xf>
    <xf numFmtId="0" fontId="8" fillId="6" borderId="0" xfId="0" applyFont="1" applyFill="1" applyAlignment="1">
      <alignment horizontal="center" vertical="top"/>
    </xf>
    <xf numFmtId="164" fontId="8" fillId="6" borderId="0" xfId="0" applyNumberFormat="1" applyFont="1" applyFill="1"/>
    <xf numFmtId="0" fontId="8" fillId="6" borderId="0" xfId="0" applyFont="1" applyFill="1"/>
    <xf numFmtId="164" fontId="8" fillId="6" borderId="0" xfId="0" quotePrefix="1" applyNumberFormat="1" applyFont="1" applyFill="1"/>
    <xf numFmtId="44" fontId="14" fillId="0" borderId="0" xfId="2" applyFont="1" applyBorder="1" applyAlignment="1">
      <alignment horizontal="right"/>
    </xf>
    <xf numFmtId="44" fontId="14" fillId="0" borderId="0" xfId="2" applyFont="1" applyAlignment="1"/>
    <xf numFmtId="0" fontId="9" fillId="0" borderId="0" xfId="0" applyFont="1"/>
    <xf numFmtId="173" fontId="8" fillId="0" borderId="0" xfId="0" applyNumberFormat="1" applyFont="1"/>
    <xf numFmtId="0" fontId="8" fillId="0" borderId="10" xfId="0" applyFont="1" applyBorder="1"/>
    <xf numFmtId="49" fontId="9" fillId="0" borderId="12" xfId="0" applyNumberFormat="1" applyFont="1" applyBorder="1" applyAlignment="1">
      <alignment horizontal="left" wrapText="1"/>
    </xf>
    <xf numFmtId="0" fontId="18" fillId="0" borderId="0" xfId="0" applyFont="1"/>
    <xf numFmtId="44" fontId="0" fillId="0" borderId="0" xfId="2" applyFont="1"/>
    <xf numFmtId="6" fontId="21" fillId="5" borderId="1" xfId="0" applyNumberFormat="1" applyFont="1" applyFill="1" applyBorder="1"/>
    <xf numFmtId="0" fontId="19" fillId="3" borderId="14" xfId="0" applyFont="1" applyFill="1" applyBorder="1" applyAlignment="1">
      <alignment horizontal="center" vertical="center"/>
    </xf>
    <xf numFmtId="0" fontId="19" fillId="3" borderId="15" xfId="0" applyFont="1" applyFill="1" applyBorder="1" applyAlignment="1">
      <alignment horizontal="center" vertical="center" wrapText="1"/>
    </xf>
    <xf numFmtId="0" fontId="19" fillId="0" borderId="16" xfId="0" applyFont="1" applyBorder="1"/>
    <xf numFmtId="3" fontId="21" fillId="0" borderId="0" xfId="0" applyNumberFormat="1" applyFont="1"/>
    <xf numFmtId="175" fontId="21" fillId="0" borderId="0" xfId="1" applyNumberFormat="1" applyFont="1" applyBorder="1"/>
    <xf numFmtId="175" fontId="21" fillId="0" borderId="17" xfId="1" applyNumberFormat="1" applyFont="1" applyBorder="1"/>
    <xf numFmtId="0" fontId="19" fillId="5" borderId="16" xfId="0" applyFont="1" applyFill="1" applyBorder="1"/>
    <xf numFmtId="3" fontId="21" fillId="5" borderId="0" xfId="0" applyNumberFormat="1" applyFont="1" applyFill="1"/>
    <xf numFmtId="175" fontId="21" fillId="5" borderId="0" xfId="1" applyNumberFormat="1" applyFont="1" applyFill="1" applyBorder="1"/>
    <xf numFmtId="175" fontId="21" fillId="5" borderId="17" xfId="1" applyNumberFormat="1" applyFont="1" applyFill="1" applyBorder="1"/>
    <xf numFmtId="0" fontId="19" fillId="7" borderId="16" xfId="0" applyFont="1" applyFill="1" applyBorder="1"/>
    <xf numFmtId="0" fontId="21" fillId="7" borderId="0" xfId="0" applyFont="1" applyFill="1"/>
    <xf numFmtId="0" fontId="0" fillId="7" borderId="0" xfId="0" applyFill="1"/>
    <xf numFmtId="175" fontId="21" fillId="7" borderId="0" xfId="1" applyNumberFormat="1" applyFont="1" applyFill="1" applyBorder="1"/>
    <xf numFmtId="175" fontId="21" fillId="7" borderId="17" xfId="1" applyNumberFormat="1" applyFont="1" applyFill="1" applyBorder="1"/>
    <xf numFmtId="17" fontId="11" fillId="0" borderId="0" xfId="3" applyNumberFormat="1"/>
    <xf numFmtId="0" fontId="11" fillId="0" borderId="0" xfId="3" applyNumberFormat="1"/>
    <xf numFmtId="176" fontId="11" fillId="9" borderId="0" xfId="3" applyNumberFormat="1" applyFill="1"/>
    <xf numFmtId="171" fontId="0" fillId="0" borderId="0" xfId="4" applyNumberFormat="1" applyFont="1" applyBorder="1"/>
    <xf numFmtId="165" fontId="0" fillId="0" borderId="0" xfId="0" applyNumberFormat="1"/>
    <xf numFmtId="174" fontId="3" fillId="0" borderId="0" xfId="2" applyNumberFormat="1" applyFont="1" applyFill="1" applyBorder="1"/>
    <xf numFmtId="174" fontId="3" fillId="0" borderId="0" xfId="2" applyNumberFormat="1" applyFont="1" applyBorder="1"/>
    <xf numFmtId="174" fontId="0" fillId="2" borderId="0" xfId="2" applyNumberFormat="1" applyFont="1" applyFill="1" applyBorder="1"/>
    <xf numFmtId="0" fontId="5" fillId="10" borderId="1" xfId="0" applyFont="1" applyFill="1" applyBorder="1" applyAlignment="1">
      <alignment horizontal="center"/>
    </xf>
    <xf numFmtId="164" fontId="5" fillId="10" borderId="1" xfId="0" applyNumberFormat="1" applyFont="1" applyFill="1" applyBorder="1"/>
    <xf numFmtId="43" fontId="0" fillId="0" borderId="0" xfId="1" applyFont="1"/>
    <xf numFmtId="0" fontId="0" fillId="11" borderId="0" xfId="0" applyFill="1"/>
    <xf numFmtId="0" fontId="19" fillId="8" borderId="24" xfId="0" applyFont="1" applyFill="1" applyBorder="1" applyAlignment="1">
      <alignment horizontal="center" vertical="center" wrapText="1"/>
    </xf>
    <xf numFmtId="6" fontId="21" fillId="5" borderId="25" xfId="0" applyNumberFormat="1" applyFont="1" applyFill="1" applyBorder="1"/>
    <xf numFmtId="170" fontId="0" fillId="0" borderId="0" xfId="0" applyNumberFormat="1"/>
    <xf numFmtId="49" fontId="3" fillId="0" borderId="12" xfId="0" applyNumberFormat="1" applyFont="1" applyBorder="1" applyAlignment="1">
      <alignment horizontal="left" wrapText="1"/>
    </xf>
    <xf numFmtId="0" fontId="0" fillId="11" borderId="27" xfId="0" applyFill="1" applyBorder="1"/>
    <xf numFmtId="0" fontId="0" fillId="11" borderId="28" xfId="0" applyFill="1" applyBorder="1"/>
    <xf numFmtId="0" fontId="21" fillId="11" borderId="0" xfId="0" applyFont="1" applyFill="1" applyAlignment="1">
      <alignment wrapText="1"/>
    </xf>
    <xf numFmtId="0" fontId="21" fillId="11" borderId="26" xfId="0" applyFont="1" applyFill="1" applyBorder="1" applyAlignment="1">
      <alignment wrapText="1"/>
    </xf>
    <xf numFmtId="0" fontId="21" fillId="11" borderId="13" xfId="0" applyFont="1" applyFill="1" applyBorder="1" applyAlignment="1">
      <alignment wrapText="1"/>
    </xf>
    <xf numFmtId="0" fontId="21" fillId="11" borderId="9" xfId="0" applyFont="1" applyFill="1" applyBorder="1" applyAlignment="1">
      <alignment wrapText="1"/>
    </xf>
    <xf numFmtId="0" fontId="0" fillId="11" borderId="6" xfId="0" applyFill="1" applyBorder="1"/>
    <xf numFmtId="0" fontId="0" fillId="11" borderId="30" xfId="0" applyFill="1" applyBorder="1"/>
    <xf numFmtId="0" fontId="19" fillId="8" borderId="31" xfId="0" applyFont="1" applyFill="1" applyBorder="1" applyAlignment="1">
      <alignment horizontal="center" vertical="center"/>
    </xf>
    <xf numFmtId="0" fontId="19" fillId="5" borderId="31" xfId="0" applyFont="1" applyFill="1" applyBorder="1"/>
    <xf numFmtId="0" fontId="22" fillId="11" borderId="29" xfId="0" applyFont="1" applyFill="1" applyBorder="1"/>
    <xf numFmtId="0" fontId="22" fillId="11" borderId="6" xfId="0" applyFont="1" applyFill="1" applyBorder="1"/>
    <xf numFmtId="0" fontId="22" fillId="11" borderId="0" xfId="0" applyFont="1" applyFill="1"/>
    <xf numFmtId="174" fontId="3" fillId="0" borderId="0" xfId="2" applyNumberFormat="1" applyFill="1"/>
    <xf numFmtId="171" fontId="0" fillId="0" borderId="0" xfId="4" applyNumberFormat="1" applyFont="1" applyFill="1"/>
    <xf numFmtId="174" fontId="25" fillId="0" borderId="0" xfId="2" applyNumberFormat="1" applyFont="1" applyFill="1" applyBorder="1" applyAlignment="1"/>
    <xf numFmtId="172" fontId="25" fillId="0" borderId="0" xfId="0" applyNumberFormat="1" applyFont="1"/>
    <xf numFmtId="10" fontId="25" fillId="0" borderId="0" xfId="0" applyNumberFormat="1" applyFont="1"/>
    <xf numFmtId="172" fontId="25" fillId="0" borderId="12" xfId="0" applyNumberFormat="1" applyFont="1" applyBorder="1"/>
    <xf numFmtId="44" fontId="25" fillId="0" borderId="0" xfId="2" applyFont="1" applyFill="1" applyBorder="1" applyAlignment="1"/>
    <xf numFmtId="175" fontId="25" fillId="0" borderId="0" xfId="1" applyNumberFormat="1" applyFont="1" applyFill="1" applyBorder="1"/>
    <xf numFmtId="164" fontId="25" fillId="0" borderId="0" xfId="0" applyNumberFormat="1" applyFont="1"/>
    <xf numFmtId="44" fontId="25" fillId="0" borderId="0" xfId="1" applyNumberFormat="1" applyFont="1" applyFill="1" applyBorder="1" applyAlignment="1"/>
    <xf numFmtId="44" fontId="25" fillId="0" borderId="0" xfId="1" applyNumberFormat="1" applyFont="1" applyFill="1" applyBorder="1"/>
    <xf numFmtId="44" fontId="25" fillId="0" borderId="12" xfId="1" applyNumberFormat="1" applyFont="1" applyFill="1" applyBorder="1"/>
    <xf numFmtId="164" fontId="0" fillId="4" borderId="0" xfId="0" applyNumberFormat="1" applyFill="1"/>
    <xf numFmtId="164" fontId="0" fillId="3" borderId="0" xfId="0" applyNumberFormat="1" applyFill="1"/>
    <xf numFmtId="0" fontId="0" fillId="0" borderId="12" xfId="0" applyBorder="1"/>
    <xf numFmtId="164" fontId="0" fillId="0" borderId="12" xfId="0" applyNumberFormat="1" applyBorder="1"/>
    <xf numFmtId="174" fontId="3" fillId="12" borderId="2" xfId="2" applyNumberFormat="1" applyFont="1" applyFill="1" applyBorder="1"/>
    <xf numFmtId="0" fontId="0" fillId="12" borderId="2" xfId="0" applyFill="1" applyBorder="1"/>
    <xf numFmtId="0" fontId="0" fillId="12" borderId="3" xfId="0" applyFill="1" applyBorder="1"/>
    <xf numFmtId="169" fontId="25" fillId="0" borderId="0" xfId="0" applyNumberFormat="1" applyFont="1"/>
    <xf numFmtId="169" fontId="25" fillId="0" borderId="12" xfId="0" applyNumberFormat="1" applyFont="1" applyBorder="1"/>
    <xf numFmtId="169" fontId="0" fillId="0" borderId="0" xfId="0" applyNumberFormat="1"/>
    <xf numFmtId="174" fontId="0" fillId="0" borderId="0" xfId="0" applyNumberFormat="1"/>
    <xf numFmtId="164" fontId="0" fillId="0" borderId="0" xfId="2" applyNumberFormat="1" applyFont="1"/>
    <xf numFmtId="0" fontId="19" fillId="0" borderId="36" xfId="0" applyFont="1" applyBorder="1"/>
    <xf numFmtId="175" fontId="21" fillId="0" borderId="23" xfId="1" applyNumberFormat="1" applyFont="1" applyFill="1" applyBorder="1"/>
    <xf numFmtId="175" fontId="21" fillId="5" borderId="1" xfId="0" applyNumberFormat="1" applyFont="1" applyFill="1" applyBorder="1"/>
    <xf numFmtId="44" fontId="0" fillId="0" borderId="0" xfId="0" applyNumberFormat="1"/>
    <xf numFmtId="43" fontId="3" fillId="0" borderId="0" xfId="0" applyNumberFormat="1" applyFont="1" applyAlignment="1">
      <alignment wrapText="1"/>
    </xf>
    <xf numFmtId="0" fontId="3" fillId="0" borderId="0" xfId="0" quotePrefix="1" applyFont="1" applyAlignment="1">
      <alignment horizontal="center"/>
    </xf>
    <xf numFmtId="167" fontId="11" fillId="9" borderId="0" xfId="5" applyFill="1"/>
    <xf numFmtId="166" fontId="11" fillId="9" borderId="0" xfId="5" applyNumberFormat="1" applyFill="1"/>
    <xf numFmtId="164" fontId="3" fillId="12" borderId="12" xfId="0" applyNumberFormat="1" applyFont="1" applyFill="1" applyBorder="1"/>
    <xf numFmtId="0" fontId="0" fillId="0" borderId="8" xfId="0" applyBorder="1"/>
    <xf numFmtId="174" fontId="3" fillId="0" borderId="5" xfId="2" applyNumberFormat="1" applyFont="1" applyFill="1" applyBorder="1"/>
    <xf numFmtId="0" fontId="5" fillId="0" borderId="34" xfId="0" applyFont="1" applyBorder="1" applyAlignment="1">
      <alignment horizontal="center"/>
    </xf>
    <xf numFmtId="178" fontId="0" fillId="0" borderId="0" xfId="0" applyNumberFormat="1" applyAlignment="1">
      <alignment wrapText="1"/>
    </xf>
    <xf numFmtId="0" fontId="3" fillId="0" borderId="0" xfId="0" applyFont="1" applyAlignment="1">
      <alignment horizontal="center"/>
    </xf>
    <xf numFmtId="164" fontId="3" fillId="12" borderId="0" xfId="0" applyNumberFormat="1" applyFont="1" applyFill="1"/>
    <xf numFmtId="44" fontId="25" fillId="0" borderId="12" xfId="2" applyFont="1" applyFill="1" applyBorder="1" applyAlignment="1"/>
    <xf numFmtId="180" fontId="0" fillId="0" borderId="0" xfId="1" applyNumberFormat="1" applyFont="1"/>
    <xf numFmtId="164" fontId="3" fillId="0" borderId="0" xfId="0" applyNumberFormat="1" applyFont="1"/>
    <xf numFmtId="44" fontId="0" fillId="0" borderId="0" xfId="2" applyFont="1" applyBorder="1"/>
    <xf numFmtId="179" fontId="0" fillId="0" borderId="0" xfId="1" applyNumberFormat="1" applyFont="1" applyBorder="1"/>
    <xf numFmtId="0" fontId="0" fillId="14" borderId="0" xfId="0" applyFill="1"/>
    <xf numFmtId="174" fontId="3" fillId="14" borderId="0" xfId="2" applyNumberFormat="1" applyFill="1"/>
    <xf numFmtId="168" fontId="11" fillId="0" borderId="0" xfId="3" applyNumberFormat="1"/>
    <xf numFmtId="0" fontId="5" fillId="0" borderId="0" xfId="0" applyFont="1" applyAlignment="1">
      <alignment horizontal="center"/>
    </xf>
    <xf numFmtId="171" fontId="0" fillId="0" borderId="0" xfId="4" applyNumberFormat="1" applyFont="1" applyFill="1" applyBorder="1"/>
    <xf numFmtId="174" fontId="5" fillId="0" borderId="0" xfId="2" applyNumberFormat="1" applyFont="1" applyFill="1" applyBorder="1" applyProtection="1"/>
    <xf numFmtId="174" fontId="5" fillId="0" borderId="1" xfId="2" applyNumberFormat="1" applyFont="1" applyFill="1" applyBorder="1" applyProtection="1"/>
    <xf numFmtId="174" fontId="0" fillId="13" borderId="0" xfId="2" applyNumberFormat="1" applyFont="1" applyFill="1" applyBorder="1"/>
    <xf numFmtId="0" fontId="27" fillId="0" borderId="0" xfId="10"/>
    <xf numFmtId="166" fontId="11" fillId="0" borderId="0" xfId="5" applyNumberFormat="1"/>
    <xf numFmtId="164" fontId="5" fillId="0" borderId="32" xfId="0" applyNumberFormat="1" applyFont="1" applyBorder="1"/>
    <xf numFmtId="164" fontId="5" fillId="0" borderId="34" xfId="0" applyNumberFormat="1" applyFont="1" applyBorder="1"/>
    <xf numFmtId="0" fontId="0" fillId="15" borderId="0" xfId="0" applyFill="1"/>
    <xf numFmtId="174" fontId="3" fillId="15" borderId="0" xfId="2" applyNumberFormat="1" applyFill="1"/>
    <xf numFmtId="164" fontId="5" fillId="0" borderId="0" xfId="2" applyNumberFormat="1" applyFont="1" applyFill="1" applyBorder="1"/>
    <xf numFmtId="164" fontId="5" fillId="0" borderId="0" xfId="2" applyNumberFormat="1" applyFont="1" applyFill="1"/>
    <xf numFmtId="174" fontId="5" fillId="0" borderId="32" xfId="2" applyNumberFormat="1" applyFont="1" applyFill="1" applyBorder="1" applyProtection="1"/>
    <xf numFmtId="174" fontId="5" fillId="0" borderId="34" xfId="2" applyNumberFormat="1" applyFont="1" applyFill="1" applyBorder="1" applyProtection="1"/>
    <xf numFmtId="0" fontId="10" fillId="0" borderId="0" xfId="3" applyNumberFormat="1" applyFont="1" applyAlignment="1">
      <alignment horizontal="centerContinuous"/>
    </xf>
    <xf numFmtId="0" fontId="11" fillId="0" borderId="0" xfId="3" applyNumberFormat="1" applyAlignment="1">
      <alignment horizontal="centerContinuous"/>
    </xf>
    <xf numFmtId="14" fontId="3" fillId="0" borderId="9" xfId="0" applyNumberFormat="1" applyFont="1" applyBorder="1"/>
    <xf numFmtId="0" fontId="3" fillId="0" borderId="11" xfId="0" applyFont="1" applyBorder="1"/>
    <xf numFmtId="49" fontId="3" fillId="0" borderId="0" xfId="0" applyNumberFormat="1" applyFont="1" applyAlignment="1">
      <alignment horizontal="left" wrapText="1"/>
    </xf>
    <xf numFmtId="174" fontId="3" fillId="12" borderId="0" xfId="2" applyNumberFormat="1" applyFont="1" applyFill="1" applyBorder="1" applyAlignment="1"/>
    <xf numFmtId="174" fontId="3" fillId="0" borderId="0" xfId="2" applyNumberFormat="1" applyFont="1" applyFill="1" applyBorder="1" applyAlignment="1"/>
    <xf numFmtId="165" fontId="3" fillId="0" borderId="0" xfId="0" applyNumberFormat="1" applyFont="1"/>
    <xf numFmtId="172" fontId="3" fillId="0" borderId="0" xfId="0" applyNumberFormat="1" applyFont="1"/>
    <xf numFmtId="3" fontId="3" fillId="0" borderId="0" xfId="0" applyNumberFormat="1" applyFont="1" applyAlignment="1">
      <alignment horizontal="center"/>
    </xf>
    <xf numFmtId="175" fontId="3" fillId="12" borderId="0" xfId="1" applyNumberFormat="1" applyFont="1" applyFill="1" applyBorder="1" applyAlignment="1"/>
    <xf numFmtId="174" fontId="3" fillId="12" borderId="0" xfId="2" applyNumberFormat="1" applyFont="1" applyFill="1" applyBorder="1"/>
    <xf numFmtId="175" fontId="3" fillId="12" borderId="0" xfId="1" applyNumberFormat="1" applyFont="1" applyFill="1" applyBorder="1"/>
    <xf numFmtId="10" fontId="3" fillId="0" borderId="0" xfId="0" applyNumberFormat="1" applyFont="1"/>
    <xf numFmtId="169" fontId="3" fillId="0" borderId="0" xfId="4" applyNumberFormat="1" applyFont="1" applyFill="1" applyBorder="1" applyAlignment="1"/>
    <xf numFmtId="16" fontId="3" fillId="0" borderId="0" xfId="0" quotePrefix="1" applyNumberFormat="1" applyFont="1" applyAlignment="1">
      <alignment horizontal="center"/>
    </xf>
    <xf numFmtId="174" fontId="3" fillId="12" borderId="12" xfId="2" applyNumberFormat="1" applyFont="1" applyFill="1" applyBorder="1" applyAlignment="1"/>
    <xf numFmtId="169" fontId="3" fillId="0" borderId="12" xfId="4" applyNumberFormat="1" applyFont="1" applyFill="1" applyBorder="1" applyAlignment="1"/>
    <xf numFmtId="169" fontId="3" fillId="12" borderId="0" xfId="4" applyNumberFormat="1" applyFont="1" applyFill="1" applyBorder="1" applyAlignment="1"/>
    <xf numFmtId="0" fontId="3" fillId="0" borderId="12" xfId="0" quotePrefix="1" applyFont="1" applyBorder="1" applyAlignment="1">
      <alignment horizontal="center"/>
    </xf>
    <xf numFmtId="175" fontId="3" fillId="12" borderId="12" xfId="1" applyNumberFormat="1" applyFont="1" applyFill="1" applyBorder="1"/>
    <xf numFmtId="175" fontId="3" fillId="0" borderId="0" xfId="1" applyNumberFormat="1" applyFont="1" applyFill="1" applyBorder="1"/>
    <xf numFmtId="44" fontId="3" fillId="0" borderId="0" xfId="2" applyFont="1" applyFill="1" applyBorder="1" applyAlignment="1"/>
    <xf numFmtId="0" fontId="3" fillId="0" borderId="12" xfId="0" applyFont="1" applyBorder="1" applyAlignment="1">
      <alignment horizontal="center"/>
    </xf>
    <xf numFmtId="0" fontId="14" fillId="0" borderId="32" xfId="0" applyFont="1" applyBorder="1" applyAlignment="1">
      <alignment horizontal="right"/>
    </xf>
    <xf numFmtId="44" fontId="14" fillId="0" borderId="32" xfId="2" applyFont="1" applyBorder="1" applyAlignment="1">
      <alignment horizontal="right"/>
    </xf>
    <xf numFmtId="0" fontId="0" fillId="0" borderId="34" xfId="0" applyBorder="1" applyAlignment="1">
      <alignment wrapText="1"/>
    </xf>
    <xf numFmtId="0" fontId="0" fillId="0" borderId="34" xfId="0" applyBorder="1"/>
    <xf numFmtId="0" fontId="0" fillId="2" borderId="34" xfId="0" applyFill="1" applyBorder="1" applyAlignment="1">
      <alignment wrapText="1"/>
    </xf>
    <xf numFmtId="0" fontId="0" fillId="14" borderId="34" xfId="0" applyFill="1" applyBorder="1" applyAlignment="1">
      <alignment wrapText="1"/>
    </xf>
    <xf numFmtId="0" fontId="0" fillId="15" borderId="34" xfId="0" applyFill="1" applyBorder="1" applyAlignment="1">
      <alignment wrapText="1"/>
    </xf>
    <xf numFmtId="0" fontId="3" fillId="6" borderId="0" xfId="0" applyFont="1" applyFill="1"/>
    <xf numFmtId="0" fontId="3" fillId="6" borderId="0" xfId="0" applyFont="1" applyFill="1" applyAlignment="1">
      <alignment horizontal="left"/>
    </xf>
    <xf numFmtId="0" fontId="8" fillId="6" borderId="33" xfId="0" applyFont="1" applyFill="1" applyBorder="1" applyAlignment="1" applyProtection="1">
      <alignment horizontal="right"/>
      <protection locked="0"/>
    </xf>
    <xf numFmtId="0" fontId="19" fillId="3" borderId="34"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19" fillId="8" borderId="35" xfId="0" applyFont="1" applyFill="1" applyBorder="1" applyAlignment="1">
      <alignment horizontal="center" vertical="center" wrapText="1"/>
    </xf>
    <xf numFmtId="0" fontId="8" fillId="8" borderId="35" xfId="0" applyFont="1" applyFill="1" applyBorder="1" applyAlignment="1">
      <alignment horizontal="center" vertical="center" wrapText="1"/>
    </xf>
    <xf numFmtId="0" fontId="3" fillId="0" borderId="0" xfId="0" applyFont="1" applyAlignment="1">
      <alignment wrapText="1"/>
    </xf>
    <xf numFmtId="174" fontId="5" fillId="17" borderId="32" xfId="2" applyNumberFormat="1" applyFont="1" applyFill="1" applyBorder="1" applyProtection="1"/>
    <xf numFmtId="174" fontId="5" fillId="17" borderId="0" xfId="2" applyNumberFormat="1" applyFont="1" applyFill="1" applyBorder="1" applyProtection="1"/>
    <xf numFmtId="174" fontId="5" fillId="17" borderId="34" xfId="2" applyNumberFormat="1" applyFont="1" applyFill="1" applyBorder="1" applyProtection="1"/>
    <xf numFmtId="0" fontId="0" fillId="16" borderId="0" xfId="0" applyFill="1"/>
    <xf numFmtId="0" fontId="0" fillId="16" borderId="34" xfId="0" applyFill="1" applyBorder="1" applyAlignment="1">
      <alignment wrapText="1"/>
    </xf>
    <xf numFmtId="174" fontId="3" fillId="16" borderId="0" xfId="2" applyNumberFormat="1" applyFill="1"/>
    <xf numFmtId="164" fontId="0" fillId="0" borderId="34" xfId="0" applyNumberFormat="1" applyBorder="1"/>
    <xf numFmtId="0" fontId="0" fillId="18" borderId="0" xfId="0" applyFill="1"/>
    <xf numFmtId="0" fontId="0" fillId="18" borderId="34" xfId="0" applyFill="1" applyBorder="1" applyAlignment="1">
      <alignment wrapText="1"/>
    </xf>
    <xf numFmtId="174" fontId="3" fillId="18" borderId="0" xfId="2" applyNumberFormat="1" applyFill="1"/>
    <xf numFmtId="174" fontId="0" fillId="18" borderId="0" xfId="0" applyNumberFormat="1" applyFill="1"/>
    <xf numFmtId="0" fontId="5" fillId="18" borderId="1" xfId="0" applyFont="1" applyFill="1" applyBorder="1" applyAlignment="1">
      <alignment horizontal="center"/>
    </xf>
    <xf numFmtId="164" fontId="5" fillId="18" borderId="32" xfId="0" applyNumberFormat="1" applyFont="1" applyFill="1" applyBorder="1"/>
    <xf numFmtId="164" fontId="5" fillId="18" borderId="0" xfId="0" applyNumberFormat="1" applyFont="1" applyFill="1"/>
    <xf numFmtId="164" fontId="5" fillId="18" borderId="34" xfId="0" applyNumberFormat="1" applyFont="1" applyFill="1" applyBorder="1"/>
    <xf numFmtId="164" fontId="5" fillId="18" borderId="1" xfId="0" applyNumberFormat="1" applyFont="1" applyFill="1" applyBorder="1"/>
    <xf numFmtId="171" fontId="0" fillId="18" borderId="0" xfId="4" applyNumberFormat="1" applyFont="1" applyFill="1"/>
    <xf numFmtId="164" fontId="0" fillId="18" borderId="0" xfId="0" applyNumberFormat="1" applyFill="1"/>
    <xf numFmtId="164" fontId="0" fillId="18" borderId="34" xfId="0" applyNumberFormat="1" applyFill="1" applyBorder="1"/>
    <xf numFmtId="11" fontId="0" fillId="0" borderId="0" xfId="0" applyNumberFormat="1"/>
    <xf numFmtId="1" fontId="12" fillId="0" borderId="0" xfId="5" applyNumberFormat="1" applyFont="1"/>
    <xf numFmtId="164" fontId="8" fillId="6" borderId="0" xfId="0" applyNumberFormat="1" applyFont="1" applyFill="1" applyAlignment="1">
      <alignment horizontal="left" vertical="top"/>
    </xf>
    <xf numFmtId="0" fontId="3" fillId="6" borderId="0" xfId="0" applyFont="1" applyFill="1" applyAlignment="1">
      <alignment horizontal="right" vertical="top"/>
    </xf>
    <xf numFmtId="0" fontId="3" fillId="6" borderId="34" xfId="0" applyFont="1" applyFill="1" applyBorder="1" applyAlignment="1">
      <alignment horizontal="right" vertical="top"/>
    </xf>
    <xf numFmtId="0" fontId="3" fillId="6" borderId="34" xfId="0" applyFont="1" applyFill="1" applyBorder="1"/>
    <xf numFmtId="6" fontId="3" fillId="6" borderId="34" xfId="0" applyNumberFormat="1" applyFont="1" applyFill="1" applyBorder="1" applyAlignment="1">
      <alignment horizontal="right"/>
    </xf>
    <xf numFmtId="6" fontId="3" fillId="6" borderId="0" xfId="0" applyNumberFormat="1" applyFont="1" applyFill="1" applyAlignment="1">
      <alignment horizontal="right"/>
    </xf>
    <xf numFmtId="0" fontId="3" fillId="6" borderId="0" xfId="0" applyFont="1" applyFill="1" applyAlignment="1">
      <alignment horizontal="right"/>
    </xf>
    <xf numFmtId="164" fontId="3" fillId="6" borderId="33" xfId="0" applyNumberFormat="1" applyFont="1" applyFill="1" applyBorder="1" applyAlignment="1" applyProtection="1">
      <alignment horizontal="right"/>
      <protection locked="0"/>
    </xf>
    <xf numFmtId="0" fontId="3" fillId="6" borderId="0" xfId="0" applyFont="1" applyFill="1" applyProtection="1">
      <protection locked="0"/>
    </xf>
    <xf numFmtId="0" fontId="3" fillId="6" borderId="0" xfId="0" applyFont="1" applyFill="1" applyAlignment="1">
      <alignment horizontal="right" vertical="top" wrapText="1"/>
    </xf>
    <xf numFmtId="164" fontId="3" fillId="6" borderId="0" xfId="0" applyNumberFormat="1" applyFont="1" applyFill="1" applyAlignment="1">
      <alignment horizontal="right" vertical="top"/>
    </xf>
    <xf numFmtId="164" fontId="3" fillId="6" borderId="33" xfId="0" applyNumberFormat="1" applyFont="1" applyFill="1" applyBorder="1" applyProtection="1">
      <protection locked="0"/>
    </xf>
    <xf numFmtId="0" fontId="3" fillId="6" borderId="0" xfId="0" applyFont="1" applyFill="1" applyAlignment="1">
      <alignment vertical="top" wrapText="1"/>
    </xf>
    <xf numFmtId="164" fontId="3" fillId="6" borderId="0" xfId="0" applyNumberFormat="1" applyFont="1" applyFill="1"/>
    <xf numFmtId="0" fontId="3" fillId="6" borderId="0" xfId="0" applyFont="1" applyFill="1" applyAlignment="1">
      <alignment horizontal="right" vertical="center"/>
    </xf>
    <xf numFmtId="164" fontId="3" fillId="6" borderId="0" xfId="0" applyNumberFormat="1" applyFont="1" applyFill="1" applyAlignment="1">
      <alignment horizontal="right" vertical="center"/>
    </xf>
    <xf numFmtId="164" fontId="3" fillId="6" borderId="0" xfId="0" applyNumberFormat="1" applyFont="1" applyFill="1" applyProtection="1">
      <protection locked="0"/>
    </xf>
    <xf numFmtId="6" fontId="3" fillId="6" borderId="0" xfId="0" applyNumberFormat="1" applyFont="1" applyFill="1"/>
    <xf numFmtId="0" fontId="3" fillId="6" borderId="0" xfId="0" quotePrefix="1" applyFont="1" applyFill="1"/>
    <xf numFmtId="164" fontId="3" fillId="6" borderId="33" xfId="0" applyNumberFormat="1" applyFont="1" applyFill="1" applyBorder="1" applyAlignment="1" applyProtection="1">
      <alignment vertical="top"/>
      <protection locked="0"/>
    </xf>
    <xf numFmtId="0" fontId="3" fillId="6" borderId="0" xfId="0" applyFont="1" applyFill="1" applyAlignment="1">
      <alignment vertical="top"/>
    </xf>
    <xf numFmtId="0" fontId="3" fillId="6" borderId="5" xfId="0" applyFont="1" applyFill="1" applyBorder="1" applyAlignment="1">
      <alignment horizontal="right" vertical="top"/>
    </xf>
    <xf numFmtId="164" fontId="3" fillId="6" borderId="0" xfId="0" applyNumberFormat="1" applyFont="1" applyFill="1" applyAlignment="1">
      <alignment vertical="top"/>
    </xf>
    <xf numFmtId="0" fontId="3" fillId="0" borderId="0" xfId="0" applyFont="1" applyAlignment="1">
      <alignment horizontal="right" vertical="top"/>
    </xf>
    <xf numFmtId="44" fontId="3" fillId="6" borderId="0" xfId="0" applyNumberFormat="1" applyFont="1" applyFill="1" applyAlignment="1">
      <alignment horizontal="right"/>
    </xf>
    <xf numFmtId="0" fontId="30" fillId="0" borderId="0" xfId="0" applyFont="1"/>
    <xf numFmtId="164" fontId="31" fillId="0" borderId="0" xfId="0" quotePrefix="1" applyNumberFormat="1" applyFont="1"/>
    <xf numFmtId="164" fontId="31" fillId="0" borderId="0" xfId="0" applyNumberFormat="1" applyFont="1"/>
    <xf numFmtId="0" fontId="30" fillId="0" borderId="0" xfId="0" applyFont="1" applyAlignment="1">
      <alignment vertical="top"/>
    </xf>
    <xf numFmtId="0" fontId="31" fillId="0" borderId="0" xfId="0" applyFont="1" applyAlignment="1">
      <alignment vertical="top"/>
    </xf>
    <xf numFmtId="164" fontId="31" fillId="0" borderId="0" xfId="0" applyNumberFormat="1" applyFont="1" applyAlignment="1">
      <alignment horizontal="center" vertical="top"/>
    </xf>
    <xf numFmtId="2" fontId="31" fillId="0" borderId="0" xfId="0" applyNumberFormat="1" applyFont="1" applyAlignment="1">
      <alignment horizontal="center" vertical="top"/>
    </xf>
    <xf numFmtId="0" fontId="30" fillId="6" borderId="0" xfId="0" applyFont="1" applyFill="1"/>
    <xf numFmtId="44" fontId="30" fillId="6" borderId="0" xfId="2" applyFont="1" applyFill="1" applyProtection="1"/>
    <xf numFmtId="0" fontId="31" fillId="0" borderId="0" xfId="0" applyFont="1"/>
    <xf numFmtId="164" fontId="31" fillId="0" borderId="0" xfId="0" applyNumberFormat="1" applyFont="1" applyAlignment="1">
      <alignment horizontal="right" vertical="top"/>
    </xf>
    <xf numFmtId="164" fontId="30" fillId="0" borderId="0" xfId="0" applyNumberFormat="1" applyFont="1" applyAlignment="1">
      <alignment vertical="top"/>
    </xf>
    <xf numFmtId="164" fontId="31" fillId="0" borderId="0" xfId="0" applyNumberFormat="1" applyFont="1" applyAlignment="1">
      <alignment vertical="top"/>
    </xf>
    <xf numFmtId="164" fontId="8" fillId="6" borderId="0" xfId="0" applyNumberFormat="1" applyFont="1" applyFill="1" applyAlignment="1">
      <alignment vertical="top" wrapText="1"/>
    </xf>
    <xf numFmtId="0" fontId="8" fillId="6" borderId="0" xfId="0" applyFont="1" applyFill="1" applyAlignment="1">
      <alignment vertical="top" wrapText="1"/>
    </xf>
    <xf numFmtId="5" fontId="3" fillId="0" borderId="0" xfId="0" applyNumberFormat="1" applyFont="1" applyAlignment="1">
      <alignment horizontal="center"/>
    </xf>
    <xf numFmtId="0" fontId="3" fillId="0" borderId="0" xfId="0" applyFont="1" applyAlignment="1">
      <alignment vertical="top"/>
    </xf>
    <xf numFmtId="164" fontId="3" fillId="0" borderId="0" xfId="0" applyNumberFormat="1" applyFont="1" applyAlignment="1">
      <alignment vertical="top"/>
    </xf>
    <xf numFmtId="5" fontId="3" fillId="0" borderId="0" xfId="0" applyNumberFormat="1" applyFont="1" applyAlignment="1">
      <alignment horizontal="left"/>
    </xf>
    <xf numFmtId="44" fontId="3" fillId="6" borderId="0" xfId="2" applyFont="1" applyFill="1" applyProtection="1"/>
    <xf numFmtId="0" fontId="8" fillId="0" borderId="0" xfId="0" applyFont="1" applyAlignment="1">
      <alignment vertical="top"/>
    </xf>
    <xf numFmtId="164" fontId="8" fillId="0" borderId="0" xfId="0" applyNumberFormat="1" applyFont="1" applyAlignment="1">
      <alignment horizontal="right" vertical="top"/>
    </xf>
    <xf numFmtId="164" fontId="8" fillId="0" borderId="0" xfId="0" applyNumberFormat="1" applyFont="1" applyAlignment="1">
      <alignment horizontal="center"/>
    </xf>
    <xf numFmtId="0" fontId="8" fillId="0" borderId="0" xfId="0" applyFont="1" applyAlignment="1">
      <alignment horizontal="center" vertical="top"/>
    </xf>
    <xf numFmtId="164" fontId="8" fillId="0" borderId="0" xfId="0" applyNumberFormat="1" applyFont="1" applyAlignment="1">
      <alignment horizontal="center" vertical="top"/>
    </xf>
    <xf numFmtId="164" fontId="8" fillId="0" borderId="0" xfId="0" applyNumberFormat="1" applyFont="1" applyAlignment="1">
      <alignment vertical="top"/>
    </xf>
    <xf numFmtId="2" fontId="8" fillId="0" borderId="0" xfId="0" applyNumberFormat="1" applyFont="1" applyAlignment="1">
      <alignment horizontal="center" vertical="top"/>
    </xf>
    <xf numFmtId="0" fontId="32" fillId="0" borderId="0" xfId="0" applyFont="1"/>
    <xf numFmtId="0" fontId="8" fillId="6" borderId="34" xfId="0" applyFont="1" applyFill="1" applyBorder="1"/>
    <xf numFmtId="164" fontId="8" fillId="6" borderId="0" xfId="0" applyNumberFormat="1" applyFont="1" applyFill="1" applyAlignment="1">
      <alignment vertical="top" wrapText="1"/>
    </xf>
    <xf numFmtId="0" fontId="8" fillId="0" borderId="0" xfId="0" applyFont="1" applyAlignment="1">
      <alignment vertical="top"/>
    </xf>
    <xf numFmtId="0" fontId="31" fillId="0" borderId="0" xfId="0" applyFont="1"/>
    <xf numFmtId="0" fontId="3" fillId="0" borderId="0" xfId="0" applyFont="1"/>
    <xf numFmtId="0" fontId="30" fillId="0" borderId="0" xfId="0" applyFont="1"/>
    <xf numFmtId="0" fontId="3" fillId="6" borderId="0" xfId="0" applyFont="1" applyFill="1" applyAlignment="1">
      <alignment vertical="top" wrapText="1"/>
    </xf>
    <xf numFmtId="0" fontId="3" fillId="6" borderId="0" xfId="0" applyFont="1" applyFill="1" applyAlignment="1">
      <alignment vertical="top"/>
    </xf>
    <xf numFmtId="0" fontId="3" fillId="0" borderId="0" xfId="0" applyFont="1" applyAlignment="1">
      <alignment vertical="top" wrapText="1"/>
    </xf>
    <xf numFmtId="164" fontId="8" fillId="6" borderId="0" xfId="0" applyNumberFormat="1" applyFont="1" applyFill="1" applyAlignment="1">
      <alignment horizontal="left" vertical="top"/>
    </xf>
    <xf numFmtId="0" fontId="8" fillId="6" borderId="0" xfId="0" applyFont="1" applyFill="1"/>
    <xf numFmtId="0" fontId="3" fillId="6" borderId="0" xfId="0" applyFont="1" applyFill="1" applyAlignment="1">
      <alignment wrapText="1"/>
    </xf>
    <xf numFmtId="0" fontId="3" fillId="6" borderId="0" xfId="0" applyFont="1" applyFill="1"/>
    <xf numFmtId="0" fontId="8" fillId="6" borderId="0" xfId="0" applyFont="1" applyFill="1" applyAlignment="1">
      <alignment horizontal="center"/>
    </xf>
    <xf numFmtId="164" fontId="8" fillId="6" borderId="0" xfId="0" applyNumberFormat="1" applyFont="1" applyFill="1" applyAlignment="1">
      <alignment horizontal="left"/>
    </xf>
    <xf numFmtId="0" fontId="16" fillId="3" borderId="0" xfId="0" applyFont="1" applyFill="1" applyAlignment="1" applyProtection="1">
      <alignment vertical="top"/>
      <protection locked="0"/>
    </xf>
    <xf numFmtId="0" fontId="3" fillId="0" borderId="0" xfId="0" applyFont="1" applyAlignment="1">
      <alignment wrapText="1"/>
    </xf>
    <xf numFmtId="0" fontId="20" fillId="2" borderId="18" xfId="0" applyFont="1" applyFill="1" applyBorder="1" applyAlignment="1">
      <alignment horizontal="center" vertical="center" wrapText="1"/>
    </xf>
    <xf numFmtId="0" fontId="0" fillId="0" borderId="19" xfId="0" applyBorder="1"/>
    <xf numFmtId="0" fontId="0" fillId="0" borderId="20" xfId="0" applyBorder="1"/>
    <xf numFmtId="0" fontId="19" fillId="0" borderId="18" xfId="0" applyFont="1" applyBorder="1" applyAlignment="1">
      <alignment horizontal="left" vertical="center" wrapText="1"/>
    </xf>
    <xf numFmtId="0" fontId="21" fillId="0" borderId="19" xfId="0" applyFont="1" applyBorder="1" applyAlignment="1">
      <alignment wrapText="1"/>
    </xf>
    <xf numFmtId="0" fontId="21" fillId="0" borderId="20" xfId="0" applyFont="1" applyBorder="1" applyAlignment="1">
      <alignment wrapText="1"/>
    </xf>
    <xf numFmtId="0" fontId="21" fillId="0" borderId="21" xfId="0" applyFont="1" applyBorder="1" applyAlignment="1">
      <alignment wrapText="1"/>
    </xf>
    <xf numFmtId="0" fontId="21" fillId="0" borderId="22" xfId="0" applyFont="1" applyBorder="1" applyAlignment="1">
      <alignment wrapText="1"/>
    </xf>
    <xf numFmtId="0" fontId="21" fillId="0" borderId="23" xfId="0" applyFont="1" applyBorder="1" applyAlignment="1">
      <alignment wrapText="1"/>
    </xf>
  </cellXfs>
  <cellStyles count="13">
    <cellStyle name="Comma" xfId="1" builtinId="3"/>
    <cellStyle name="Comma 2" xfId="8" xr:uid="{00000000-0005-0000-0000-000001000000}"/>
    <cellStyle name="Currency" xfId="2" builtinId="4"/>
    <cellStyle name="Currency 2" xfId="7" xr:uid="{00000000-0005-0000-0000-000003000000}"/>
    <cellStyle name="Hyperlink" xfId="10" builtinId="8"/>
    <cellStyle name="Normal" xfId="0" builtinId="0"/>
    <cellStyle name="Normal 2" xfId="5" xr:uid="{00000000-0005-0000-0000-000006000000}"/>
    <cellStyle name="Normal 3" xfId="6" xr:uid="{00000000-0005-0000-0000-000007000000}"/>
    <cellStyle name="Normal 4" xfId="11" xr:uid="{00000000-0005-0000-0000-000008000000}"/>
    <cellStyle name="Normal 5" xfId="12" xr:uid="{9B3E4064-D1BA-4F88-92B2-0312BDCD8250}"/>
    <cellStyle name="Normal_econb10decbase(1)" xfId="3" xr:uid="{00000000-0005-0000-0000-000009000000}"/>
    <cellStyle name="Percent" xfId="4" builtinId="5"/>
    <cellStyle name="Percent 2" xfId="9" xr:uid="{00000000-0005-0000-0000-00000B000000}"/>
  </cellStyles>
  <dxfs count="3">
    <dxf>
      <fill>
        <patternFill>
          <bgColor theme="9"/>
        </patternFill>
      </fill>
    </dxf>
    <dxf>
      <fill>
        <patternFill>
          <bgColor theme="9"/>
        </patternFill>
      </fill>
    </dxf>
    <dxf>
      <fill>
        <patternFill>
          <bgColor indexed="10"/>
        </patternFill>
      </fill>
    </dxf>
  </dxfs>
  <tableStyles count="0" defaultTableStyle="TableStyleMedium9" defaultPivotStyle="PivotStyleLight16"/>
  <colors>
    <mruColors>
      <color rgb="FF00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0</xdr:row>
      <xdr:rowOff>9525</xdr:rowOff>
    </xdr:from>
    <xdr:to>
      <xdr:col>5</xdr:col>
      <xdr:colOff>0</xdr:colOff>
      <xdr:row>0</xdr:row>
      <xdr:rowOff>9525</xdr:rowOff>
    </xdr:to>
    <xdr:sp macro="" textlink="">
      <xdr:nvSpPr>
        <xdr:cNvPr id="22690" name="Line 1">
          <a:extLst>
            <a:ext uri="{FF2B5EF4-FFF2-40B4-BE49-F238E27FC236}">
              <a16:creationId xmlns:a16="http://schemas.microsoft.com/office/drawing/2014/main" id="{00000000-0008-0000-0400-0000A2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691" name="Line 2">
          <a:extLst>
            <a:ext uri="{FF2B5EF4-FFF2-40B4-BE49-F238E27FC236}">
              <a16:creationId xmlns:a16="http://schemas.microsoft.com/office/drawing/2014/main" id="{00000000-0008-0000-0400-0000A3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692" name="Line 3">
          <a:extLst>
            <a:ext uri="{FF2B5EF4-FFF2-40B4-BE49-F238E27FC236}">
              <a16:creationId xmlns:a16="http://schemas.microsoft.com/office/drawing/2014/main" id="{00000000-0008-0000-0400-0000A4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693" name="Line 4">
          <a:extLst>
            <a:ext uri="{FF2B5EF4-FFF2-40B4-BE49-F238E27FC236}">
              <a16:creationId xmlns:a16="http://schemas.microsoft.com/office/drawing/2014/main" id="{00000000-0008-0000-0400-0000A5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694" name="Line 5">
          <a:extLst>
            <a:ext uri="{FF2B5EF4-FFF2-40B4-BE49-F238E27FC236}">
              <a16:creationId xmlns:a16="http://schemas.microsoft.com/office/drawing/2014/main" id="{00000000-0008-0000-0400-0000A6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695" name="Line 6">
          <a:extLst>
            <a:ext uri="{FF2B5EF4-FFF2-40B4-BE49-F238E27FC236}">
              <a16:creationId xmlns:a16="http://schemas.microsoft.com/office/drawing/2014/main" id="{00000000-0008-0000-0400-0000A7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696" name="Line 7">
          <a:extLst>
            <a:ext uri="{FF2B5EF4-FFF2-40B4-BE49-F238E27FC236}">
              <a16:creationId xmlns:a16="http://schemas.microsoft.com/office/drawing/2014/main" id="{00000000-0008-0000-0400-0000A8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697" name="Line 8">
          <a:extLst>
            <a:ext uri="{FF2B5EF4-FFF2-40B4-BE49-F238E27FC236}">
              <a16:creationId xmlns:a16="http://schemas.microsoft.com/office/drawing/2014/main" id="{00000000-0008-0000-0400-0000A9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698" name="Line 9">
          <a:extLst>
            <a:ext uri="{FF2B5EF4-FFF2-40B4-BE49-F238E27FC236}">
              <a16:creationId xmlns:a16="http://schemas.microsoft.com/office/drawing/2014/main" id="{00000000-0008-0000-0400-0000AA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699" name="Line 10">
          <a:extLst>
            <a:ext uri="{FF2B5EF4-FFF2-40B4-BE49-F238E27FC236}">
              <a16:creationId xmlns:a16="http://schemas.microsoft.com/office/drawing/2014/main" id="{00000000-0008-0000-0400-0000AB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00" name="Line 11">
          <a:extLst>
            <a:ext uri="{FF2B5EF4-FFF2-40B4-BE49-F238E27FC236}">
              <a16:creationId xmlns:a16="http://schemas.microsoft.com/office/drawing/2014/main" id="{00000000-0008-0000-0400-0000AC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01" name="Line 12">
          <a:extLst>
            <a:ext uri="{FF2B5EF4-FFF2-40B4-BE49-F238E27FC236}">
              <a16:creationId xmlns:a16="http://schemas.microsoft.com/office/drawing/2014/main" id="{00000000-0008-0000-0400-0000AD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02" name="Line 13">
          <a:extLst>
            <a:ext uri="{FF2B5EF4-FFF2-40B4-BE49-F238E27FC236}">
              <a16:creationId xmlns:a16="http://schemas.microsoft.com/office/drawing/2014/main" id="{00000000-0008-0000-0400-0000AE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03" name="Line 14">
          <a:extLst>
            <a:ext uri="{FF2B5EF4-FFF2-40B4-BE49-F238E27FC236}">
              <a16:creationId xmlns:a16="http://schemas.microsoft.com/office/drawing/2014/main" id="{00000000-0008-0000-0400-0000AF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04" name="Line 15">
          <a:extLst>
            <a:ext uri="{FF2B5EF4-FFF2-40B4-BE49-F238E27FC236}">
              <a16:creationId xmlns:a16="http://schemas.microsoft.com/office/drawing/2014/main" id="{00000000-0008-0000-0400-0000B0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05" name="Line 16">
          <a:extLst>
            <a:ext uri="{FF2B5EF4-FFF2-40B4-BE49-F238E27FC236}">
              <a16:creationId xmlns:a16="http://schemas.microsoft.com/office/drawing/2014/main" id="{00000000-0008-0000-0400-0000B1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06" name="Line 17">
          <a:extLst>
            <a:ext uri="{FF2B5EF4-FFF2-40B4-BE49-F238E27FC236}">
              <a16:creationId xmlns:a16="http://schemas.microsoft.com/office/drawing/2014/main" id="{00000000-0008-0000-0400-0000B2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07" name="Line 18">
          <a:extLst>
            <a:ext uri="{FF2B5EF4-FFF2-40B4-BE49-F238E27FC236}">
              <a16:creationId xmlns:a16="http://schemas.microsoft.com/office/drawing/2014/main" id="{00000000-0008-0000-0400-0000B3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08" name="Line 19">
          <a:extLst>
            <a:ext uri="{FF2B5EF4-FFF2-40B4-BE49-F238E27FC236}">
              <a16:creationId xmlns:a16="http://schemas.microsoft.com/office/drawing/2014/main" id="{00000000-0008-0000-0400-0000B4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09" name="Line 20">
          <a:extLst>
            <a:ext uri="{FF2B5EF4-FFF2-40B4-BE49-F238E27FC236}">
              <a16:creationId xmlns:a16="http://schemas.microsoft.com/office/drawing/2014/main" id="{00000000-0008-0000-0400-0000B5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10" name="Line 21">
          <a:extLst>
            <a:ext uri="{FF2B5EF4-FFF2-40B4-BE49-F238E27FC236}">
              <a16:creationId xmlns:a16="http://schemas.microsoft.com/office/drawing/2014/main" id="{00000000-0008-0000-0400-0000B6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11" name="Line 22">
          <a:extLst>
            <a:ext uri="{FF2B5EF4-FFF2-40B4-BE49-F238E27FC236}">
              <a16:creationId xmlns:a16="http://schemas.microsoft.com/office/drawing/2014/main" id="{00000000-0008-0000-0400-0000B7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12" name="Line 23">
          <a:extLst>
            <a:ext uri="{FF2B5EF4-FFF2-40B4-BE49-F238E27FC236}">
              <a16:creationId xmlns:a16="http://schemas.microsoft.com/office/drawing/2014/main" id="{00000000-0008-0000-0400-0000B8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13" name="Line 24">
          <a:extLst>
            <a:ext uri="{FF2B5EF4-FFF2-40B4-BE49-F238E27FC236}">
              <a16:creationId xmlns:a16="http://schemas.microsoft.com/office/drawing/2014/main" id="{00000000-0008-0000-0400-0000B9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14" name="Line 25">
          <a:extLst>
            <a:ext uri="{FF2B5EF4-FFF2-40B4-BE49-F238E27FC236}">
              <a16:creationId xmlns:a16="http://schemas.microsoft.com/office/drawing/2014/main" id="{00000000-0008-0000-0400-0000BA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15" name="Line 26">
          <a:extLst>
            <a:ext uri="{FF2B5EF4-FFF2-40B4-BE49-F238E27FC236}">
              <a16:creationId xmlns:a16="http://schemas.microsoft.com/office/drawing/2014/main" id="{00000000-0008-0000-0400-0000BB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16" name="Line 27">
          <a:extLst>
            <a:ext uri="{FF2B5EF4-FFF2-40B4-BE49-F238E27FC236}">
              <a16:creationId xmlns:a16="http://schemas.microsoft.com/office/drawing/2014/main" id="{00000000-0008-0000-0400-0000BC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17" name="Line 28">
          <a:extLst>
            <a:ext uri="{FF2B5EF4-FFF2-40B4-BE49-F238E27FC236}">
              <a16:creationId xmlns:a16="http://schemas.microsoft.com/office/drawing/2014/main" id="{00000000-0008-0000-0400-0000BD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18" name="Line 29">
          <a:extLst>
            <a:ext uri="{FF2B5EF4-FFF2-40B4-BE49-F238E27FC236}">
              <a16:creationId xmlns:a16="http://schemas.microsoft.com/office/drawing/2014/main" id="{00000000-0008-0000-0400-0000BE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19" name="Line 30">
          <a:extLst>
            <a:ext uri="{FF2B5EF4-FFF2-40B4-BE49-F238E27FC236}">
              <a16:creationId xmlns:a16="http://schemas.microsoft.com/office/drawing/2014/main" id="{00000000-0008-0000-0400-0000BF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20" name="Line 31">
          <a:extLst>
            <a:ext uri="{FF2B5EF4-FFF2-40B4-BE49-F238E27FC236}">
              <a16:creationId xmlns:a16="http://schemas.microsoft.com/office/drawing/2014/main" id="{00000000-0008-0000-0400-0000C0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21" name="Line 32">
          <a:extLst>
            <a:ext uri="{FF2B5EF4-FFF2-40B4-BE49-F238E27FC236}">
              <a16:creationId xmlns:a16="http://schemas.microsoft.com/office/drawing/2014/main" id="{00000000-0008-0000-0400-0000C1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22" name="Line 33">
          <a:extLst>
            <a:ext uri="{FF2B5EF4-FFF2-40B4-BE49-F238E27FC236}">
              <a16:creationId xmlns:a16="http://schemas.microsoft.com/office/drawing/2014/main" id="{00000000-0008-0000-0400-0000C2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23" name="Line 34">
          <a:extLst>
            <a:ext uri="{FF2B5EF4-FFF2-40B4-BE49-F238E27FC236}">
              <a16:creationId xmlns:a16="http://schemas.microsoft.com/office/drawing/2014/main" id="{00000000-0008-0000-0400-0000C3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24" name="Line 35">
          <a:extLst>
            <a:ext uri="{FF2B5EF4-FFF2-40B4-BE49-F238E27FC236}">
              <a16:creationId xmlns:a16="http://schemas.microsoft.com/office/drawing/2014/main" id="{00000000-0008-0000-0400-0000C4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25" name="Line 36">
          <a:extLst>
            <a:ext uri="{FF2B5EF4-FFF2-40B4-BE49-F238E27FC236}">
              <a16:creationId xmlns:a16="http://schemas.microsoft.com/office/drawing/2014/main" id="{00000000-0008-0000-0400-0000C5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26" name="Line 37">
          <a:extLst>
            <a:ext uri="{FF2B5EF4-FFF2-40B4-BE49-F238E27FC236}">
              <a16:creationId xmlns:a16="http://schemas.microsoft.com/office/drawing/2014/main" id="{00000000-0008-0000-0400-0000C6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27" name="Line 38">
          <a:extLst>
            <a:ext uri="{FF2B5EF4-FFF2-40B4-BE49-F238E27FC236}">
              <a16:creationId xmlns:a16="http://schemas.microsoft.com/office/drawing/2014/main" id="{00000000-0008-0000-0400-0000C7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28" name="Line 39">
          <a:extLst>
            <a:ext uri="{FF2B5EF4-FFF2-40B4-BE49-F238E27FC236}">
              <a16:creationId xmlns:a16="http://schemas.microsoft.com/office/drawing/2014/main" id="{00000000-0008-0000-0400-0000C8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29" name="Line 40">
          <a:extLst>
            <a:ext uri="{FF2B5EF4-FFF2-40B4-BE49-F238E27FC236}">
              <a16:creationId xmlns:a16="http://schemas.microsoft.com/office/drawing/2014/main" id="{00000000-0008-0000-0400-0000C9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30" name="Line 41">
          <a:extLst>
            <a:ext uri="{FF2B5EF4-FFF2-40B4-BE49-F238E27FC236}">
              <a16:creationId xmlns:a16="http://schemas.microsoft.com/office/drawing/2014/main" id="{00000000-0008-0000-0400-0000CA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31" name="Line 42">
          <a:extLst>
            <a:ext uri="{FF2B5EF4-FFF2-40B4-BE49-F238E27FC236}">
              <a16:creationId xmlns:a16="http://schemas.microsoft.com/office/drawing/2014/main" id="{00000000-0008-0000-0400-0000CB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32" name="Line 43">
          <a:extLst>
            <a:ext uri="{FF2B5EF4-FFF2-40B4-BE49-F238E27FC236}">
              <a16:creationId xmlns:a16="http://schemas.microsoft.com/office/drawing/2014/main" id="{00000000-0008-0000-0400-0000CC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33" name="Line 44">
          <a:extLst>
            <a:ext uri="{FF2B5EF4-FFF2-40B4-BE49-F238E27FC236}">
              <a16:creationId xmlns:a16="http://schemas.microsoft.com/office/drawing/2014/main" id="{00000000-0008-0000-0400-0000CD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34" name="Line 45">
          <a:extLst>
            <a:ext uri="{FF2B5EF4-FFF2-40B4-BE49-F238E27FC236}">
              <a16:creationId xmlns:a16="http://schemas.microsoft.com/office/drawing/2014/main" id="{00000000-0008-0000-0400-0000CE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35" name="Line 46">
          <a:extLst>
            <a:ext uri="{FF2B5EF4-FFF2-40B4-BE49-F238E27FC236}">
              <a16:creationId xmlns:a16="http://schemas.microsoft.com/office/drawing/2014/main" id="{00000000-0008-0000-0400-0000CF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36" name="Line 47">
          <a:extLst>
            <a:ext uri="{FF2B5EF4-FFF2-40B4-BE49-F238E27FC236}">
              <a16:creationId xmlns:a16="http://schemas.microsoft.com/office/drawing/2014/main" id="{00000000-0008-0000-0400-0000D0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737" name="Line 48">
          <a:extLst>
            <a:ext uri="{FF2B5EF4-FFF2-40B4-BE49-F238E27FC236}">
              <a16:creationId xmlns:a16="http://schemas.microsoft.com/office/drawing/2014/main" id="{00000000-0008-0000-0400-0000D158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0</xdr:row>
      <xdr:rowOff>9525</xdr:rowOff>
    </xdr:from>
    <xdr:to>
      <xdr:col>5</xdr:col>
      <xdr:colOff>0</xdr:colOff>
      <xdr:row>0</xdr:row>
      <xdr:rowOff>9525</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4" name="Line 3">
          <a:extLst>
            <a:ext uri="{FF2B5EF4-FFF2-40B4-BE49-F238E27FC236}">
              <a16:creationId xmlns:a16="http://schemas.microsoft.com/office/drawing/2014/main" id="{00000000-0008-0000-0500-000004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5" name="Line 4">
          <a:extLst>
            <a:ext uri="{FF2B5EF4-FFF2-40B4-BE49-F238E27FC236}">
              <a16:creationId xmlns:a16="http://schemas.microsoft.com/office/drawing/2014/main" id="{00000000-0008-0000-0500-000005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6" name="Line 5">
          <a:extLst>
            <a:ext uri="{FF2B5EF4-FFF2-40B4-BE49-F238E27FC236}">
              <a16:creationId xmlns:a16="http://schemas.microsoft.com/office/drawing/2014/main" id="{00000000-0008-0000-0500-000006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7" name="Line 6">
          <a:extLst>
            <a:ext uri="{FF2B5EF4-FFF2-40B4-BE49-F238E27FC236}">
              <a16:creationId xmlns:a16="http://schemas.microsoft.com/office/drawing/2014/main" id="{00000000-0008-0000-0500-000007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8" name="Line 7">
          <a:extLst>
            <a:ext uri="{FF2B5EF4-FFF2-40B4-BE49-F238E27FC236}">
              <a16:creationId xmlns:a16="http://schemas.microsoft.com/office/drawing/2014/main" id="{00000000-0008-0000-0500-000008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9" name="Line 8">
          <a:extLst>
            <a:ext uri="{FF2B5EF4-FFF2-40B4-BE49-F238E27FC236}">
              <a16:creationId xmlns:a16="http://schemas.microsoft.com/office/drawing/2014/main" id="{00000000-0008-0000-0500-000009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10" name="Line 9">
          <a:extLst>
            <a:ext uri="{FF2B5EF4-FFF2-40B4-BE49-F238E27FC236}">
              <a16:creationId xmlns:a16="http://schemas.microsoft.com/office/drawing/2014/main" id="{00000000-0008-0000-0500-00000A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11" name="Line 10">
          <a:extLst>
            <a:ext uri="{FF2B5EF4-FFF2-40B4-BE49-F238E27FC236}">
              <a16:creationId xmlns:a16="http://schemas.microsoft.com/office/drawing/2014/main" id="{00000000-0008-0000-0500-00000B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12" name="Line 11">
          <a:extLst>
            <a:ext uri="{FF2B5EF4-FFF2-40B4-BE49-F238E27FC236}">
              <a16:creationId xmlns:a16="http://schemas.microsoft.com/office/drawing/2014/main" id="{00000000-0008-0000-0500-00000C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13" name="Line 12">
          <a:extLst>
            <a:ext uri="{FF2B5EF4-FFF2-40B4-BE49-F238E27FC236}">
              <a16:creationId xmlns:a16="http://schemas.microsoft.com/office/drawing/2014/main" id="{00000000-0008-0000-0500-00000D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14" name="Line 13">
          <a:extLst>
            <a:ext uri="{FF2B5EF4-FFF2-40B4-BE49-F238E27FC236}">
              <a16:creationId xmlns:a16="http://schemas.microsoft.com/office/drawing/2014/main" id="{00000000-0008-0000-0500-00000E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15" name="Line 14">
          <a:extLst>
            <a:ext uri="{FF2B5EF4-FFF2-40B4-BE49-F238E27FC236}">
              <a16:creationId xmlns:a16="http://schemas.microsoft.com/office/drawing/2014/main" id="{00000000-0008-0000-0500-00000F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16" name="Line 15">
          <a:extLst>
            <a:ext uri="{FF2B5EF4-FFF2-40B4-BE49-F238E27FC236}">
              <a16:creationId xmlns:a16="http://schemas.microsoft.com/office/drawing/2014/main" id="{00000000-0008-0000-0500-000010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17" name="Line 16">
          <a:extLst>
            <a:ext uri="{FF2B5EF4-FFF2-40B4-BE49-F238E27FC236}">
              <a16:creationId xmlns:a16="http://schemas.microsoft.com/office/drawing/2014/main" id="{00000000-0008-0000-0500-000011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18" name="Line 17">
          <a:extLst>
            <a:ext uri="{FF2B5EF4-FFF2-40B4-BE49-F238E27FC236}">
              <a16:creationId xmlns:a16="http://schemas.microsoft.com/office/drawing/2014/main" id="{00000000-0008-0000-0500-000012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19" name="Line 18">
          <a:extLst>
            <a:ext uri="{FF2B5EF4-FFF2-40B4-BE49-F238E27FC236}">
              <a16:creationId xmlns:a16="http://schemas.microsoft.com/office/drawing/2014/main" id="{00000000-0008-0000-0500-000013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0" name="Line 19">
          <a:extLst>
            <a:ext uri="{FF2B5EF4-FFF2-40B4-BE49-F238E27FC236}">
              <a16:creationId xmlns:a16="http://schemas.microsoft.com/office/drawing/2014/main" id="{00000000-0008-0000-0500-000014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1" name="Line 20">
          <a:extLst>
            <a:ext uri="{FF2B5EF4-FFF2-40B4-BE49-F238E27FC236}">
              <a16:creationId xmlns:a16="http://schemas.microsoft.com/office/drawing/2014/main" id="{00000000-0008-0000-0500-000015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2" name="Line 21">
          <a:extLst>
            <a:ext uri="{FF2B5EF4-FFF2-40B4-BE49-F238E27FC236}">
              <a16:creationId xmlns:a16="http://schemas.microsoft.com/office/drawing/2014/main" id="{00000000-0008-0000-0500-000016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3" name="Line 22">
          <a:extLst>
            <a:ext uri="{FF2B5EF4-FFF2-40B4-BE49-F238E27FC236}">
              <a16:creationId xmlns:a16="http://schemas.microsoft.com/office/drawing/2014/main" id="{00000000-0008-0000-0500-000017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4" name="Line 23">
          <a:extLst>
            <a:ext uri="{FF2B5EF4-FFF2-40B4-BE49-F238E27FC236}">
              <a16:creationId xmlns:a16="http://schemas.microsoft.com/office/drawing/2014/main" id="{00000000-0008-0000-0500-000018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5" name="Line 24">
          <a:extLst>
            <a:ext uri="{FF2B5EF4-FFF2-40B4-BE49-F238E27FC236}">
              <a16:creationId xmlns:a16="http://schemas.microsoft.com/office/drawing/2014/main" id="{00000000-0008-0000-0500-000019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6" name="Line 25">
          <a:extLst>
            <a:ext uri="{FF2B5EF4-FFF2-40B4-BE49-F238E27FC236}">
              <a16:creationId xmlns:a16="http://schemas.microsoft.com/office/drawing/2014/main" id="{00000000-0008-0000-0500-00001A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7" name="Line 26">
          <a:extLst>
            <a:ext uri="{FF2B5EF4-FFF2-40B4-BE49-F238E27FC236}">
              <a16:creationId xmlns:a16="http://schemas.microsoft.com/office/drawing/2014/main" id="{00000000-0008-0000-0500-00001B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8" name="Line 27">
          <a:extLst>
            <a:ext uri="{FF2B5EF4-FFF2-40B4-BE49-F238E27FC236}">
              <a16:creationId xmlns:a16="http://schemas.microsoft.com/office/drawing/2014/main" id="{00000000-0008-0000-0500-00001C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29" name="Line 28">
          <a:extLst>
            <a:ext uri="{FF2B5EF4-FFF2-40B4-BE49-F238E27FC236}">
              <a16:creationId xmlns:a16="http://schemas.microsoft.com/office/drawing/2014/main" id="{00000000-0008-0000-0500-00001D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30" name="Line 29">
          <a:extLst>
            <a:ext uri="{FF2B5EF4-FFF2-40B4-BE49-F238E27FC236}">
              <a16:creationId xmlns:a16="http://schemas.microsoft.com/office/drawing/2014/main" id="{00000000-0008-0000-0500-00001E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31" name="Line 30">
          <a:extLst>
            <a:ext uri="{FF2B5EF4-FFF2-40B4-BE49-F238E27FC236}">
              <a16:creationId xmlns:a16="http://schemas.microsoft.com/office/drawing/2014/main" id="{00000000-0008-0000-0500-00001F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32" name="Line 31">
          <a:extLst>
            <a:ext uri="{FF2B5EF4-FFF2-40B4-BE49-F238E27FC236}">
              <a16:creationId xmlns:a16="http://schemas.microsoft.com/office/drawing/2014/main" id="{00000000-0008-0000-0500-000020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33" name="Line 32">
          <a:extLst>
            <a:ext uri="{FF2B5EF4-FFF2-40B4-BE49-F238E27FC236}">
              <a16:creationId xmlns:a16="http://schemas.microsoft.com/office/drawing/2014/main" id="{00000000-0008-0000-0500-000021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34" name="Line 33">
          <a:extLst>
            <a:ext uri="{FF2B5EF4-FFF2-40B4-BE49-F238E27FC236}">
              <a16:creationId xmlns:a16="http://schemas.microsoft.com/office/drawing/2014/main" id="{00000000-0008-0000-0500-000022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35" name="Line 34">
          <a:extLst>
            <a:ext uri="{FF2B5EF4-FFF2-40B4-BE49-F238E27FC236}">
              <a16:creationId xmlns:a16="http://schemas.microsoft.com/office/drawing/2014/main" id="{00000000-0008-0000-0500-000023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36" name="Line 35">
          <a:extLst>
            <a:ext uri="{FF2B5EF4-FFF2-40B4-BE49-F238E27FC236}">
              <a16:creationId xmlns:a16="http://schemas.microsoft.com/office/drawing/2014/main" id="{00000000-0008-0000-0500-000024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37" name="Line 36">
          <a:extLst>
            <a:ext uri="{FF2B5EF4-FFF2-40B4-BE49-F238E27FC236}">
              <a16:creationId xmlns:a16="http://schemas.microsoft.com/office/drawing/2014/main" id="{00000000-0008-0000-0500-000025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38" name="Line 37">
          <a:extLst>
            <a:ext uri="{FF2B5EF4-FFF2-40B4-BE49-F238E27FC236}">
              <a16:creationId xmlns:a16="http://schemas.microsoft.com/office/drawing/2014/main" id="{00000000-0008-0000-0500-000026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39" name="Line 38">
          <a:extLst>
            <a:ext uri="{FF2B5EF4-FFF2-40B4-BE49-F238E27FC236}">
              <a16:creationId xmlns:a16="http://schemas.microsoft.com/office/drawing/2014/main" id="{00000000-0008-0000-0500-000027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40" name="Line 39">
          <a:extLst>
            <a:ext uri="{FF2B5EF4-FFF2-40B4-BE49-F238E27FC236}">
              <a16:creationId xmlns:a16="http://schemas.microsoft.com/office/drawing/2014/main" id="{00000000-0008-0000-0500-000028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41" name="Line 40">
          <a:extLst>
            <a:ext uri="{FF2B5EF4-FFF2-40B4-BE49-F238E27FC236}">
              <a16:creationId xmlns:a16="http://schemas.microsoft.com/office/drawing/2014/main" id="{00000000-0008-0000-0500-000029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42" name="Line 41">
          <a:extLst>
            <a:ext uri="{FF2B5EF4-FFF2-40B4-BE49-F238E27FC236}">
              <a16:creationId xmlns:a16="http://schemas.microsoft.com/office/drawing/2014/main" id="{00000000-0008-0000-0500-00002A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43" name="Line 42">
          <a:extLst>
            <a:ext uri="{FF2B5EF4-FFF2-40B4-BE49-F238E27FC236}">
              <a16:creationId xmlns:a16="http://schemas.microsoft.com/office/drawing/2014/main" id="{00000000-0008-0000-0500-00002B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44" name="Line 43">
          <a:extLst>
            <a:ext uri="{FF2B5EF4-FFF2-40B4-BE49-F238E27FC236}">
              <a16:creationId xmlns:a16="http://schemas.microsoft.com/office/drawing/2014/main" id="{00000000-0008-0000-0500-00002C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45" name="Line 44">
          <a:extLst>
            <a:ext uri="{FF2B5EF4-FFF2-40B4-BE49-F238E27FC236}">
              <a16:creationId xmlns:a16="http://schemas.microsoft.com/office/drawing/2014/main" id="{00000000-0008-0000-0500-00002D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46" name="Line 45">
          <a:extLst>
            <a:ext uri="{FF2B5EF4-FFF2-40B4-BE49-F238E27FC236}">
              <a16:creationId xmlns:a16="http://schemas.microsoft.com/office/drawing/2014/main" id="{00000000-0008-0000-0500-00002E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47" name="Line 46">
          <a:extLst>
            <a:ext uri="{FF2B5EF4-FFF2-40B4-BE49-F238E27FC236}">
              <a16:creationId xmlns:a16="http://schemas.microsoft.com/office/drawing/2014/main" id="{00000000-0008-0000-0500-00002F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48" name="Line 47">
          <a:extLst>
            <a:ext uri="{FF2B5EF4-FFF2-40B4-BE49-F238E27FC236}">
              <a16:creationId xmlns:a16="http://schemas.microsoft.com/office/drawing/2014/main" id="{00000000-0008-0000-0500-000030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twoCellAnchor>
    <xdr:from>
      <xdr:col>5</xdr:col>
      <xdr:colOff>0</xdr:colOff>
      <xdr:row>0</xdr:row>
      <xdr:rowOff>9525</xdr:rowOff>
    </xdr:from>
    <xdr:to>
      <xdr:col>5</xdr:col>
      <xdr:colOff>0</xdr:colOff>
      <xdr:row>0</xdr:row>
      <xdr:rowOff>9525</xdr:rowOff>
    </xdr:to>
    <xdr:sp macro="" textlink="">
      <xdr:nvSpPr>
        <xdr:cNvPr id="49" name="Line 48">
          <a:extLst>
            <a:ext uri="{FF2B5EF4-FFF2-40B4-BE49-F238E27FC236}">
              <a16:creationId xmlns:a16="http://schemas.microsoft.com/office/drawing/2014/main" id="{00000000-0008-0000-0500-000031000000}"/>
            </a:ext>
          </a:extLst>
        </xdr:cNvPr>
        <xdr:cNvSpPr>
          <a:spLocks noChangeShapeType="1"/>
        </xdr:cNvSpPr>
      </xdr:nvSpPr>
      <xdr:spPr bwMode="auto">
        <a:xfrm>
          <a:off x="6619875" y="9525"/>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ls.gov/regions/mid-atlantic/data/consumerpriceindexhistorical_us_table.htm"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30"/>
  <sheetViews>
    <sheetView topLeftCell="A13" workbookViewId="0">
      <selection activeCell="C29" sqref="C29"/>
    </sheetView>
  </sheetViews>
  <sheetFormatPr defaultRowHeight="12.75" x14ac:dyDescent="0.35"/>
  <cols>
    <col min="1" max="1" width="23.3984375" bestFit="1" customWidth="1"/>
    <col min="2" max="2" width="20.73046875" bestFit="1" customWidth="1"/>
    <col min="3" max="3" width="18.73046875" bestFit="1" customWidth="1"/>
    <col min="4" max="5" width="17.73046875" bestFit="1" customWidth="1"/>
    <col min="6" max="6" width="17.59765625" bestFit="1" customWidth="1"/>
    <col min="7" max="7" width="18.73046875" bestFit="1" customWidth="1"/>
    <col min="8" max="8" width="17.59765625" bestFit="1" customWidth="1"/>
    <col min="9" max="9" width="22" bestFit="1" customWidth="1"/>
    <col min="10" max="10" width="9.265625" bestFit="1" customWidth="1"/>
  </cols>
  <sheetData>
    <row r="1" spans="1:9" x14ac:dyDescent="0.35">
      <c r="A1" t="s">
        <v>62</v>
      </c>
      <c r="B1" t="s">
        <v>63</v>
      </c>
      <c r="C1" s="36" t="s">
        <v>64</v>
      </c>
      <c r="D1" s="36" t="s">
        <v>65</v>
      </c>
      <c r="E1" s="36" t="s">
        <v>66</v>
      </c>
      <c r="F1" s="36" t="s">
        <v>0</v>
      </c>
    </row>
    <row r="2" spans="1:9" x14ac:dyDescent="0.35">
      <c r="A2">
        <v>1999</v>
      </c>
      <c r="B2" s="8">
        <f>'Prior Year Funding Levels'!B62</f>
        <v>4310700000</v>
      </c>
      <c r="C2" s="8">
        <v>9700000</v>
      </c>
    </row>
    <row r="3" spans="1:9" x14ac:dyDescent="0.35">
      <c r="A3">
        <v>2000</v>
      </c>
      <c r="B3" s="8"/>
      <c r="C3" s="8"/>
    </row>
    <row r="4" spans="1:9" x14ac:dyDescent="0.35">
      <c r="A4">
        <v>2001</v>
      </c>
      <c r="B4" s="8">
        <v>6339685000</v>
      </c>
      <c r="C4" s="8">
        <v>23244059</v>
      </c>
    </row>
    <row r="5" spans="1:9" x14ac:dyDescent="0.35">
      <c r="A5">
        <v>2002</v>
      </c>
      <c r="B5" s="8">
        <v>7528533000</v>
      </c>
      <c r="C5" s="8">
        <v>22579306</v>
      </c>
    </row>
    <row r="6" spans="1:9" x14ac:dyDescent="0.35">
      <c r="A6">
        <v>2003</v>
      </c>
      <c r="B6" s="8">
        <v>8874397536</v>
      </c>
      <c r="C6" s="8">
        <v>22579306</v>
      </c>
    </row>
    <row r="7" spans="1:9" x14ac:dyDescent="0.35">
      <c r="A7">
        <v>2004</v>
      </c>
      <c r="B7" s="8">
        <v>10068106452</v>
      </c>
      <c r="C7" s="8">
        <v>22579306</v>
      </c>
    </row>
    <row r="8" spans="1:9" x14ac:dyDescent="0.35">
      <c r="A8">
        <v>2005</v>
      </c>
      <c r="B8" s="8">
        <v>10589745824</v>
      </c>
      <c r="C8" s="8">
        <v>10000000</v>
      </c>
    </row>
    <row r="9" spans="1:9" x14ac:dyDescent="0.35">
      <c r="A9">
        <v>2006</v>
      </c>
      <c r="B9" s="8">
        <v>10582960540</v>
      </c>
      <c r="C9" s="8">
        <v>15000000</v>
      </c>
    </row>
    <row r="10" spans="1:9" x14ac:dyDescent="0.35">
      <c r="A10">
        <v>2007</v>
      </c>
      <c r="B10" s="8">
        <v>10782961000</v>
      </c>
      <c r="C10" s="8">
        <v>15000000</v>
      </c>
      <c r="H10" s="137"/>
    </row>
    <row r="11" spans="1:9" x14ac:dyDescent="0.35">
      <c r="A11">
        <v>2008</v>
      </c>
      <c r="B11" s="109">
        <f>10947511571</f>
        <v>10947511571</v>
      </c>
      <c r="C11" s="8">
        <v>15000000</v>
      </c>
    </row>
    <row r="12" spans="1:9" x14ac:dyDescent="0.35">
      <c r="A12">
        <v>2009</v>
      </c>
      <c r="B12" s="8">
        <f>11505211000</f>
        <v>11505211000</v>
      </c>
      <c r="C12" s="8">
        <v>15000000</v>
      </c>
    </row>
    <row r="13" spans="1:9" ht="13.15" thickBot="1" x14ac:dyDescent="0.4">
      <c r="A13" s="111">
        <v>2010</v>
      </c>
      <c r="B13" s="112">
        <f>11505211000</f>
        <v>11505211000</v>
      </c>
      <c r="C13" s="112">
        <v>25000000</v>
      </c>
      <c r="D13" s="111"/>
      <c r="E13" s="111"/>
      <c r="F13" s="111"/>
    </row>
    <row r="14" spans="1:9" x14ac:dyDescent="0.35">
      <c r="A14">
        <v>2011</v>
      </c>
      <c r="B14" s="110">
        <f>SUM(D14:E14)</f>
        <v>11465960974</v>
      </c>
      <c r="C14" s="8">
        <v>25000000</v>
      </c>
      <c r="D14" s="120">
        <v>2889817578</v>
      </c>
      <c r="E14" s="120">
        <v>8576143396</v>
      </c>
      <c r="F14" s="8"/>
    </row>
    <row r="15" spans="1:9" x14ac:dyDescent="0.35">
      <c r="A15">
        <v>2012</v>
      </c>
      <c r="B15" s="110">
        <f>D15+E15</f>
        <v>11577855236</v>
      </c>
      <c r="C15" s="8">
        <v>25000000</v>
      </c>
      <c r="D15" s="8">
        <v>2294472236</v>
      </c>
      <c r="E15" s="8">
        <v>9283383000</v>
      </c>
    </row>
    <row r="16" spans="1:9" x14ac:dyDescent="0.35">
      <c r="A16">
        <v>2013</v>
      </c>
      <c r="B16" s="110">
        <f>D16+E16</f>
        <v>10974865803</v>
      </c>
      <c r="C16" s="8">
        <v>23692500</v>
      </c>
      <c r="D16" s="8">
        <v>1691482803</v>
      </c>
      <c r="E16" s="8">
        <v>9283383000</v>
      </c>
      <c r="G16" s="36"/>
      <c r="H16" s="138"/>
      <c r="I16" s="36"/>
    </row>
    <row r="17" spans="1:9" x14ac:dyDescent="0.35">
      <c r="A17">
        <v>2014</v>
      </c>
      <c r="B17" s="110">
        <v>11472848000</v>
      </c>
      <c r="C17" s="8">
        <v>15000000</v>
      </c>
      <c r="D17" s="8">
        <v>2189465000</v>
      </c>
      <c r="E17" s="8">
        <v>9283383000</v>
      </c>
      <c r="F17" s="8"/>
      <c r="G17" s="139"/>
      <c r="H17" s="140"/>
      <c r="I17" s="124"/>
    </row>
    <row r="18" spans="1:9" x14ac:dyDescent="0.35">
      <c r="A18">
        <v>2015</v>
      </c>
      <c r="B18" s="110">
        <v>11497848000</v>
      </c>
      <c r="C18" s="8">
        <v>13000000</v>
      </c>
      <c r="D18" s="8">
        <f>B18-E18</f>
        <v>2214465000</v>
      </c>
      <c r="E18" s="8">
        <v>9283383000</v>
      </c>
      <c r="H18" s="8"/>
    </row>
    <row r="19" spans="1:9" x14ac:dyDescent="0.35">
      <c r="A19">
        <v>2016</v>
      </c>
      <c r="B19" s="110">
        <f>D19+E19</f>
        <v>11912848000</v>
      </c>
      <c r="C19" s="8">
        <v>20000000</v>
      </c>
      <c r="D19" s="8">
        <v>2629465000</v>
      </c>
      <c r="E19" s="8">
        <v>9283383000</v>
      </c>
      <c r="G19" s="36"/>
      <c r="H19" s="36"/>
      <c r="I19" s="36"/>
    </row>
    <row r="20" spans="1:9" x14ac:dyDescent="0.35">
      <c r="A20">
        <v>2017</v>
      </c>
      <c r="B20" s="110">
        <v>12002848000</v>
      </c>
      <c r="C20" s="8">
        <v>21400000</v>
      </c>
      <c r="D20" s="8">
        <v>2719465000</v>
      </c>
      <c r="E20" s="8">
        <v>9283383000</v>
      </c>
      <c r="G20" s="139"/>
      <c r="H20" s="139"/>
      <c r="I20" s="124"/>
    </row>
    <row r="21" spans="1:9" x14ac:dyDescent="0.35">
      <c r="A21">
        <v>2018</v>
      </c>
      <c r="B21" s="110">
        <v>12277848000</v>
      </c>
      <c r="C21" s="8">
        <v>21000000</v>
      </c>
      <c r="D21" s="8">
        <v>2994465000</v>
      </c>
      <c r="E21" s="8">
        <v>9283383000</v>
      </c>
    </row>
    <row r="22" spans="1:9" x14ac:dyDescent="0.35">
      <c r="A22">
        <v>2019</v>
      </c>
      <c r="B22" s="110">
        <v>12364392000</v>
      </c>
      <c r="C22" s="8">
        <v>20000000</v>
      </c>
      <c r="D22" s="8">
        <v>3081009000</v>
      </c>
      <c r="E22" s="8">
        <v>9283383000</v>
      </c>
      <c r="F22" s="8">
        <v>38012241</v>
      </c>
      <c r="I22" s="72"/>
    </row>
    <row r="23" spans="1:9" x14ac:dyDescent="0.35">
      <c r="A23">
        <v>2020</v>
      </c>
      <c r="B23" s="110">
        <v>12764392000</v>
      </c>
      <c r="C23" s="8">
        <v>10000000</v>
      </c>
      <c r="D23" s="8">
        <v>3481009000</v>
      </c>
      <c r="E23" s="8">
        <v>9283383000</v>
      </c>
      <c r="F23" s="8">
        <v>38012241</v>
      </c>
    </row>
    <row r="24" spans="1:9" x14ac:dyDescent="0.35">
      <c r="A24">
        <v>2021</v>
      </c>
      <c r="B24" s="110">
        <f>12937457000+2580000000</f>
        <v>15517457000</v>
      </c>
      <c r="C24" s="8">
        <v>25000000</v>
      </c>
      <c r="D24" s="8">
        <f>3654074000+2580000000</f>
        <v>6234074000</v>
      </c>
      <c r="E24" s="8">
        <v>9283383000</v>
      </c>
      <c r="F24" s="8">
        <v>45600000</v>
      </c>
      <c r="G24" s="72"/>
      <c r="H24" s="72"/>
    </row>
    <row r="25" spans="1:9" x14ac:dyDescent="0.35">
      <c r="A25">
        <v>2022</v>
      </c>
      <c r="B25" s="110">
        <v>13343704000</v>
      </c>
      <c r="C25" s="8">
        <v>20000000</v>
      </c>
      <c r="D25" s="8">
        <f t="shared" ref="D25:D30" si="0">B25-E25</f>
        <v>4060321000</v>
      </c>
      <c r="E25" s="8">
        <v>9283383000</v>
      </c>
      <c r="F25" s="8">
        <v>38500000</v>
      </c>
    </row>
    <row r="26" spans="1:9" x14ac:dyDescent="0.35">
      <c r="A26">
        <v>2023</v>
      </c>
      <c r="B26" s="110">
        <v>14193704000</v>
      </c>
      <c r="C26" s="8">
        <v>20000000</v>
      </c>
      <c r="D26" s="8">
        <f t="shared" si="0"/>
        <v>4910321000</v>
      </c>
      <c r="E26" s="8">
        <v>9283383000</v>
      </c>
      <c r="F26" s="8">
        <f>MAX(F25,F25*(1+(B26-B25)/B25))</f>
        <v>40952467.470801212</v>
      </c>
    </row>
    <row r="27" spans="1:9" x14ac:dyDescent="0.35">
      <c r="A27">
        <v>2024</v>
      </c>
      <c r="B27" s="110">
        <v>14213704000</v>
      </c>
      <c r="C27" s="8">
        <v>27500000</v>
      </c>
      <c r="D27" s="8">
        <f t="shared" si="0"/>
        <v>4930321000</v>
      </c>
      <c r="E27" s="8">
        <v>9283383000</v>
      </c>
      <c r="F27" s="8">
        <f>MAX(F26,F26*(1+(B27-B26)/B26))</f>
        <v>41010172.587761238</v>
      </c>
    </row>
    <row r="28" spans="1:9" x14ac:dyDescent="0.35">
      <c r="A28">
        <v>2025</v>
      </c>
      <c r="B28" s="110">
        <v>14213703999.999996</v>
      </c>
      <c r="C28" s="8">
        <v>27500000</v>
      </c>
      <c r="D28" s="8">
        <f t="shared" si="0"/>
        <v>4930320999.9999962</v>
      </c>
      <c r="E28" s="8">
        <v>9283383000</v>
      </c>
      <c r="F28" s="8">
        <f>MAX(F27,F27*(1+(B28-B27)/B27))</f>
        <v>41010172.587761238</v>
      </c>
    </row>
    <row r="29" spans="1:9" x14ac:dyDescent="0.35">
      <c r="A29">
        <v>2026</v>
      </c>
      <c r="B29" s="110">
        <f>14233704000+107544697</f>
        <v>14341248697</v>
      </c>
      <c r="C29" s="8">
        <v>24500000</v>
      </c>
      <c r="D29" s="8">
        <f t="shared" si="0"/>
        <v>5057865697</v>
      </c>
      <c r="E29" s="8">
        <v>9283383000</v>
      </c>
      <c r="F29" s="8">
        <v>41010172.587761238</v>
      </c>
    </row>
    <row r="30" spans="1:9" x14ac:dyDescent="0.35">
      <c r="A30">
        <v>2027</v>
      </c>
      <c r="B30" s="110">
        <v>15400819000</v>
      </c>
      <c r="C30" s="8">
        <v>27500000</v>
      </c>
      <c r="D30" s="8">
        <f t="shared" si="0"/>
        <v>6117436000</v>
      </c>
      <c r="E30" s="8">
        <v>9283383000</v>
      </c>
      <c r="F30" s="8">
        <f>MAX(F29,F29*(1+(B30-B29)/B29))</f>
        <v>44040115.231736608</v>
      </c>
    </row>
  </sheetData>
  <phoneticPr fontId="0"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dimension ref="A1:AC278"/>
  <sheetViews>
    <sheetView tabSelected="1" zoomScaleNormal="100" workbookViewId="0">
      <selection activeCell="D16" sqref="D16"/>
    </sheetView>
  </sheetViews>
  <sheetFormatPr defaultColWidth="9.265625" defaultRowHeight="12.75" x14ac:dyDescent="0.35"/>
  <cols>
    <col min="1" max="1" width="4.265625" style="36" customWidth="1"/>
    <col min="2" max="2" width="29" style="36" bestFit="1" customWidth="1"/>
    <col min="3" max="3" width="6" style="36" customWidth="1"/>
    <col min="4" max="4" width="29.265625" style="36" customWidth="1"/>
    <col min="5" max="5" width="29" style="36" customWidth="1"/>
    <col min="6" max="6" width="17.265625" style="36" customWidth="1"/>
    <col min="7" max="7" width="2.265625" style="242" customWidth="1"/>
    <col min="8" max="8" width="21.59765625" style="36" customWidth="1"/>
    <col min="9" max="9" width="14.3984375" style="36" customWidth="1"/>
    <col min="10" max="10" width="16.265625" style="36" customWidth="1"/>
    <col min="11" max="11" width="9.265625" style="36"/>
    <col min="12" max="12" width="9.59765625" style="36" bestFit="1" customWidth="1"/>
    <col min="13" max="14" width="9.265625" style="36"/>
    <col min="15" max="15" width="11.265625" style="36" customWidth="1"/>
    <col min="16" max="16" width="12.73046875" style="36" customWidth="1"/>
    <col min="17" max="17" width="6.3984375" style="244" customWidth="1"/>
    <col min="18" max="18" width="5.3984375" style="244" customWidth="1"/>
    <col min="19" max="19" width="5.265625" style="244" customWidth="1"/>
    <col min="20" max="20" width="12.73046875" style="244" customWidth="1"/>
    <col min="21" max="21" width="12.3984375" style="244" customWidth="1"/>
    <col min="22" max="22" width="14.265625" style="244" customWidth="1"/>
    <col min="23" max="23" width="13.73046875" style="244" customWidth="1"/>
    <col min="24" max="24" width="15.59765625" style="244" customWidth="1"/>
    <col min="25" max="25" width="13.59765625" style="244" customWidth="1"/>
    <col min="26" max="26" width="16.73046875" style="244" customWidth="1"/>
    <col min="27" max="29" width="9.265625" style="244"/>
    <col min="30" max="16384" width="9.265625" style="36"/>
  </cols>
  <sheetData>
    <row r="1" spans="1:21" ht="20.65" x14ac:dyDescent="0.6">
      <c r="A1" s="287" t="s">
        <v>8</v>
      </c>
      <c r="B1" s="287"/>
      <c r="C1" s="287"/>
      <c r="D1" s="287"/>
      <c r="E1" s="287"/>
      <c r="F1" s="38" t="s">
        <v>282</v>
      </c>
      <c r="G1" s="220" t="s">
        <v>94</v>
      </c>
      <c r="H1" s="39">
        <v>2026</v>
      </c>
      <c r="I1" s="190"/>
      <c r="J1" s="190"/>
      <c r="K1" s="190"/>
      <c r="L1" s="190"/>
      <c r="M1" s="190"/>
      <c r="N1" s="190"/>
      <c r="O1" s="190"/>
      <c r="P1" s="190"/>
      <c r="U1" s="36" t="s">
        <v>281</v>
      </c>
    </row>
    <row r="2" spans="1:21" s="244" customFormat="1" x14ac:dyDescent="0.35">
      <c r="A2" s="251"/>
      <c r="B2" s="263">
        <f>VLOOKUP($A1,fund_table,MATCH($H$1,year_row,0),0)</f>
        <v>160106558</v>
      </c>
      <c r="C2" s="252"/>
      <c r="D2" s="263">
        <f>VLOOKUP(A1,admin,MATCH(H1,admin_year,0),0)</f>
        <v>4133616</v>
      </c>
      <c r="E2" s="263">
        <f>VLOOKUP($A$1,other,MATCH($H$1&amp;" RPHA",other_label,0),0)</f>
        <v>19982646.925496094</v>
      </c>
      <c r="F2" s="263">
        <f>VLOOKUP($A$1,other,MATCH($H$1&amp;" HA",other_label,0),0)</f>
        <v>17881531.633658901</v>
      </c>
      <c r="G2" s="263">
        <f>VLOOKUP($A$1,other,MATCH($H$1&amp;" RPLA",other_label,0),0)</f>
        <v>20981779.271770891</v>
      </c>
      <c r="H2" s="263">
        <f>VLOOKUP($A$1,other,MATCH($H$1&amp;" LA",other_label,0),0)</f>
        <v>18983514.57922129</v>
      </c>
      <c r="I2" s="263">
        <f>VLOOKUP(A1,admin,MATCH(2004,admin_year,0),0)</f>
        <v>2354685</v>
      </c>
      <c r="J2" s="251"/>
      <c r="K2" s="251"/>
      <c r="L2" s="251"/>
      <c r="M2" s="251"/>
      <c r="N2" s="251"/>
      <c r="O2" s="251"/>
      <c r="P2" s="251"/>
      <c r="U2" s="36" t="s">
        <v>2</v>
      </c>
    </row>
    <row r="3" spans="1:21" ht="13.15" x14ac:dyDescent="0.4">
      <c r="A3" s="272" t="s">
        <v>283</v>
      </c>
      <c r="B3" s="272"/>
      <c r="C3" s="272"/>
      <c r="D3" s="272"/>
      <c r="E3" s="272"/>
      <c r="F3" s="272"/>
      <c r="G3" s="221"/>
      <c r="H3" s="222"/>
      <c r="I3" s="223">
        <f>B2</f>
        <v>160106558</v>
      </c>
      <c r="J3" s="190"/>
      <c r="K3" s="190"/>
      <c r="L3" s="190"/>
      <c r="M3" s="190"/>
      <c r="N3" s="190"/>
      <c r="O3" s="190"/>
      <c r="P3" s="190"/>
      <c r="U3" s="36" t="s">
        <v>3</v>
      </c>
    </row>
    <row r="4" spans="1:21" ht="13.15" x14ac:dyDescent="0.4">
      <c r="A4" s="42"/>
      <c r="B4" s="42"/>
      <c r="C4" s="42"/>
      <c r="D4" s="42"/>
      <c r="E4" s="42"/>
      <c r="F4" s="42"/>
      <c r="G4" s="220"/>
      <c r="H4" s="190"/>
      <c r="I4" s="224"/>
      <c r="J4" s="190"/>
      <c r="K4" s="190"/>
      <c r="L4" s="190"/>
      <c r="M4" s="190"/>
      <c r="N4" s="190"/>
      <c r="O4" s="190"/>
      <c r="P4" s="190"/>
      <c r="U4" s="36" t="s">
        <v>4</v>
      </c>
    </row>
    <row r="5" spans="1:21" ht="13.15" x14ac:dyDescent="0.4">
      <c r="A5" s="282" t="s">
        <v>284</v>
      </c>
      <c r="B5" s="282"/>
      <c r="C5" s="282"/>
      <c r="D5" s="282"/>
      <c r="E5" s="282"/>
      <c r="F5" s="282"/>
      <c r="G5" s="220"/>
      <c r="H5" s="190"/>
      <c r="I5" s="224">
        <f>SUM(I3:I3)</f>
        <v>160106558</v>
      </c>
      <c r="J5" s="190"/>
      <c r="K5" s="190"/>
      <c r="L5" s="190"/>
      <c r="M5" s="190"/>
      <c r="N5" s="190"/>
      <c r="O5" s="190"/>
      <c r="P5" s="190"/>
      <c r="U5" s="36" t="s">
        <v>5</v>
      </c>
    </row>
    <row r="6" spans="1:21" x14ac:dyDescent="0.35">
      <c r="A6" s="190"/>
      <c r="B6" s="190"/>
      <c r="C6" s="190"/>
      <c r="D6" s="190"/>
      <c r="E6" s="190"/>
      <c r="F6" s="190"/>
      <c r="G6" s="220"/>
      <c r="H6" s="190"/>
      <c r="I6" s="224"/>
      <c r="J6" s="190"/>
      <c r="K6" s="190"/>
      <c r="L6" s="190"/>
      <c r="M6" s="190"/>
      <c r="N6" s="190"/>
      <c r="O6" s="190"/>
      <c r="P6" s="190"/>
      <c r="U6" s="36" t="s">
        <v>6</v>
      </c>
    </row>
    <row r="7" spans="1:21" ht="13.15" x14ac:dyDescent="0.4">
      <c r="A7" s="42" t="s">
        <v>285</v>
      </c>
      <c r="B7" s="190"/>
      <c r="C7" s="190"/>
      <c r="D7" s="190"/>
      <c r="E7" s="190"/>
      <c r="F7" s="190"/>
      <c r="G7" s="220"/>
      <c r="H7" s="190"/>
      <c r="I7" s="224"/>
      <c r="J7" s="190"/>
      <c r="K7" s="190"/>
      <c r="L7" s="190"/>
      <c r="M7" s="190"/>
      <c r="N7" s="190"/>
      <c r="O7" s="190"/>
      <c r="P7" s="190"/>
      <c r="U7" s="36" t="s">
        <v>7</v>
      </c>
    </row>
    <row r="8" spans="1:21" ht="13.15" x14ac:dyDescent="0.35">
      <c r="A8" s="190"/>
      <c r="B8" s="190"/>
      <c r="C8" s="190"/>
      <c r="D8" s="190"/>
      <c r="E8" s="190"/>
      <c r="F8" s="190"/>
      <c r="G8" s="40" t="s">
        <v>286</v>
      </c>
      <c r="H8" s="190"/>
      <c r="I8" s="225"/>
      <c r="J8" s="190"/>
      <c r="K8" s="190"/>
      <c r="L8" s="190"/>
      <c r="M8" s="190"/>
      <c r="N8" s="190"/>
      <c r="O8" s="190"/>
      <c r="P8" s="190"/>
      <c r="U8" s="36" t="s">
        <v>8</v>
      </c>
    </row>
    <row r="9" spans="1:21" ht="13.15" x14ac:dyDescent="0.35">
      <c r="A9" s="284" t="s">
        <v>287</v>
      </c>
      <c r="B9" s="284"/>
      <c r="C9" s="284"/>
      <c r="D9" s="284"/>
      <c r="E9" s="284"/>
      <c r="F9" s="284"/>
      <c r="G9" s="40" t="s">
        <v>288</v>
      </c>
      <c r="H9" s="190"/>
      <c r="I9" s="243">
        <f>D2</f>
        <v>4133616</v>
      </c>
      <c r="J9" s="190"/>
      <c r="K9" s="190"/>
      <c r="L9" s="190"/>
      <c r="M9" s="190"/>
      <c r="N9" s="190"/>
      <c r="O9" s="190"/>
      <c r="P9" s="190"/>
      <c r="U9" s="36" t="s">
        <v>9</v>
      </c>
    </row>
    <row r="10" spans="1:21" x14ac:dyDescent="0.35">
      <c r="A10" s="190"/>
      <c r="B10" s="190"/>
      <c r="C10" s="190"/>
      <c r="D10" s="190"/>
      <c r="E10" s="190"/>
      <c r="F10" s="190"/>
      <c r="G10" s="220"/>
      <c r="H10" s="190"/>
      <c r="I10" s="190"/>
      <c r="J10" s="190"/>
      <c r="K10" s="190"/>
      <c r="L10" s="190"/>
      <c r="M10" s="190"/>
      <c r="N10" s="190"/>
      <c r="O10" s="190"/>
      <c r="P10" s="190"/>
      <c r="U10" s="36" t="s">
        <v>10</v>
      </c>
    </row>
    <row r="11" spans="1:21" ht="12.75" customHeight="1" x14ac:dyDescent="0.35">
      <c r="A11" s="284" t="s">
        <v>289</v>
      </c>
      <c r="B11" s="284"/>
      <c r="C11" s="284"/>
      <c r="D11" s="284"/>
      <c r="E11" s="284"/>
      <c r="F11" s="284"/>
      <c r="G11" s="220"/>
      <c r="H11" s="190"/>
      <c r="I11" s="226">
        <v>4133616</v>
      </c>
      <c r="J11" s="258" t="str">
        <f>IF(SUM(I11:I11)&gt;I9,"PROBLEM The amount you want to set aside is more than the maximum amount available to be set aside.","OK")</f>
        <v>OK</v>
      </c>
      <c r="K11" s="258"/>
      <c r="L11" s="258"/>
      <c r="M11" s="258"/>
      <c r="N11" s="258"/>
      <c r="O11" s="258"/>
      <c r="P11" s="258"/>
      <c r="U11" s="36" t="s">
        <v>11</v>
      </c>
    </row>
    <row r="12" spans="1:21" ht="12.75" customHeight="1" x14ac:dyDescent="0.35">
      <c r="A12" s="190"/>
      <c r="B12" s="190"/>
      <c r="C12" s="190"/>
      <c r="D12" s="190"/>
      <c r="E12" s="190"/>
      <c r="F12" s="190"/>
      <c r="G12" s="220"/>
      <c r="H12" s="190"/>
      <c r="I12" s="190" t="str">
        <f>IF(SUM(I11:I11)&lt;&gt;ROUND(SUM(I11:I11),0),"WHOLE DOLLARS","")</f>
        <v/>
      </c>
      <c r="J12" s="258"/>
      <c r="K12" s="258"/>
      <c r="L12" s="258"/>
      <c r="M12" s="258"/>
      <c r="N12" s="258"/>
      <c r="O12" s="258"/>
      <c r="P12" s="258"/>
      <c r="U12" s="36" t="s">
        <v>12</v>
      </c>
    </row>
    <row r="13" spans="1:21" ht="13.15" x14ac:dyDescent="0.35">
      <c r="A13" s="190"/>
      <c r="B13" s="190"/>
      <c r="C13" s="190"/>
      <c r="D13" s="190"/>
      <c r="E13" s="190"/>
      <c r="F13" s="190"/>
      <c r="G13" s="220"/>
      <c r="H13" s="258" t="str">
        <f>IF(SUM(I11:I11)&gt;I9,"You must reduce the amount you intend to set aside for Administration before you proceed!"," ")</f>
        <v xml:space="preserve"> </v>
      </c>
      <c r="I13" s="258"/>
      <c r="J13" s="258"/>
      <c r="K13" s="258"/>
      <c r="L13" s="258"/>
      <c r="M13" s="258"/>
      <c r="N13" s="258"/>
      <c r="O13" s="258"/>
      <c r="P13" s="258"/>
      <c r="U13" s="36" t="s">
        <v>13</v>
      </c>
    </row>
    <row r="14" spans="1:21" ht="13.15" x14ac:dyDescent="0.4">
      <c r="A14" s="282" t="s">
        <v>290</v>
      </c>
      <c r="B14" s="282"/>
      <c r="C14" s="282"/>
      <c r="D14" s="282"/>
      <c r="E14" s="282"/>
      <c r="F14" s="282"/>
      <c r="G14" s="220"/>
      <c r="H14" s="190"/>
      <c r="I14" s="227"/>
      <c r="J14" s="190"/>
      <c r="K14" s="190"/>
      <c r="L14" s="190"/>
      <c r="M14" s="190"/>
      <c r="N14" s="190"/>
      <c r="O14" s="190"/>
      <c r="P14" s="190"/>
      <c r="U14" s="36" t="s">
        <v>14</v>
      </c>
    </row>
    <row r="15" spans="1:21" ht="13.15" x14ac:dyDescent="0.4">
      <c r="A15" s="282" t="s">
        <v>291</v>
      </c>
      <c r="B15" s="282"/>
      <c r="C15" s="282"/>
      <c r="D15" s="282"/>
      <c r="E15" s="282"/>
      <c r="F15" s="282"/>
      <c r="G15" s="220"/>
      <c r="H15" s="190"/>
      <c r="I15" s="190"/>
      <c r="J15" s="190" t="s">
        <v>94</v>
      </c>
      <c r="K15" s="190"/>
      <c r="L15" s="190"/>
      <c r="M15" s="190"/>
      <c r="N15" s="190"/>
      <c r="O15" s="190"/>
      <c r="P15" s="190"/>
      <c r="U15" s="36" t="s">
        <v>15</v>
      </c>
    </row>
    <row r="16" spans="1:21" ht="13.15" x14ac:dyDescent="0.4">
      <c r="A16" s="42"/>
      <c r="B16" s="190"/>
      <c r="C16" s="190"/>
      <c r="D16" s="190"/>
      <c r="E16" s="190"/>
      <c r="F16" s="190"/>
      <c r="G16" s="220"/>
      <c r="H16" s="190"/>
      <c r="I16" s="190"/>
      <c r="J16" s="190"/>
      <c r="K16" s="190"/>
      <c r="L16" s="190"/>
      <c r="M16" s="190"/>
      <c r="N16" s="190"/>
      <c r="O16" s="190"/>
      <c r="P16" s="190"/>
      <c r="U16" s="36" t="s">
        <v>16</v>
      </c>
    </row>
    <row r="17" spans="1:21" ht="12.75" customHeight="1" x14ac:dyDescent="0.35">
      <c r="A17" s="190"/>
      <c r="B17" s="278" t="s">
        <v>292</v>
      </c>
      <c r="C17" s="278"/>
      <c r="D17" s="278"/>
      <c r="E17" s="278"/>
      <c r="F17" s="278"/>
      <c r="G17" s="228"/>
      <c r="H17" s="190"/>
      <c r="I17" s="190"/>
      <c r="J17" s="190"/>
      <c r="K17" s="190"/>
      <c r="L17" s="190"/>
      <c r="M17" s="190"/>
      <c r="N17" s="190"/>
      <c r="O17" s="190"/>
      <c r="P17" s="190"/>
      <c r="U17" s="36" t="s">
        <v>17</v>
      </c>
    </row>
    <row r="18" spans="1:21" x14ac:dyDescent="0.35">
      <c r="A18" s="190"/>
      <c r="B18" s="278"/>
      <c r="C18" s="278"/>
      <c r="D18" s="278"/>
      <c r="E18" s="278"/>
      <c r="F18" s="278"/>
      <c r="G18" s="228"/>
      <c r="H18" s="190"/>
      <c r="I18" s="190"/>
      <c r="J18" s="190"/>
      <c r="K18" s="190"/>
      <c r="L18" s="190"/>
      <c r="M18" s="190"/>
      <c r="N18" s="190"/>
      <c r="O18" s="190"/>
      <c r="P18" s="190"/>
      <c r="U18" s="36" t="s">
        <v>18</v>
      </c>
    </row>
    <row r="19" spans="1:21" x14ac:dyDescent="0.35">
      <c r="A19" s="190"/>
      <c r="B19" s="278"/>
      <c r="C19" s="278"/>
      <c r="D19" s="278"/>
      <c r="E19" s="278"/>
      <c r="F19" s="278"/>
      <c r="G19" s="228"/>
      <c r="H19" s="190"/>
      <c r="I19" s="190"/>
      <c r="J19" s="190"/>
      <c r="K19" s="190"/>
      <c r="L19" s="190"/>
      <c r="M19" s="190"/>
      <c r="N19" s="190"/>
      <c r="O19" s="190"/>
      <c r="P19" s="190"/>
      <c r="U19" s="36" t="s">
        <v>19</v>
      </c>
    </row>
    <row r="20" spans="1:21" x14ac:dyDescent="0.35">
      <c r="A20" s="190"/>
      <c r="B20" s="278"/>
      <c r="C20" s="278"/>
      <c r="D20" s="278"/>
      <c r="E20" s="278"/>
      <c r="F20" s="278"/>
      <c r="G20" s="228"/>
      <c r="H20" s="190"/>
      <c r="I20" s="190"/>
      <c r="J20" s="190"/>
      <c r="K20" s="190"/>
      <c r="L20" s="190"/>
      <c r="M20" s="190"/>
      <c r="N20" s="190"/>
      <c r="O20" s="190"/>
      <c r="P20" s="190"/>
      <c r="U20" s="36" t="s">
        <v>20</v>
      </c>
    </row>
    <row r="21" spans="1:21" x14ac:dyDescent="0.35">
      <c r="A21" s="190"/>
      <c r="B21" s="278"/>
      <c r="C21" s="278"/>
      <c r="D21" s="278"/>
      <c r="E21" s="278"/>
      <c r="F21" s="278"/>
      <c r="G21" s="229" t="s">
        <v>293</v>
      </c>
      <c r="H21" s="230">
        <v>4133616</v>
      </c>
      <c r="I21" s="190" t="str">
        <f>IF(SUM(H21:H21)&lt;&gt;ROUND(SUM(H21:H21),0),"WHOLE DOLLARS","")</f>
        <v/>
      </c>
      <c r="J21" s="190"/>
      <c r="K21" s="190"/>
      <c r="L21" s="190"/>
      <c r="M21" s="190"/>
      <c r="N21" s="190"/>
      <c r="O21" s="190"/>
      <c r="P21" s="190"/>
      <c r="U21" s="36" t="s">
        <v>21</v>
      </c>
    </row>
    <row r="22" spans="1:21" x14ac:dyDescent="0.35">
      <c r="A22" s="190"/>
      <c r="B22" s="190"/>
      <c r="C22" s="190"/>
      <c r="D22" s="190"/>
      <c r="E22" s="190"/>
      <c r="F22" s="190"/>
      <c r="G22" s="220"/>
      <c r="H22" s="190"/>
      <c r="I22" s="190"/>
      <c r="J22" s="190"/>
      <c r="K22" s="190"/>
      <c r="L22" s="190"/>
      <c r="M22" s="190"/>
      <c r="N22" s="190"/>
      <c r="O22" s="190"/>
      <c r="P22" s="190"/>
      <c r="U22" s="36" t="s">
        <v>22</v>
      </c>
    </row>
    <row r="23" spans="1:21" ht="12.75" customHeight="1" x14ac:dyDescent="0.35">
      <c r="A23" s="190"/>
      <c r="B23" s="278" t="s">
        <v>294</v>
      </c>
      <c r="C23" s="278"/>
      <c r="D23" s="278"/>
      <c r="E23" s="278"/>
      <c r="F23" s="278"/>
      <c r="G23" s="220"/>
      <c r="H23" s="190"/>
      <c r="I23" s="190"/>
      <c r="J23" s="190"/>
      <c r="K23" s="190"/>
      <c r="L23" s="190"/>
      <c r="M23" s="190"/>
      <c r="N23" s="190"/>
      <c r="O23" s="190"/>
      <c r="P23" s="190"/>
      <c r="U23" s="36" t="s">
        <v>23</v>
      </c>
    </row>
    <row r="24" spans="1:21" x14ac:dyDescent="0.35">
      <c r="A24" s="190"/>
      <c r="B24" s="278"/>
      <c r="C24" s="278"/>
      <c r="D24" s="278"/>
      <c r="E24" s="278"/>
      <c r="F24" s="278"/>
      <c r="G24" s="229" t="s">
        <v>295</v>
      </c>
      <c r="H24" s="230">
        <v>0</v>
      </c>
      <c r="I24" s="190" t="str">
        <f>IF(SUM(H24:H24)&lt;&gt;ROUND(SUM(H24:H24),0),"WHOLE DOLLARS","")</f>
        <v/>
      </c>
      <c r="J24" s="190"/>
      <c r="K24" s="190"/>
      <c r="L24" s="190"/>
      <c r="M24" s="190"/>
      <c r="N24" s="190"/>
      <c r="O24" s="190"/>
      <c r="P24" s="190"/>
      <c r="U24" s="36" t="s">
        <v>24</v>
      </c>
    </row>
    <row r="25" spans="1:21" x14ac:dyDescent="0.35">
      <c r="A25" s="190"/>
      <c r="B25" s="231"/>
      <c r="C25" s="231"/>
      <c r="D25" s="231"/>
      <c r="E25" s="231"/>
      <c r="F25" s="231"/>
      <c r="G25" s="229"/>
      <c r="H25" s="232"/>
      <c r="I25" s="190"/>
      <c r="J25" s="190"/>
      <c r="K25" s="190"/>
      <c r="L25" s="190"/>
      <c r="M25" s="190"/>
      <c r="N25" s="190"/>
      <c r="O25" s="190"/>
      <c r="P25" s="190"/>
      <c r="U25" s="36" t="s">
        <v>25</v>
      </c>
    </row>
    <row r="26" spans="1:21" ht="13.15" x14ac:dyDescent="0.4">
      <c r="A26" s="42"/>
      <c r="B26" s="190"/>
      <c r="C26" s="190"/>
      <c r="D26" s="190"/>
      <c r="E26" s="190"/>
      <c r="F26" s="190"/>
      <c r="G26" s="220"/>
      <c r="H26" s="190"/>
      <c r="I26" s="190"/>
      <c r="J26" s="190"/>
      <c r="K26" s="190"/>
      <c r="L26" s="190"/>
      <c r="M26" s="190"/>
      <c r="N26" s="190"/>
      <c r="O26" s="190"/>
      <c r="P26" s="190"/>
      <c r="U26" s="36" t="s">
        <v>26</v>
      </c>
    </row>
    <row r="27" spans="1:21" ht="12.75" customHeight="1" x14ac:dyDescent="0.35">
      <c r="A27" s="190"/>
      <c r="B27" s="278" t="s">
        <v>296</v>
      </c>
      <c r="C27" s="278"/>
      <c r="D27" s="278"/>
      <c r="E27" s="278"/>
      <c r="F27" s="278"/>
      <c r="G27" s="220"/>
      <c r="H27" s="190" t="s">
        <v>94</v>
      </c>
      <c r="I27" s="190"/>
      <c r="J27" s="190"/>
      <c r="K27" s="190"/>
      <c r="L27" s="190"/>
      <c r="M27" s="190"/>
      <c r="N27" s="190"/>
      <c r="O27" s="190"/>
      <c r="P27" s="190"/>
      <c r="U27" s="36" t="s">
        <v>27</v>
      </c>
    </row>
    <row r="28" spans="1:21" x14ac:dyDescent="0.35">
      <c r="A28" s="190"/>
      <c r="B28" s="278"/>
      <c r="C28" s="278"/>
      <c r="D28" s="278"/>
      <c r="E28" s="278"/>
      <c r="F28" s="278"/>
      <c r="G28" s="220"/>
      <c r="H28" s="190"/>
      <c r="I28" s="190"/>
      <c r="J28" s="190"/>
      <c r="K28" s="190"/>
      <c r="L28" s="190"/>
      <c r="M28" s="190"/>
      <c r="N28" s="190"/>
      <c r="O28" s="190"/>
      <c r="P28" s="190"/>
      <c r="U28" s="36" t="s">
        <v>28</v>
      </c>
    </row>
    <row r="29" spans="1:21" x14ac:dyDescent="0.35">
      <c r="A29" s="190"/>
      <c r="B29" s="278"/>
      <c r="C29" s="278"/>
      <c r="D29" s="278"/>
      <c r="E29" s="278"/>
      <c r="F29" s="278"/>
      <c r="G29" s="220"/>
      <c r="H29" s="190"/>
      <c r="I29" s="190"/>
      <c r="J29" s="190"/>
      <c r="K29" s="190"/>
      <c r="L29" s="190"/>
      <c r="M29" s="190"/>
      <c r="N29" s="190"/>
      <c r="O29" s="190"/>
      <c r="P29" s="190"/>
      <c r="U29" s="36" t="s">
        <v>29</v>
      </c>
    </row>
    <row r="30" spans="1:21" x14ac:dyDescent="0.35">
      <c r="A30" s="190"/>
      <c r="B30" s="278"/>
      <c r="C30" s="278"/>
      <c r="D30" s="278"/>
      <c r="E30" s="278"/>
      <c r="F30" s="278"/>
      <c r="G30" s="220"/>
      <c r="H30" s="190"/>
      <c r="I30" s="190"/>
      <c r="J30" s="190"/>
      <c r="K30" s="190"/>
      <c r="L30" s="190"/>
      <c r="M30" s="190"/>
      <c r="N30" s="190"/>
      <c r="O30" s="190"/>
      <c r="P30" s="190"/>
      <c r="U30" s="36" t="s">
        <v>30</v>
      </c>
    </row>
    <row r="31" spans="1:21" x14ac:dyDescent="0.35">
      <c r="A31" s="190"/>
      <c r="B31" s="278"/>
      <c r="C31" s="278"/>
      <c r="D31" s="278"/>
      <c r="E31" s="278"/>
      <c r="F31" s="278"/>
      <c r="G31" s="220"/>
      <c r="H31" s="190"/>
      <c r="I31" s="190"/>
      <c r="J31" s="190"/>
      <c r="K31" s="190"/>
      <c r="L31" s="190"/>
      <c r="M31" s="190"/>
      <c r="N31" s="190"/>
      <c r="O31" s="190"/>
      <c r="P31" s="190"/>
      <c r="U31" s="36" t="s">
        <v>31</v>
      </c>
    </row>
    <row r="32" spans="1:21" ht="13.15" x14ac:dyDescent="0.4">
      <c r="A32" s="190"/>
      <c r="B32" s="286">
        <f>IF(AND((SUM(I11:I11)&gt;SUM(I2:I2)),((SUM(I11:I11)-SUM(I2:I2))&gt;0)),(SUM(I11:I11)-SUM(I2:I2)),0)</f>
        <v>1778931</v>
      </c>
      <c r="C32" s="286"/>
      <c r="D32" s="286"/>
      <c r="E32" s="286"/>
      <c r="F32" s="286"/>
      <c r="G32" s="220"/>
      <c r="H32" s="191" t="s">
        <v>94</v>
      </c>
      <c r="I32" s="190"/>
      <c r="J32" s="190"/>
      <c r="K32" s="190"/>
      <c r="L32" s="190"/>
      <c r="M32" s="190"/>
      <c r="N32" s="190"/>
      <c r="O32" s="190"/>
      <c r="P32" s="190"/>
      <c r="U32" s="36" t="s">
        <v>32</v>
      </c>
    </row>
    <row r="33" spans="1:21" x14ac:dyDescent="0.35">
      <c r="A33" s="190"/>
      <c r="B33" s="190"/>
      <c r="C33" s="190"/>
      <c r="D33" s="190"/>
      <c r="E33" s="190"/>
      <c r="F33" s="190"/>
      <c r="G33" s="220"/>
      <c r="H33" s="190"/>
      <c r="I33" s="190"/>
      <c r="J33" s="190"/>
      <c r="K33" s="190"/>
      <c r="L33" s="190"/>
      <c r="M33" s="190"/>
      <c r="N33" s="190"/>
      <c r="O33" s="190"/>
      <c r="P33" s="190"/>
      <c r="U33" s="36" t="s">
        <v>33</v>
      </c>
    </row>
    <row r="34" spans="1:21" ht="12.75" customHeight="1" x14ac:dyDescent="0.35">
      <c r="A34" s="190"/>
      <c r="B34" s="190"/>
      <c r="C34" s="278" t="s">
        <v>297</v>
      </c>
      <c r="D34" s="278"/>
      <c r="E34" s="278"/>
      <c r="F34" s="278"/>
      <c r="G34" s="220"/>
      <c r="H34" s="190"/>
      <c r="I34" s="190"/>
      <c r="J34" s="190"/>
      <c r="K34" s="190"/>
      <c r="L34" s="190"/>
      <c r="M34" s="190"/>
      <c r="N34" s="190"/>
      <c r="O34" s="190"/>
      <c r="P34" s="190"/>
      <c r="U34" s="36" t="s">
        <v>34</v>
      </c>
    </row>
    <row r="35" spans="1:21" x14ac:dyDescent="0.35">
      <c r="A35" s="190"/>
      <c r="B35" s="190"/>
      <c r="C35" s="278"/>
      <c r="D35" s="278"/>
      <c r="E35" s="278"/>
      <c r="F35" s="278"/>
      <c r="G35" s="229" t="s">
        <v>298</v>
      </c>
      <c r="H35" s="230">
        <v>0</v>
      </c>
      <c r="I35" s="190" t="str">
        <f>IF(SUM(H35:H35)&lt;&gt;ROUND(SUM(H35:H35),0),"WHOLE DOLLARS","")</f>
        <v/>
      </c>
      <c r="J35" s="190"/>
      <c r="K35" s="190"/>
      <c r="L35" s="190"/>
      <c r="M35" s="190"/>
      <c r="N35" s="190"/>
      <c r="O35" s="190"/>
      <c r="P35" s="190"/>
      <c r="U35" s="36" t="s">
        <v>35</v>
      </c>
    </row>
    <row r="36" spans="1:21" x14ac:dyDescent="0.35">
      <c r="A36" s="190"/>
      <c r="B36" s="190"/>
      <c r="C36" s="190"/>
      <c r="D36" s="190"/>
      <c r="E36" s="190"/>
      <c r="F36" s="190"/>
      <c r="G36" s="220"/>
      <c r="H36" s="190"/>
      <c r="I36" s="190"/>
      <c r="J36" s="190"/>
      <c r="K36" s="190"/>
      <c r="L36" s="190"/>
      <c r="M36" s="190"/>
      <c r="N36" s="190"/>
      <c r="O36" s="190"/>
      <c r="P36" s="190"/>
      <c r="U36" s="36" t="s">
        <v>36</v>
      </c>
    </row>
    <row r="37" spans="1:21" ht="12.75" customHeight="1" x14ac:dyDescent="0.35">
      <c r="A37" s="190"/>
      <c r="B37" s="190"/>
      <c r="C37" s="278" t="s">
        <v>299</v>
      </c>
      <c r="D37" s="278"/>
      <c r="E37" s="278"/>
      <c r="F37" s="278"/>
      <c r="G37" s="220"/>
      <c r="H37" s="190"/>
      <c r="I37" s="190"/>
      <c r="J37" s="190"/>
      <c r="K37" s="190"/>
      <c r="L37" s="190"/>
      <c r="M37" s="190"/>
      <c r="N37" s="190"/>
      <c r="O37" s="190"/>
      <c r="P37" s="190"/>
      <c r="U37" s="36" t="s">
        <v>37</v>
      </c>
    </row>
    <row r="38" spans="1:21" x14ac:dyDescent="0.35">
      <c r="A38" s="190"/>
      <c r="B38" s="190"/>
      <c r="C38" s="278"/>
      <c r="D38" s="278"/>
      <c r="E38" s="278"/>
      <c r="F38" s="278"/>
      <c r="G38" s="220"/>
      <c r="H38" s="190"/>
      <c r="I38" s="190"/>
      <c r="J38" s="190"/>
      <c r="K38" s="190"/>
      <c r="L38" s="190"/>
      <c r="M38" s="190"/>
      <c r="N38" s="190"/>
      <c r="O38" s="190"/>
      <c r="P38" s="190"/>
      <c r="U38" s="36" t="s">
        <v>38</v>
      </c>
    </row>
    <row r="39" spans="1:21" x14ac:dyDescent="0.35">
      <c r="A39" s="190"/>
      <c r="B39" s="190"/>
      <c r="C39" s="278"/>
      <c r="D39" s="278"/>
      <c r="E39" s="278"/>
      <c r="F39" s="278"/>
      <c r="G39" s="229" t="s">
        <v>300</v>
      </c>
      <c r="H39" s="230">
        <v>0</v>
      </c>
      <c r="I39" s="190" t="str">
        <f>IF(SUM(H39:H39)&lt;&gt;ROUND(SUM(H39:H39),0),"WHOLE DOLLARS","")</f>
        <v/>
      </c>
      <c r="J39" s="190"/>
      <c r="K39" s="190"/>
      <c r="L39" s="190"/>
      <c r="M39" s="190"/>
      <c r="N39" s="190"/>
      <c r="O39" s="190"/>
      <c r="P39" s="190"/>
      <c r="U39" s="36" t="s">
        <v>39</v>
      </c>
    </row>
    <row r="40" spans="1:21" x14ac:dyDescent="0.35">
      <c r="A40" s="190"/>
      <c r="B40" s="190"/>
      <c r="C40" s="190"/>
      <c r="D40" s="190"/>
      <c r="E40" s="190"/>
      <c r="F40" s="190"/>
      <c r="G40" s="220"/>
      <c r="H40" s="190"/>
      <c r="I40" s="190"/>
      <c r="J40" s="190"/>
      <c r="K40" s="190"/>
      <c r="L40" s="190"/>
      <c r="M40" s="190"/>
      <c r="N40" s="190"/>
      <c r="O40" s="190"/>
      <c r="P40" s="190"/>
      <c r="U40" s="36" t="s">
        <v>40</v>
      </c>
    </row>
    <row r="41" spans="1:21" x14ac:dyDescent="0.35">
      <c r="A41" s="190"/>
      <c r="B41" s="190"/>
      <c r="C41" s="284" t="s">
        <v>301</v>
      </c>
      <c r="D41" s="284"/>
      <c r="E41" s="284"/>
      <c r="F41" s="284"/>
      <c r="G41" s="229" t="s">
        <v>302</v>
      </c>
      <c r="H41" s="230">
        <v>0</v>
      </c>
      <c r="I41" s="190" t="str">
        <f>IF(SUM(H41:H41)&lt;&gt;ROUND(SUM(H41:H41),0),"WHOLE DOLLARS","")</f>
        <v/>
      </c>
      <c r="J41" s="190"/>
      <c r="K41" s="190"/>
      <c r="L41" s="190"/>
      <c r="M41" s="190"/>
      <c r="N41" s="190"/>
      <c r="O41" s="190"/>
      <c r="P41" s="190"/>
      <c r="U41" s="36" t="s">
        <v>41</v>
      </c>
    </row>
    <row r="42" spans="1:21" x14ac:dyDescent="0.35">
      <c r="A42" s="190"/>
      <c r="B42" s="190"/>
      <c r="C42" s="190"/>
      <c r="D42" s="190"/>
      <c r="E42" s="190"/>
      <c r="F42" s="190"/>
      <c r="G42" s="220"/>
      <c r="H42" s="190"/>
      <c r="I42" s="190"/>
      <c r="J42" s="190"/>
      <c r="K42" s="190"/>
      <c r="L42" s="190"/>
      <c r="M42" s="190"/>
      <c r="N42" s="190"/>
      <c r="O42" s="190"/>
      <c r="P42" s="190"/>
      <c r="U42" s="36" t="s">
        <v>42</v>
      </c>
    </row>
    <row r="43" spans="1:21" ht="12.75" customHeight="1" x14ac:dyDescent="0.35">
      <c r="A43" s="190"/>
      <c r="B43" s="190"/>
      <c r="C43" s="278" t="s">
        <v>303</v>
      </c>
      <c r="D43" s="278"/>
      <c r="E43" s="278"/>
      <c r="F43" s="278"/>
      <c r="G43" s="220"/>
      <c r="H43" s="190"/>
      <c r="I43" s="190"/>
      <c r="J43" s="190"/>
      <c r="K43" s="190"/>
      <c r="L43" s="190"/>
      <c r="M43" s="190"/>
      <c r="N43" s="190"/>
      <c r="O43" s="190"/>
      <c r="P43" s="190"/>
      <c r="U43" s="36" t="s">
        <v>43</v>
      </c>
    </row>
    <row r="44" spans="1:21" ht="12.75" customHeight="1" x14ac:dyDescent="0.35">
      <c r="A44" s="190"/>
      <c r="B44" s="190"/>
      <c r="C44" s="278"/>
      <c r="D44" s="278"/>
      <c r="E44" s="278"/>
      <c r="F44" s="278"/>
      <c r="G44" s="220"/>
      <c r="H44" s="190"/>
      <c r="I44" s="190"/>
      <c r="J44" s="190"/>
      <c r="K44" s="190"/>
      <c r="L44" s="190"/>
      <c r="M44" s="190"/>
      <c r="N44" s="190"/>
      <c r="O44" s="190"/>
      <c r="P44" s="190"/>
      <c r="U44" s="36" t="s">
        <v>44</v>
      </c>
    </row>
    <row r="45" spans="1:21" x14ac:dyDescent="0.35">
      <c r="A45" s="190"/>
      <c r="B45" s="190"/>
      <c r="C45" s="278"/>
      <c r="D45" s="278"/>
      <c r="E45" s="278"/>
      <c r="F45" s="278"/>
      <c r="G45" s="229" t="s">
        <v>304</v>
      </c>
      <c r="H45" s="230">
        <v>0</v>
      </c>
      <c r="I45" s="190" t="str">
        <f>IF(SUM(H45:H45)&lt;&gt;ROUND(SUM(H45:H45),0),"WHOLE DOLLARS","")</f>
        <v/>
      </c>
      <c r="J45" s="190"/>
      <c r="K45" s="190"/>
      <c r="L45" s="190"/>
      <c r="M45" s="190"/>
      <c r="N45" s="190"/>
      <c r="O45" s="190"/>
      <c r="P45" s="190"/>
      <c r="U45" s="36" t="s">
        <v>45</v>
      </c>
    </row>
    <row r="46" spans="1:21" x14ac:dyDescent="0.35">
      <c r="A46" s="190"/>
      <c r="B46" s="190"/>
      <c r="C46" s="190"/>
      <c r="D46" s="190"/>
      <c r="E46" s="190"/>
      <c r="F46" s="190"/>
      <c r="G46" s="229"/>
      <c r="H46" s="232"/>
      <c r="I46" s="232"/>
      <c r="J46" s="190"/>
      <c r="K46" s="190"/>
      <c r="L46" s="190"/>
      <c r="M46" s="190"/>
      <c r="N46" s="190"/>
      <c r="O46" s="190"/>
      <c r="P46" s="190"/>
      <c r="U46" s="36" t="s">
        <v>46</v>
      </c>
    </row>
    <row r="47" spans="1:21" ht="13.15" x14ac:dyDescent="0.4">
      <c r="A47" s="190"/>
      <c r="B47" s="190"/>
      <c r="C47" s="190"/>
      <c r="D47" s="284" t="s">
        <v>305</v>
      </c>
      <c r="E47" s="284"/>
      <c r="F47" s="284"/>
      <c r="G47" s="229"/>
      <c r="H47" s="232">
        <f>SUM(H35:H45)</f>
        <v>0</v>
      </c>
      <c r="I47" s="232" t="s">
        <v>94</v>
      </c>
      <c r="J47" s="41" t="str">
        <f>IF(B32&lt;H47,"PROBLEM - The sum of these 4 activities may not exceed","OK")</f>
        <v>OK</v>
      </c>
      <c r="K47" s="190"/>
      <c r="L47" s="190"/>
      <c r="M47" s="190"/>
      <c r="N47" s="190"/>
      <c r="O47" s="190"/>
      <c r="P47" s="41" t="s">
        <v>94</v>
      </c>
      <c r="U47" s="36" t="s">
        <v>47</v>
      </c>
    </row>
    <row r="48" spans="1:21" ht="13.15" x14ac:dyDescent="0.4">
      <c r="A48" s="190"/>
      <c r="B48" s="190"/>
      <c r="C48" s="190"/>
      <c r="D48" s="190"/>
      <c r="E48" s="190"/>
      <c r="F48" s="190"/>
      <c r="G48" s="229"/>
      <c r="H48" s="232"/>
      <c r="I48" s="232"/>
      <c r="J48" s="41" t="str">
        <f>IF(J47&lt;&gt;"OK",(B32),"")</f>
        <v/>
      </c>
      <c r="K48" s="190"/>
      <c r="L48" s="190"/>
      <c r="M48" s="190"/>
      <c r="N48" s="190"/>
      <c r="O48" s="190"/>
      <c r="P48" s="41"/>
      <c r="U48" s="36" t="s">
        <v>48</v>
      </c>
    </row>
    <row r="49" spans="1:21" ht="13.15" x14ac:dyDescent="0.4">
      <c r="A49" s="190"/>
      <c r="B49" s="190"/>
      <c r="C49" s="190"/>
      <c r="D49" s="190"/>
      <c r="E49" s="190"/>
      <c r="F49" s="190"/>
      <c r="G49" s="229"/>
      <c r="H49" s="232"/>
      <c r="I49" s="232"/>
      <c r="J49" s="41"/>
      <c r="K49" s="190"/>
      <c r="L49" s="190"/>
      <c r="M49" s="190"/>
      <c r="N49" s="190"/>
      <c r="O49" s="190"/>
      <c r="P49" s="41"/>
      <c r="U49" s="36" t="s">
        <v>49</v>
      </c>
    </row>
    <row r="50" spans="1:21" ht="12.75" customHeight="1" x14ac:dyDescent="0.35">
      <c r="A50" s="190"/>
      <c r="B50" s="278" t="s">
        <v>306</v>
      </c>
      <c r="C50" s="278"/>
      <c r="D50" s="278"/>
      <c r="E50" s="278"/>
      <c r="F50" s="278"/>
      <c r="G50" s="220"/>
      <c r="H50" s="190"/>
      <c r="I50" s="190"/>
      <c r="J50" s="190"/>
      <c r="K50" s="190"/>
      <c r="L50" s="190"/>
      <c r="M50" s="190"/>
      <c r="N50" s="190"/>
      <c r="O50" s="190"/>
      <c r="P50" s="190"/>
      <c r="U50" s="36" t="s">
        <v>50</v>
      </c>
    </row>
    <row r="51" spans="1:21" x14ac:dyDescent="0.35">
      <c r="A51" s="190"/>
      <c r="B51" s="278"/>
      <c r="C51" s="278"/>
      <c r="D51" s="278"/>
      <c r="E51" s="278"/>
      <c r="F51" s="278"/>
      <c r="G51" s="220"/>
      <c r="H51" s="190"/>
      <c r="I51" s="190"/>
      <c r="J51" s="190"/>
      <c r="K51" s="190"/>
      <c r="L51" s="190"/>
      <c r="M51" s="190"/>
      <c r="N51" s="190"/>
      <c r="O51" s="190"/>
      <c r="P51" s="190"/>
      <c r="U51" s="36" t="s">
        <v>51</v>
      </c>
    </row>
    <row r="52" spans="1:21" x14ac:dyDescent="0.35">
      <c r="A52" s="190"/>
      <c r="B52" s="278"/>
      <c r="C52" s="278"/>
      <c r="D52" s="278"/>
      <c r="E52" s="278"/>
      <c r="F52" s="278"/>
      <c r="G52" s="220"/>
      <c r="H52" s="190"/>
      <c r="I52" s="190"/>
      <c r="J52" s="190"/>
      <c r="K52" s="190"/>
      <c r="L52" s="190"/>
      <c r="M52" s="190"/>
      <c r="N52" s="190"/>
      <c r="O52" s="190"/>
      <c r="P52" s="190"/>
      <c r="U52" s="36" t="s">
        <v>52</v>
      </c>
    </row>
    <row r="53" spans="1:21" x14ac:dyDescent="0.35">
      <c r="A53" s="190"/>
      <c r="B53" s="278"/>
      <c r="C53" s="278"/>
      <c r="D53" s="278"/>
      <c r="E53" s="278"/>
      <c r="F53" s="278"/>
      <c r="G53" s="220"/>
      <c r="H53" s="190"/>
      <c r="I53" s="190"/>
      <c r="J53" s="190"/>
      <c r="K53" s="190"/>
      <c r="L53" s="190"/>
      <c r="M53" s="190"/>
      <c r="N53" s="190"/>
      <c r="O53" s="190"/>
      <c r="P53" s="190"/>
      <c r="U53" s="36" t="s">
        <v>56</v>
      </c>
    </row>
    <row r="54" spans="1:21" x14ac:dyDescent="0.35">
      <c r="A54" s="190"/>
      <c r="B54" s="278"/>
      <c r="C54" s="278"/>
      <c r="D54" s="278"/>
      <c r="E54" s="278"/>
      <c r="F54" s="278"/>
      <c r="G54" s="220"/>
      <c r="H54" s="190"/>
      <c r="I54" s="190"/>
      <c r="J54" s="190"/>
      <c r="K54" s="190"/>
      <c r="L54" s="190"/>
      <c r="M54" s="190"/>
      <c r="N54" s="190"/>
      <c r="O54" s="190"/>
      <c r="P54" s="190"/>
      <c r="U54" s="36" t="s">
        <v>57</v>
      </c>
    </row>
    <row r="55" spans="1:21" x14ac:dyDescent="0.35">
      <c r="A55" s="190"/>
      <c r="B55" s="278"/>
      <c r="C55" s="278"/>
      <c r="D55" s="278"/>
      <c r="E55" s="278"/>
      <c r="F55" s="278"/>
      <c r="G55" s="220"/>
      <c r="H55" s="190"/>
      <c r="I55" s="190"/>
      <c r="J55" s="190"/>
      <c r="K55" s="190"/>
      <c r="L55" s="190"/>
      <c r="M55" s="190"/>
      <c r="N55" s="190"/>
      <c r="O55" s="190"/>
      <c r="P55" s="190"/>
      <c r="U55" s="36" t="s">
        <v>54</v>
      </c>
    </row>
    <row r="56" spans="1:21" x14ac:dyDescent="0.35">
      <c r="A56" s="190"/>
      <c r="B56" s="278"/>
      <c r="C56" s="278"/>
      <c r="D56" s="278"/>
      <c r="E56" s="278"/>
      <c r="F56" s="278"/>
      <c r="G56" s="220"/>
      <c r="H56" s="190"/>
      <c r="I56" s="190"/>
      <c r="J56" s="190"/>
      <c r="K56" s="190"/>
      <c r="L56" s="190"/>
      <c r="M56" s="190"/>
      <c r="N56" s="190"/>
      <c r="O56" s="190"/>
      <c r="P56" s="190"/>
      <c r="U56" s="36" t="s">
        <v>55</v>
      </c>
    </row>
    <row r="57" spans="1:21" x14ac:dyDescent="0.35">
      <c r="A57" s="190"/>
      <c r="B57" s="278"/>
      <c r="C57" s="278"/>
      <c r="D57" s="278"/>
      <c r="E57" s="278"/>
      <c r="F57" s="278"/>
      <c r="G57" s="220"/>
      <c r="H57" s="190"/>
      <c r="I57" s="190"/>
      <c r="J57" s="190"/>
      <c r="K57" s="190"/>
      <c r="L57" s="190"/>
      <c r="M57" s="190"/>
      <c r="N57" s="190"/>
      <c r="O57" s="190"/>
      <c r="P57" s="190"/>
      <c r="U57" s="36" t="s">
        <v>53</v>
      </c>
    </row>
    <row r="58" spans="1:21" x14ac:dyDescent="0.35">
      <c r="A58" s="190"/>
      <c r="B58" s="278"/>
      <c r="C58" s="278"/>
      <c r="D58" s="278"/>
      <c r="E58" s="278"/>
      <c r="F58" s="278"/>
      <c r="G58" s="229" t="s">
        <v>307</v>
      </c>
      <c r="H58" s="230">
        <v>0</v>
      </c>
      <c r="I58" s="190" t="str">
        <f>IF(SUM(H58:H58)&lt;&gt;ROUND(SUM(H58:H58),0),"WHOLE DOLLARS","")</f>
        <v/>
      </c>
      <c r="J58" s="190"/>
      <c r="K58" s="190"/>
      <c r="L58" s="190"/>
      <c r="M58" s="190"/>
      <c r="N58" s="190"/>
      <c r="O58" s="190"/>
      <c r="P58" s="190"/>
      <c r="U58" s="36" t="s">
        <v>58</v>
      </c>
    </row>
    <row r="59" spans="1:21" ht="13.15" x14ac:dyDescent="0.4">
      <c r="A59" s="190"/>
      <c r="B59" s="190"/>
      <c r="C59" s="190"/>
      <c r="D59" s="190"/>
      <c r="E59" s="190"/>
      <c r="F59" s="190"/>
      <c r="G59" s="229"/>
      <c r="H59" s="232"/>
      <c r="I59" s="232"/>
      <c r="J59" s="41"/>
      <c r="K59" s="190"/>
      <c r="L59" s="190"/>
      <c r="M59" s="190"/>
      <c r="N59" s="190"/>
      <c r="O59" s="190"/>
      <c r="P59" s="41"/>
      <c r="U59" s="36" t="s">
        <v>59</v>
      </c>
    </row>
    <row r="60" spans="1:21" ht="13.15" x14ac:dyDescent="0.4">
      <c r="A60" s="190"/>
      <c r="B60" s="190"/>
      <c r="C60" s="190"/>
      <c r="D60" s="190"/>
      <c r="E60" s="190"/>
      <c r="F60" s="190"/>
      <c r="G60" s="229"/>
      <c r="H60" s="232"/>
      <c r="I60" s="232"/>
      <c r="J60" s="41"/>
      <c r="K60" s="190"/>
      <c r="L60" s="190"/>
      <c r="M60" s="190"/>
      <c r="N60" s="190"/>
      <c r="O60" s="190"/>
      <c r="P60" s="41"/>
    </row>
    <row r="61" spans="1:21" ht="13.15" x14ac:dyDescent="0.4">
      <c r="A61" s="190"/>
      <c r="B61" s="190"/>
      <c r="C61" s="190"/>
      <c r="D61" s="190"/>
      <c r="E61" s="190"/>
      <c r="F61" s="190"/>
      <c r="G61" s="229"/>
      <c r="H61" s="232"/>
      <c r="I61" s="232"/>
      <c r="J61" s="41"/>
      <c r="K61" s="190"/>
      <c r="L61" s="190"/>
      <c r="M61" s="190"/>
      <c r="N61" s="190"/>
      <c r="O61" s="190"/>
      <c r="P61" s="41"/>
    </row>
    <row r="62" spans="1:21" ht="12.75" customHeight="1" x14ac:dyDescent="0.35">
      <c r="A62" s="190"/>
      <c r="B62" s="190"/>
      <c r="C62" s="190"/>
      <c r="D62" s="190" t="s">
        <v>308</v>
      </c>
      <c r="E62" s="190"/>
      <c r="F62" s="190"/>
      <c r="G62" s="229"/>
      <c r="H62" s="232"/>
      <c r="I62" s="232">
        <f>SUM(H21:H58)-H47</f>
        <v>4133616</v>
      </c>
      <c r="J62" s="257" t="str">
        <f>IF(I62&gt;SUM(I11:I11),"PROBLEM - You have distributed more funds for Administration than you said you want to set aside for Administration",(IF(I62&lt;SUM(I11:I11),"PROBLEM - You have not distributed as much as you said you wanted to set aside for Administration.","OK")))</f>
        <v>OK</v>
      </c>
      <c r="K62" s="257"/>
      <c r="L62" s="257"/>
      <c r="M62" s="257"/>
      <c r="N62" s="257"/>
      <c r="O62" s="257"/>
      <c r="P62" s="257"/>
    </row>
    <row r="63" spans="1:21" ht="13.15" x14ac:dyDescent="0.4">
      <c r="A63" s="190"/>
      <c r="B63" s="190"/>
      <c r="C63" s="190"/>
      <c r="D63" s="190"/>
      <c r="E63" s="190"/>
      <c r="F63" s="190"/>
      <c r="G63" s="229"/>
      <c r="H63" s="232"/>
      <c r="I63" s="232"/>
      <c r="J63" s="257"/>
      <c r="K63" s="257"/>
      <c r="L63" s="257"/>
      <c r="M63" s="257"/>
      <c r="N63" s="257"/>
      <c r="O63" s="257"/>
      <c r="P63" s="257"/>
      <c r="U63" s="245"/>
    </row>
    <row r="64" spans="1:21" x14ac:dyDescent="0.35">
      <c r="A64" s="190"/>
      <c r="B64" s="190"/>
      <c r="C64" s="190"/>
      <c r="D64" s="190"/>
      <c r="E64" s="190"/>
      <c r="F64" s="190"/>
      <c r="G64" s="229"/>
      <c r="H64" s="232"/>
      <c r="I64" s="232"/>
      <c r="J64" s="273" t="str">
        <f>IF(I62&lt;&gt;SUM(I11:I11),"The difference between what you said you wanted to set aside and the details of what you have set aside is","")</f>
        <v/>
      </c>
      <c r="K64" s="273"/>
      <c r="L64" s="273"/>
      <c r="M64" s="273"/>
      <c r="N64" s="273"/>
      <c r="O64" s="273"/>
      <c r="P64" s="273"/>
    </row>
    <row r="65" spans="1:16" x14ac:dyDescent="0.35">
      <c r="A65" s="190"/>
      <c r="B65" s="190"/>
      <c r="C65" s="190"/>
      <c r="D65" s="190"/>
      <c r="E65" s="190"/>
      <c r="F65" s="190"/>
      <c r="G65" s="229"/>
      <c r="H65" s="232"/>
      <c r="I65" s="232"/>
      <c r="J65" s="273"/>
      <c r="K65" s="273"/>
      <c r="L65" s="273"/>
      <c r="M65" s="273"/>
      <c r="N65" s="273"/>
      <c r="O65" s="273"/>
      <c r="P65" s="273"/>
    </row>
    <row r="66" spans="1:16" ht="13.15" x14ac:dyDescent="0.4">
      <c r="A66" s="190"/>
      <c r="B66" s="190"/>
      <c r="C66" s="190"/>
      <c r="D66" s="190"/>
      <c r="E66" s="190"/>
      <c r="F66" s="190"/>
      <c r="G66" s="229"/>
      <c r="H66" s="232"/>
      <c r="I66" s="232"/>
      <c r="J66" s="41" t="str">
        <f>IF(I62&gt;SUM(I11:I11),I62-SUM(I11:I11),(IF(I62&lt;SUM(I11:I11),SUM(I11:I11)-I62,"")))</f>
        <v/>
      </c>
      <c r="K66" s="190"/>
      <c r="L66" s="190"/>
      <c r="M66" s="190"/>
      <c r="N66" s="190"/>
      <c r="O66" s="190"/>
      <c r="P66" s="190"/>
    </row>
    <row r="67" spans="1:16" x14ac:dyDescent="0.35">
      <c r="A67" s="190"/>
      <c r="B67" s="190"/>
      <c r="C67" s="190"/>
      <c r="D67" s="190"/>
      <c r="E67" s="190"/>
      <c r="F67" s="190"/>
      <c r="G67" s="220"/>
      <c r="H67" s="190"/>
      <c r="I67" s="190"/>
      <c r="J67" s="190"/>
      <c r="K67" s="190"/>
      <c r="L67" s="190"/>
      <c r="M67" s="190"/>
      <c r="N67" s="190"/>
      <c r="O67" s="190"/>
      <c r="P67" s="190"/>
    </row>
    <row r="68" spans="1:16" ht="13.15" x14ac:dyDescent="0.4">
      <c r="A68" s="42" t="s">
        <v>309</v>
      </c>
      <c r="B68" s="190"/>
      <c r="C68" s="190"/>
      <c r="D68" s="190"/>
      <c r="E68" s="190"/>
      <c r="F68" s="190"/>
      <c r="G68" s="220"/>
      <c r="H68" s="190"/>
      <c r="I68" s="190"/>
      <c r="J68" s="190"/>
      <c r="K68" s="190"/>
      <c r="L68" s="190"/>
      <c r="M68" s="190"/>
      <c r="N68" s="190"/>
      <c r="O68" s="190"/>
      <c r="P68" s="190"/>
    </row>
    <row r="69" spans="1:16" ht="13.15" x14ac:dyDescent="0.4">
      <c r="A69" s="42"/>
      <c r="B69" s="190"/>
      <c r="C69" s="190"/>
      <c r="D69" s="190"/>
      <c r="E69" s="190"/>
      <c r="F69" s="190"/>
      <c r="G69" s="220"/>
      <c r="H69" s="190"/>
      <c r="I69" s="190"/>
      <c r="J69" s="190"/>
      <c r="K69" s="190"/>
      <c r="L69" s="190"/>
      <c r="M69" s="190"/>
      <c r="N69" s="190"/>
      <c r="O69" s="190"/>
      <c r="P69" s="190"/>
    </row>
    <row r="70" spans="1:16" ht="12.75" customHeight="1" x14ac:dyDescent="0.35">
      <c r="A70" s="278" t="s">
        <v>310</v>
      </c>
      <c r="B70" s="278"/>
      <c r="C70" s="278"/>
      <c r="D70" s="278"/>
      <c r="E70" s="278"/>
      <c r="F70" s="278"/>
      <c r="G70" s="220"/>
      <c r="H70" s="190"/>
      <c r="I70" s="190"/>
      <c r="J70" s="190"/>
      <c r="K70" s="190"/>
      <c r="L70" s="190"/>
      <c r="M70" s="190"/>
      <c r="N70" s="190"/>
      <c r="O70" s="190"/>
      <c r="P70" s="190"/>
    </row>
    <row r="71" spans="1:16" x14ac:dyDescent="0.35">
      <c r="A71" s="278"/>
      <c r="B71" s="278"/>
      <c r="C71" s="278"/>
      <c r="D71" s="278"/>
      <c r="E71" s="278"/>
      <c r="F71" s="278"/>
      <c r="G71" s="220"/>
      <c r="H71" s="190"/>
      <c r="I71" s="190"/>
      <c r="J71" s="190"/>
      <c r="K71" s="190"/>
      <c r="L71" s="190"/>
      <c r="M71" s="190"/>
      <c r="N71" s="190"/>
      <c r="O71" s="190"/>
      <c r="P71" s="190"/>
    </row>
    <row r="72" spans="1:16" x14ac:dyDescent="0.35">
      <c r="A72" s="278"/>
      <c r="B72" s="278"/>
      <c r="C72" s="278"/>
      <c r="D72" s="278"/>
      <c r="E72" s="278"/>
      <c r="F72" s="278"/>
      <c r="G72" s="229"/>
      <c r="H72" s="232">
        <f xml:space="preserve"> (E2)</f>
        <v>19982646.925496094</v>
      </c>
      <c r="I72" s="232" t="s">
        <v>94</v>
      </c>
      <c r="J72" s="190"/>
      <c r="K72" s="190"/>
      <c r="L72" s="190"/>
      <c r="M72" s="190"/>
      <c r="N72" s="190"/>
      <c r="O72" s="190"/>
      <c r="P72" s="190"/>
    </row>
    <row r="73" spans="1:16" ht="12.75" customHeight="1" x14ac:dyDescent="0.35">
      <c r="A73" s="278" t="s">
        <v>311</v>
      </c>
      <c r="B73" s="278"/>
      <c r="C73" s="278"/>
      <c r="D73" s="278"/>
      <c r="E73" s="278"/>
      <c r="F73" s="278"/>
      <c r="G73" s="220"/>
      <c r="H73" s="190"/>
      <c r="I73" s="190"/>
      <c r="J73" s="190"/>
      <c r="K73" s="190"/>
      <c r="L73" s="190"/>
      <c r="M73" s="190"/>
      <c r="N73" s="190"/>
      <c r="O73" s="190"/>
      <c r="P73" s="190"/>
    </row>
    <row r="74" spans="1:16" x14ac:dyDescent="0.35">
      <c r="A74" s="278"/>
      <c r="B74" s="278"/>
      <c r="C74" s="278"/>
      <c r="D74" s="278"/>
      <c r="E74" s="278"/>
      <c r="F74" s="278"/>
      <c r="G74" s="220"/>
      <c r="H74" s="232" t="s">
        <v>94</v>
      </c>
      <c r="I74" s="232" t="s">
        <v>94</v>
      </c>
      <c r="J74" s="190"/>
      <c r="K74" s="190"/>
      <c r="L74" s="190"/>
      <c r="M74" s="190"/>
      <c r="N74" s="190"/>
      <c r="O74" s="190"/>
      <c r="P74" s="190"/>
    </row>
    <row r="75" spans="1:16" ht="13.15" x14ac:dyDescent="0.4">
      <c r="A75" s="42"/>
      <c r="B75" s="190"/>
      <c r="C75" s="190"/>
      <c r="D75" s="190"/>
      <c r="E75" s="190"/>
      <c r="F75" s="190"/>
      <c r="G75" s="220"/>
      <c r="H75" s="190"/>
      <c r="I75" s="190"/>
      <c r="J75" s="190"/>
      <c r="K75" s="190"/>
      <c r="L75" s="190"/>
      <c r="M75" s="190"/>
      <c r="N75" s="190"/>
      <c r="O75" s="190"/>
      <c r="P75" s="190"/>
    </row>
    <row r="76" spans="1:16" ht="12.75" customHeight="1" x14ac:dyDescent="0.35">
      <c r="A76" s="278" t="s">
        <v>312</v>
      </c>
      <c r="B76" s="278"/>
      <c r="C76" s="278"/>
      <c r="D76" s="278"/>
      <c r="E76" s="278"/>
      <c r="F76" s="278"/>
      <c r="G76" s="220"/>
      <c r="H76" s="190"/>
      <c r="I76" s="190"/>
      <c r="J76" s="190"/>
      <c r="K76" s="190"/>
      <c r="L76" s="190"/>
      <c r="M76" s="190"/>
      <c r="N76" s="190"/>
      <c r="O76" s="190"/>
      <c r="P76" s="190"/>
    </row>
    <row r="77" spans="1:16" x14ac:dyDescent="0.35">
      <c r="A77" s="278"/>
      <c r="B77" s="278"/>
      <c r="C77" s="278"/>
      <c r="D77" s="278"/>
      <c r="E77" s="278"/>
      <c r="F77" s="278"/>
      <c r="G77" s="220"/>
      <c r="H77" s="190"/>
      <c r="I77" s="190"/>
      <c r="J77" s="190"/>
      <c r="K77" s="190"/>
      <c r="L77" s="190"/>
      <c r="M77" s="190"/>
      <c r="N77" s="190"/>
      <c r="O77" s="190"/>
      <c r="P77" s="190"/>
    </row>
    <row r="78" spans="1:16" x14ac:dyDescent="0.35">
      <c r="A78" s="278"/>
      <c r="B78" s="278"/>
      <c r="C78" s="278"/>
      <c r="D78" s="278"/>
      <c r="E78" s="278"/>
      <c r="F78" s="278"/>
      <c r="G78" s="229"/>
      <c r="H78" s="232">
        <f>(F2)</f>
        <v>17881531.633658901</v>
      </c>
      <c r="I78" s="232" t="s">
        <v>94</v>
      </c>
      <c r="J78" s="190"/>
      <c r="K78" s="190"/>
      <c r="L78" s="190"/>
      <c r="M78" s="190"/>
      <c r="N78" s="190"/>
      <c r="O78" s="190"/>
      <c r="P78" s="190"/>
    </row>
    <row r="79" spans="1:16" ht="13.15" x14ac:dyDescent="0.4">
      <c r="A79" s="42"/>
      <c r="B79" s="190"/>
      <c r="C79" s="190"/>
      <c r="D79" s="190"/>
      <c r="E79" s="190"/>
      <c r="F79" s="190"/>
      <c r="G79" s="220"/>
      <c r="H79" s="190"/>
      <c r="I79" s="190"/>
      <c r="J79" s="190"/>
      <c r="K79" s="190"/>
      <c r="L79" s="190"/>
      <c r="M79" s="190"/>
      <c r="N79" s="190"/>
      <c r="O79" s="190"/>
      <c r="P79" s="190"/>
    </row>
    <row r="80" spans="1:16" ht="12.75" customHeight="1" x14ac:dyDescent="0.35">
      <c r="A80" s="278" t="s">
        <v>313</v>
      </c>
      <c r="B80" s="278"/>
      <c r="C80" s="278"/>
      <c r="D80" s="278"/>
      <c r="E80" s="278"/>
      <c r="F80" s="278"/>
      <c r="G80" s="220"/>
      <c r="H80" s="190"/>
      <c r="I80" s="190"/>
      <c r="J80" s="190"/>
      <c r="K80" s="190"/>
      <c r="L80" s="190"/>
      <c r="M80" s="190"/>
      <c r="N80" s="190"/>
      <c r="O80" s="190"/>
      <c r="P80" s="190"/>
    </row>
    <row r="81" spans="1:16" x14ac:dyDescent="0.35">
      <c r="A81" s="278"/>
      <c r="B81" s="278"/>
      <c r="C81" s="278"/>
      <c r="D81" s="278"/>
      <c r="E81" s="278"/>
      <c r="F81" s="278"/>
      <c r="G81" s="220"/>
      <c r="H81" s="190"/>
      <c r="I81" s="190"/>
      <c r="J81" s="190"/>
      <c r="K81" s="190"/>
      <c r="L81" s="190"/>
      <c r="M81" s="190"/>
      <c r="N81" s="190"/>
      <c r="O81" s="190"/>
      <c r="P81" s="190"/>
    </row>
    <row r="82" spans="1:16" x14ac:dyDescent="0.35">
      <c r="A82" s="278"/>
      <c r="B82" s="278"/>
      <c r="C82" s="278"/>
      <c r="D82" s="278"/>
      <c r="E82" s="278"/>
      <c r="F82" s="278"/>
      <c r="G82" s="229"/>
      <c r="H82" s="232">
        <f>(G2)</f>
        <v>20981779.271770891</v>
      </c>
      <c r="I82" s="232" t="s">
        <v>94</v>
      </c>
      <c r="J82" s="190"/>
      <c r="K82" s="190"/>
      <c r="L82" s="190"/>
      <c r="M82" s="190"/>
      <c r="N82" s="190"/>
      <c r="O82" s="190"/>
      <c r="P82" s="190"/>
    </row>
    <row r="83" spans="1:16" ht="12.75" customHeight="1" x14ac:dyDescent="0.35">
      <c r="A83" s="278" t="s">
        <v>311</v>
      </c>
      <c r="B83" s="278"/>
      <c r="C83" s="278"/>
      <c r="D83" s="278"/>
      <c r="E83" s="278"/>
      <c r="F83" s="278"/>
      <c r="G83" s="220"/>
      <c r="H83" s="190"/>
      <c r="I83" s="190"/>
      <c r="J83" s="190"/>
      <c r="K83" s="190"/>
      <c r="L83" s="190"/>
      <c r="M83" s="190"/>
      <c r="N83" s="190"/>
      <c r="O83" s="190"/>
      <c r="P83" s="190"/>
    </row>
    <row r="84" spans="1:16" x14ac:dyDescent="0.35">
      <c r="A84" s="278"/>
      <c r="B84" s="278"/>
      <c r="C84" s="278"/>
      <c r="D84" s="278"/>
      <c r="E84" s="278"/>
      <c r="F84" s="278"/>
      <c r="G84" s="220"/>
      <c r="H84" s="190"/>
      <c r="I84" s="190"/>
      <c r="J84" s="190"/>
      <c r="K84" s="190"/>
      <c r="L84" s="190"/>
      <c r="M84" s="190"/>
      <c r="N84" s="190"/>
      <c r="O84" s="190"/>
      <c r="P84" s="190"/>
    </row>
    <row r="85" spans="1:16" x14ac:dyDescent="0.35">
      <c r="A85" s="190"/>
      <c r="B85" s="190"/>
      <c r="C85" s="190"/>
      <c r="D85" s="190"/>
      <c r="E85" s="190"/>
      <c r="F85" s="190"/>
      <c r="G85" s="220"/>
      <c r="H85" s="190"/>
      <c r="I85" s="190"/>
      <c r="J85" s="190"/>
      <c r="K85" s="190"/>
      <c r="L85" s="190"/>
      <c r="M85" s="190"/>
      <c r="N85" s="190"/>
      <c r="O85" s="190"/>
      <c r="P85" s="190"/>
    </row>
    <row r="86" spans="1:16" ht="12.75" customHeight="1" x14ac:dyDescent="0.35">
      <c r="A86" s="278" t="s">
        <v>314</v>
      </c>
      <c r="B86" s="278"/>
      <c r="C86" s="278"/>
      <c r="D86" s="278"/>
      <c r="E86" s="278"/>
      <c r="F86" s="278"/>
      <c r="G86" s="220"/>
      <c r="H86" s="190"/>
      <c r="I86" s="190"/>
      <c r="J86" s="190"/>
      <c r="K86" s="190"/>
      <c r="L86" s="190"/>
      <c r="M86" s="190"/>
      <c r="N86" s="190"/>
      <c r="O86" s="190"/>
      <c r="P86" s="190"/>
    </row>
    <row r="87" spans="1:16" x14ac:dyDescent="0.35">
      <c r="A87" s="278"/>
      <c r="B87" s="278"/>
      <c r="C87" s="278"/>
      <c r="D87" s="278"/>
      <c r="E87" s="278"/>
      <c r="F87" s="278"/>
      <c r="G87" s="220"/>
      <c r="H87" s="190"/>
      <c r="I87" s="190"/>
      <c r="J87" s="190"/>
      <c r="K87" s="190"/>
      <c r="L87" s="190"/>
      <c r="M87" s="190"/>
      <c r="N87" s="190"/>
      <c r="O87" s="190"/>
      <c r="P87" s="190"/>
    </row>
    <row r="88" spans="1:16" x14ac:dyDescent="0.35">
      <c r="A88" s="278"/>
      <c r="B88" s="278"/>
      <c r="C88" s="278"/>
      <c r="D88" s="278"/>
      <c r="E88" s="278"/>
      <c r="F88" s="278"/>
      <c r="G88" s="229"/>
      <c r="H88" s="232">
        <f>(H2)</f>
        <v>18983514.57922129</v>
      </c>
      <c r="I88" s="232" t="s">
        <v>94</v>
      </c>
      <c r="J88" s="190"/>
      <c r="K88" s="190"/>
      <c r="L88" s="190"/>
      <c r="M88" s="190"/>
      <c r="N88" s="190"/>
      <c r="O88" s="190"/>
      <c r="P88" s="190"/>
    </row>
    <row r="89" spans="1:16" x14ac:dyDescent="0.35">
      <c r="A89" s="190"/>
      <c r="B89" s="190"/>
      <c r="C89" s="190"/>
      <c r="D89" s="190"/>
      <c r="E89" s="190"/>
      <c r="F89" s="190"/>
      <c r="G89" s="220"/>
      <c r="H89" s="190"/>
      <c r="I89" s="190"/>
      <c r="J89" s="190"/>
      <c r="K89" s="190"/>
      <c r="L89" s="190"/>
      <c r="M89" s="190"/>
      <c r="N89" s="190"/>
      <c r="O89" s="190"/>
      <c r="P89" s="190"/>
    </row>
    <row r="90" spans="1:16" x14ac:dyDescent="0.35">
      <c r="A90" s="190"/>
      <c r="B90" s="190"/>
      <c r="C90" s="190"/>
      <c r="D90" s="190"/>
      <c r="E90" s="190"/>
      <c r="F90" s="190"/>
      <c r="G90" s="220"/>
      <c r="H90" s="190"/>
      <c r="I90" s="190"/>
      <c r="J90" s="190"/>
      <c r="K90" s="190"/>
      <c r="L90" s="190"/>
      <c r="M90" s="190"/>
      <c r="N90" s="190"/>
      <c r="O90" s="190"/>
      <c r="P90" s="190"/>
    </row>
    <row r="91" spans="1:16" ht="13.15" x14ac:dyDescent="0.4">
      <c r="A91" s="282" t="s">
        <v>315</v>
      </c>
      <c r="B91" s="282"/>
      <c r="C91" s="282"/>
      <c r="D91" s="282"/>
      <c r="E91" s="282"/>
      <c r="F91" s="282"/>
      <c r="G91" s="220"/>
      <c r="H91" s="192" t="s">
        <v>318</v>
      </c>
      <c r="I91" s="233"/>
      <c r="J91" s="42" t="str">
        <f>IF(AND((H91&lt;&gt;"Yes"),(H91&lt;&gt;"YES"),(H91&lt;&gt;"Y"),(H91&lt;&gt;"yes"),(H91&lt;&gt;"y"),(H91&lt;&gt;"No"),(H91&lt;&gt;"no"),(H91&lt;&gt;"N"),(H91&lt;&gt;"no"),(H91&lt;&gt;"n")),"PROBLEM - You must indicate 'Yes' or 'No'.","  ")</f>
        <v xml:space="preserve">  </v>
      </c>
      <c r="K91" s="190"/>
      <c r="L91" s="190"/>
      <c r="M91" s="190"/>
      <c r="N91" s="190"/>
      <c r="O91" s="190"/>
      <c r="P91" s="190"/>
    </row>
    <row r="92" spans="1:16" ht="13.15" x14ac:dyDescent="0.4">
      <c r="A92" s="42"/>
      <c r="B92" s="190"/>
      <c r="C92" s="190"/>
      <c r="D92" s="190"/>
      <c r="E92" s="190"/>
      <c r="F92" s="190"/>
      <c r="G92" s="220"/>
      <c r="H92" s="190"/>
      <c r="I92" s="233"/>
      <c r="J92" s="42" t="s">
        <v>316</v>
      </c>
      <c r="K92" s="190"/>
      <c r="L92" s="190"/>
      <c r="M92" s="190"/>
      <c r="N92" s="190"/>
      <c r="O92" s="190"/>
      <c r="P92" s="190"/>
    </row>
    <row r="93" spans="1:16" ht="13.15" x14ac:dyDescent="0.4">
      <c r="A93" s="42"/>
      <c r="B93" s="284" t="s">
        <v>317</v>
      </c>
      <c r="C93" s="284"/>
      <c r="D93" s="284"/>
      <c r="E93" s="284"/>
      <c r="F93" s="284"/>
      <c r="G93" s="220"/>
      <c r="H93" s="227"/>
      <c r="I93" s="233"/>
      <c r="J93" s="42" t="s">
        <v>318</v>
      </c>
      <c r="K93" s="190"/>
      <c r="L93" s="190"/>
      <c r="M93" s="190"/>
      <c r="N93" s="190"/>
      <c r="O93" s="190"/>
      <c r="P93" s="190"/>
    </row>
    <row r="94" spans="1:16" ht="13.15" x14ac:dyDescent="0.4">
      <c r="A94" s="42"/>
      <c r="B94" s="284" t="s">
        <v>319</v>
      </c>
      <c r="C94" s="284"/>
      <c r="D94" s="284"/>
      <c r="E94" s="284"/>
      <c r="F94" s="284"/>
      <c r="G94" s="220"/>
      <c r="H94" s="190" t="s">
        <v>94</v>
      </c>
      <c r="I94" s="233"/>
      <c r="J94" s="190"/>
      <c r="K94" s="190"/>
      <c r="L94" s="190"/>
      <c r="M94" s="190"/>
      <c r="N94" s="190"/>
      <c r="O94" s="190"/>
      <c r="P94" s="190"/>
    </row>
    <row r="95" spans="1:16" ht="13.15" x14ac:dyDescent="0.4">
      <c r="A95" s="42"/>
      <c r="B95" s="285" t="str">
        <f>IF(OR((H91="Yes"),(H91="YES"),(H91="Y"),(H91="yes"),(H91="y")),"TO",IF(OR((H91="No"),(H91="NO"),(H91="N"),(H91="no"),(H91="n")),"NOT TO","WHAT?"))</f>
        <v>NOT TO</v>
      </c>
      <c r="C95" s="285"/>
      <c r="D95" s="190" t="s">
        <v>320</v>
      </c>
      <c r="E95" s="190"/>
      <c r="F95" s="190"/>
      <c r="G95" s="220"/>
      <c r="H95" s="190"/>
      <c r="I95" s="233"/>
      <c r="J95" s="190"/>
      <c r="K95" s="190"/>
      <c r="L95" s="190"/>
      <c r="M95" s="190"/>
      <c r="N95" s="190"/>
      <c r="O95" s="190"/>
      <c r="P95" s="190"/>
    </row>
    <row r="96" spans="1:16" ht="13.15" x14ac:dyDescent="0.4">
      <c r="A96" s="42"/>
      <c r="B96" s="190" t="s">
        <v>321</v>
      </c>
      <c r="C96" s="190"/>
      <c r="D96" s="190"/>
      <c r="E96" s="190"/>
      <c r="F96" s="190"/>
      <c r="G96" s="229"/>
      <c r="H96" s="232">
        <f>ROUND(IF(AND((B95="TO"),(I11&gt;850000)),H72,IF(AND((B95="NOT TO"),(I11&gt;850000)),H78,IF(AND((B95="TO"),(I11&lt;=850000)),H82,IF(AND((B95="NOT TO"),(I11&lt;=850000)),H88,"")))),0)</f>
        <v>17881532</v>
      </c>
      <c r="I96" s="234" t="str">
        <f>IF(AND((I11&gt;850000),(J92=".")),I72,(IF(AND((I11&gt;850000),(J92&lt;&gt;".")),I78,(IF(AND((I11&lt;=850000),(J92=".")),I82,(IF(AND((I11&lt;=850000),(J92&lt;&gt;".")),I88," ")))))))</f>
        <v xml:space="preserve"> </v>
      </c>
      <c r="J96" s="190"/>
      <c r="K96" s="190"/>
      <c r="L96" s="190"/>
      <c r="M96" s="190"/>
      <c r="N96" s="190"/>
      <c r="O96" s="190"/>
      <c r="P96" s="190"/>
    </row>
    <row r="97" spans="1:16" ht="13.15" x14ac:dyDescent="0.4">
      <c r="A97" s="190"/>
      <c r="B97" s="190"/>
      <c r="C97" s="190"/>
      <c r="D97" s="190"/>
      <c r="E97" s="190"/>
      <c r="F97" s="190"/>
      <c r="G97" s="220"/>
      <c r="H97" s="42"/>
      <c r="I97" s="190" t="str">
        <f>IF(SUM(I98:I98)&lt;&gt;ROUND(SUM(I98:I98),0),"WHOLE DOLLARS","")</f>
        <v/>
      </c>
      <c r="J97" s="190"/>
      <c r="K97" s="190"/>
      <c r="L97" s="190"/>
      <c r="M97" s="190"/>
      <c r="N97" s="190"/>
      <c r="O97" s="190"/>
      <c r="P97" s="190"/>
    </row>
    <row r="98" spans="1:16" ht="13.15" x14ac:dyDescent="0.4">
      <c r="A98" s="282" t="s">
        <v>322</v>
      </c>
      <c r="B98" s="282"/>
      <c r="C98" s="282"/>
      <c r="D98" s="282"/>
      <c r="E98" s="282"/>
      <c r="F98" s="282"/>
      <c r="G98" s="229"/>
      <c r="H98" s="42"/>
      <c r="I98" s="230">
        <v>17881532</v>
      </c>
      <c r="J98" s="42" t="str">
        <f>IF(SUM(I98:I98)&lt;=H96,"OK","PROBLEM - You want to set aside more than is allowed.")</f>
        <v>OK</v>
      </c>
      <c r="K98" s="190"/>
      <c r="L98" s="190"/>
      <c r="M98" s="190"/>
      <c r="N98" s="190"/>
      <c r="O98" s="190"/>
      <c r="P98" s="190"/>
    </row>
    <row r="99" spans="1:16" ht="13.15" x14ac:dyDescent="0.4">
      <c r="A99" s="42"/>
      <c r="B99" s="42"/>
      <c r="C99" s="42"/>
      <c r="D99" s="42"/>
      <c r="E99" s="42"/>
      <c r="F99" s="42"/>
      <c r="G99" s="229"/>
      <c r="H99" s="42"/>
      <c r="I99" s="232">
        <f>IF(B95="TO",H82-H96,IF(B95="NOT TO",H88-H96," "))</f>
        <v>1101982.5792212896</v>
      </c>
      <c r="J99" s="42" t="str">
        <f>IF(AND(((SUM(I11:I11)-850000)&lt;I99),((SUM(I11:I11)-850000)&gt;0)),"NOTE","")</f>
        <v/>
      </c>
      <c r="K99" s="190"/>
      <c r="L99" s="190"/>
      <c r="M99" s="190"/>
      <c r="N99" s="190"/>
      <c r="O99" s="190"/>
      <c r="P99" s="190"/>
    </row>
    <row r="100" spans="1:16" ht="13.15" x14ac:dyDescent="0.4">
      <c r="A100" s="42"/>
      <c r="B100" s="42"/>
      <c r="C100" s="42"/>
      <c r="D100" s="42"/>
      <c r="E100" s="42"/>
      <c r="F100" s="42"/>
      <c r="G100" s="229"/>
      <c r="H100" s="42"/>
      <c r="I100" s="235"/>
      <c r="J100" s="190" t="str">
        <f>IF(J99="NOTE","The amount that you have proposed to set aside for Administration is only","")</f>
        <v/>
      </c>
      <c r="K100" s="190"/>
      <c r="L100" s="190"/>
      <c r="M100" s="190"/>
      <c r="N100" s="190"/>
      <c r="O100" s="190"/>
      <c r="P100" s="190"/>
    </row>
    <row r="101" spans="1:16" ht="13.15" x14ac:dyDescent="0.4">
      <c r="A101" s="42"/>
      <c r="B101" s="42"/>
      <c r="C101" s="42"/>
      <c r="D101" s="42"/>
      <c r="E101" s="42"/>
      <c r="F101" s="42"/>
      <c r="G101" s="229"/>
      <c r="H101" s="42"/>
      <c r="I101" s="232"/>
      <c r="J101" s="236" t="str">
        <f>IF(J99="NOTE",(I11-850000),"")</f>
        <v/>
      </c>
      <c r="K101" s="237" t="str">
        <f>IF(J99="NOTE","more than $850,000.  If you were to reduce the amount"," ")</f>
        <v xml:space="preserve"> </v>
      </c>
      <c r="L101" s="190"/>
      <c r="M101" s="190"/>
      <c r="N101" s="190"/>
      <c r="O101" s="190"/>
      <c r="P101" s="190"/>
    </row>
    <row r="102" spans="1:16" x14ac:dyDescent="0.35">
      <c r="A102" s="190"/>
      <c r="B102" s="190"/>
      <c r="C102" s="190"/>
      <c r="D102" s="190"/>
      <c r="E102" s="190"/>
      <c r="F102" s="190"/>
      <c r="G102" s="220"/>
      <c r="H102" s="190"/>
      <c r="I102" s="190"/>
      <c r="J102" s="190" t="str">
        <f>IF(J99="NOTE","that you set aside for Administration by that amount, the maximum amount"," ")</f>
        <v xml:space="preserve"> </v>
      </c>
      <c r="K102" s="190"/>
      <c r="L102" s="190"/>
      <c r="M102" s="190"/>
      <c r="N102" s="190"/>
      <c r="O102" s="190"/>
      <c r="P102" s="190"/>
    </row>
    <row r="103" spans="1:16" x14ac:dyDescent="0.35">
      <c r="A103" s="190"/>
      <c r="B103" s="190"/>
      <c r="C103" s="190"/>
      <c r="D103" s="190"/>
      <c r="E103" s="190"/>
      <c r="F103" s="190"/>
      <c r="G103" s="220"/>
      <c r="H103" s="190"/>
      <c r="I103" s="190"/>
      <c r="J103" s="190" t="str">
        <f>IF(J99="NOTE","that you could set aside for Other State-Level Activities would increase by"," ")</f>
        <v xml:space="preserve"> </v>
      </c>
      <c r="K103" s="190"/>
      <c r="L103" s="190"/>
      <c r="M103" s="190"/>
      <c r="N103" s="190"/>
      <c r="O103" s="190"/>
      <c r="P103" s="190"/>
    </row>
    <row r="104" spans="1:16" x14ac:dyDescent="0.35">
      <c r="A104" s="190"/>
      <c r="B104" s="190"/>
      <c r="C104" s="190"/>
      <c r="D104" s="190"/>
      <c r="E104" s="190"/>
      <c r="F104" s="190"/>
      <c r="G104" s="220"/>
      <c r="H104" s="190"/>
      <c r="I104" s="190"/>
      <c r="J104" s="232" t="str">
        <f>IF(J99="NOTE",I99," ")</f>
        <v xml:space="preserve"> </v>
      </c>
      <c r="K104" s="190"/>
      <c r="L104" s="190"/>
      <c r="M104" s="190"/>
      <c r="N104" s="190"/>
      <c r="O104" s="190"/>
      <c r="P104" s="190"/>
    </row>
    <row r="105" spans="1:16" ht="13.15" x14ac:dyDescent="0.4">
      <c r="A105" s="282" t="s">
        <v>323</v>
      </c>
      <c r="B105" s="282"/>
      <c r="C105" s="282"/>
      <c r="D105" s="282"/>
      <c r="E105" s="282"/>
      <c r="F105" s="282"/>
      <c r="G105" s="220"/>
      <c r="H105" s="190"/>
      <c r="I105" s="190"/>
      <c r="J105" s="232" t="s">
        <v>94</v>
      </c>
      <c r="K105" s="190" t="s">
        <v>94</v>
      </c>
      <c r="L105" s="190"/>
      <c r="M105" s="190"/>
      <c r="N105" s="190"/>
      <c r="O105" s="190"/>
      <c r="P105" s="190"/>
    </row>
    <row r="106" spans="1:16" ht="13.15" x14ac:dyDescent="0.4">
      <c r="A106" s="282" t="s">
        <v>324</v>
      </c>
      <c r="B106" s="282"/>
      <c r="C106" s="282"/>
      <c r="D106" s="282"/>
      <c r="E106" s="282"/>
      <c r="F106" s="282"/>
      <c r="G106" s="220"/>
      <c r="H106" s="190"/>
      <c r="I106" s="190"/>
      <c r="J106" s="232"/>
      <c r="K106" s="190"/>
      <c r="L106" s="190"/>
      <c r="M106" s="190"/>
      <c r="N106" s="190"/>
      <c r="O106" s="190"/>
      <c r="P106" s="190"/>
    </row>
    <row r="107" spans="1:16" ht="13.15" x14ac:dyDescent="0.4">
      <c r="A107" s="42" t="s">
        <v>325</v>
      </c>
      <c r="B107" s="42"/>
      <c r="C107" s="42"/>
      <c r="D107" s="42"/>
      <c r="E107" s="42"/>
      <c r="F107" s="42"/>
      <c r="G107" s="220"/>
      <c r="H107" s="190"/>
      <c r="I107" s="190"/>
      <c r="J107" s="232"/>
      <c r="K107" s="190"/>
      <c r="L107" s="190"/>
      <c r="M107" s="190"/>
      <c r="N107" s="190"/>
      <c r="O107" s="190"/>
      <c r="P107" s="190"/>
    </row>
    <row r="108" spans="1:16" ht="13.15" x14ac:dyDescent="0.4">
      <c r="A108" s="42" t="s">
        <v>326</v>
      </c>
      <c r="B108" s="42"/>
      <c r="C108" s="42"/>
      <c r="D108" s="42"/>
      <c r="E108" s="42"/>
      <c r="F108" s="42"/>
      <c r="G108" s="220"/>
      <c r="H108" s="190"/>
      <c r="I108" s="190"/>
      <c r="J108" s="232"/>
      <c r="K108" s="190"/>
      <c r="L108" s="190"/>
      <c r="M108" s="190"/>
      <c r="N108" s="190"/>
      <c r="O108" s="190"/>
      <c r="P108" s="190"/>
    </row>
    <row r="109" spans="1:16" x14ac:dyDescent="0.35">
      <c r="A109" s="190"/>
      <c r="B109" s="190"/>
      <c r="C109" s="190"/>
      <c r="D109" s="190"/>
      <c r="E109" s="190"/>
      <c r="F109" s="190"/>
      <c r="G109" s="220"/>
      <c r="H109" s="190"/>
      <c r="I109" s="190"/>
      <c r="J109" s="232"/>
      <c r="K109" s="190"/>
      <c r="L109" s="190"/>
      <c r="M109" s="190"/>
      <c r="N109" s="190"/>
      <c r="O109" s="190"/>
      <c r="P109" s="190"/>
    </row>
    <row r="110" spans="1:16" ht="13.15" x14ac:dyDescent="0.4">
      <c r="A110" s="42" t="str">
        <f>IF(B95="TO","How much do you want to use for the High Cost Fund?","")</f>
        <v/>
      </c>
      <c r="B110" s="190"/>
      <c r="C110" s="190"/>
      <c r="D110" s="190"/>
      <c r="E110" s="190"/>
      <c r="F110" s="190"/>
      <c r="G110" s="220"/>
      <c r="H110" s="238"/>
      <c r="I110" s="190" t="str">
        <f>IF(SUM(H110:H110)&lt;&gt;ROUND(SUM(H110:H110),0),"WHOLE DOLLARS","")</f>
        <v/>
      </c>
      <c r="J110" s="41" t="str">
        <f>IF(B95="NOT TO","Leave Blank",(IF(AND(B95="TO",SUM(H110:H110)&lt;E111),"PROBLEM - You have not set aside enough money for the High Cost Fund","OK")))</f>
        <v>Leave Blank</v>
      </c>
      <c r="K110" s="190"/>
      <c r="L110" s="190"/>
      <c r="M110" s="190"/>
      <c r="N110" s="190"/>
      <c r="O110" s="190"/>
      <c r="P110" s="190"/>
    </row>
    <row r="111" spans="1:16" ht="13.15" x14ac:dyDescent="0.35">
      <c r="A111" s="190"/>
      <c r="B111" s="219"/>
      <c r="C111" s="219"/>
      <c r="D111" s="219" t="str">
        <f>IF(B95="TO","You must use at least","")</f>
        <v/>
      </c>
      <c r="E111" s="281" t="str">
        <f>IF(B95="TO",ROUND((SUM(I98:I98)*0.1),0),"")</f>
        <v/>
      </c>
      <c r="F111" s="281"/>
      <c r="G111" s="281"/>
      <c r="H111" s="190" t="s">
        <v>94</v>
      </c>
      <c r="I111" s="190" t="s">
        <v>94</v>
      </c>
      <c r="J111" s="232"/>
      <c r="K111" s="190"/>
      <c r="L111" s="190"/>
      <c r="M111" s="190"/>
      <c r="N111" s="190"/>
      <c r="O111" s="190"/>
      <c r="P111" s="190"/>
    </row>
    <row r="112" spans="1:16" x14ac:dyDescent="0.35">
      <c r="A112" s="190"/>
      <c r="B112" s="190"/>
      <c r="C112" s="190"/>
      <c r="D112" s="190"/>
      <c r="E112" s="190"/>
      <c r="F112" s="190"/>
      <c r="G112" s="220"/>
      <c r="H112" s="190"/>
      <c r="I112" s="190"/>
      <c r="J112" s="190"/>
      <c r="K112" s="190"/>
      <c r="L112" s="190"/>
      <c r="M112" s="190"/>
      <c r="N112" s="190"/>
      <c r="O112" s="190"/>
      <c r="P112" s="190"/>
    </row>
    <row r="113" spans="1:16" ht="13.15" x14ac:dyDescent="0.4">
      <c r="A113" s="190"/>
      <c r="B113" s="282" t="s">
        <v>327</v>
      </c>
      <c r="C113" s="282"/>
      <c r="D113" s="282"/>
      <c r="E113" s="282"/>
      <c r="F113" s="282"/>
      <c r="G113" s="220"/>
      <c r="H113" s="232">
        <f>SUM($I$98:$I$98)-SUM($H110:H$110)</f>
        <v>17881532</v>
      </c>
      <c r="I113" s="190" t="s">
        <v>94</v>
      </c>
      <c r="J113" s="232">
        <f>SUM(H$174:H$174)</f>
        <v>0</v>
      </c>
      <c r="K113" s="190" t="str">
        <f>IF((H$174:H$174)&lt;=SUM(I$98:I$98),"More needs to be distributed.","Too much has been distributed.")</f>
        <v>More needs to be distributed.</v>
      </c>
      <c r="L113" s="190"/>
      <c r="M113" s="190"/>
      <c r="N113" s="190"/>
      <c r="O113" s="190"/>
      <c r="P113" s="190"/>
    </row>
    <row r="114" spans="1:16" x14ac:dyDescent="0.35">
      <c r="A114" s="190"/>
      <c r="B114" s="190"/>
      <c r="C114" s="190"/>
      <c r="D114" s="190"/>
      <c r="E114" s="190"/>
      <c r="F114" s="190"/>
      <c r="G114" s="220"/>
      <c r="H114" s="190"/>
      <c r="I114" s="190"/>
      <c r="J114" s="190"/>
      <c r="K114" s="190"/>
      <c r="L114" s="190"/>
      <c r="M114" s="190"/>
      <c r="N114" s="190"/>
      <c r="O114" s="190"/>
      <c r="P114" s="190"/>
    </row>
    <row r="115" spans="1:16" ht="12.75" customHeight="1" x14ac:dyDescent="0.35">
      <c r="A115" s="190"/>
      <c r="B115" s="190"/>
      <c r="C115" s="283" t="s">
        <v>328</v>
      </c>
      <c r="D115" s="283"/>
      <c r="E115" s="283"/>
      <c r="F115" s="283"/>
      <c r="G115" s="220"/>
      <c r="H115" s="190"/>
      <c r="I115" s="190"/>
      <c r="J115" s="190"/>
      <c r="K115" s="190"/>
      <c r="L115" s="190"/>
      <c r="M115" s="190"/>
      <c r="N115" s="190"/>
      <c r="O115" s="190"/>
      <c r="P115" s="190"/>
    </row>
    <row r="116" spans="1:16" ht="13.15" x14ac:dyDescent="0.4">
      <c r="A116" s="190"/>
      <c r="B116" s="190"/>
      <c r="C116" s="283"/>
      <c r="D116" s="283"/>
      <c r="E116" s="283"/>
      <c r="F116" s="283"/>
      <c r="G116" s="229" t="s">
        <v>329</v>
      </c>
      <c r="H116" s="230">
        <v>650000</v>
      </c>
      <c r="I116" s="190" t="str">
        <f>IF(SUM(H116:H116)&lt;&gt;ROUND(SUM(H116:H116),0),"WHOLE DOLLARS","")</f>
        <v/>
      </c>
      <c r="J116" s="42" t="str">
        <f>IF((SUM(H116:H116)&gt;0)," ", "PROBLEM - You must use at least $1 for this purpose.")</f>
        <v xml:space="preserve"> </v>
      </c>
      <c r="K116" s="190"/>
      <c r="L116" s="190"/>
      <c r="M116" s="190"/>
      <c r="N116" s="190"/>
      <c r="O116" s="190"/>
      <c r="P116" s="190"/>
    </row>
    <row r="117" spans="1:16" x14ac:dyDescent="0.35">
      <c r="A117" s="190"/>
      <c r="B117" s="190"/>
      <c r="C117" s="190"/>
      <c r="D117" s="190"/>
      <c r="E117" s="190"/>
      <c r="F117" s="190"/>
      <c r="G117" s="220"/>
      <c r="H117" s="190"/>
      <c r="I117" s="190"/>
      <c r="J117" s="190"/>
      <c r="K117" s="190"/>
      <c r="L117" s="190"/>
      <c r="M117" s="190"/>
      <c r="N117" s="190"/>
      <c r="O117" s="190"/>
      <c r="P117" s="190"/>
    </row>
    <row r="118" spans="1:16" ht="12.75" customHeight="1" x14ac:dyDescent="0.35">
      <c r="A118" s="190"/>
      <c r="B118" s="190"/>
      <c r="C118" s="283" t="s">
        <v>330</v>
      </c>
      <c r="D118" s="283"/>
      <c r="E118" s="283"/>
      <c r="F118" s="283"/>
      <c r="G118" s="220"/>
      <c r="H118" s="232">
        <f>SUM(H113:H113)-SUM(H116:H116)</f>
        <v>17231532</v>
      </c>
      <c r="I118" s="190" t="s">
        <v>94</v>
      </c>
      <c r="J118" s="232">
        <f>SUM(H$174:H$174)</f>
        <v>0</v>
      </c>
      <c r="K118" s="190" t="str">
        <f>IF((H$174:H$174)&lt;=SUM(I$98:I$98),"More needs to be distributed.","Too much has been distributed.")</f>
        <v>More needs to be distributed.</v>
      </c>
      <c r="L118" s="190"/>
      <c r="M118" s="190"/>
      <c r="N118" s="190"/>
      <c r="O118" s="190"/>
      <c r="P118" s="190"/>
    </row>
    <row r="119" spans="1:16" x14ac:dyDescent="0.35">
      <c r="A119" s="190"/>
      <c r="B119" s="190"/>
      <c r="C119" s="283"/>
      <c r="D119" s="283"/>
      <c r="E119" s="283"/>
      <c r="F119" s="283"/>
      <c r="G119" s="220"/>
      <c r="H119" s="190"/>
      <c r="I119" s="190"/>
      <c r="J119" s="190"/>
      <c r="K119" s="190"/>
      <c r="L119" s="190"/>
      <c r="M119" s="190"/>
      <c r="N119" s="190"/>
      <c r="O119" s="190"/>
      <c r="P119" s="190"/>
    </row>
    <row r="120" spans="1:16" ht="13.15" x14ac:dyDescent="0.4">
      <c r="A120" s="190"/>
      <c r="B120" s="190"/>
      <c r="C120" s="283"/>
      <c r="D120" s="283"/>
      <c r="E120" s="283"/>
      <c r="F120" s="283"/>
      <c r="G120" s="229" t="s">
        <v>331</v>
      </c>
      <c r="H120" s="230">
        <v>700000</v>
      </c>
      <c r="I120" s="190" t="str">
        <f>IF(SUM(H120:H120)&lt;&gt;ROUND(SUM(H120:H120),0),"WHOLE DOLLARS","")</f>
        <v/>
      </c>
      <c r="J120" s="42" t="str">
        <f>IF((SUM(H120:H120)&gt;0)," ", "PROBLEM - You must use at least $1 for this purpose.")</f>
        <v xml:space="preserve"> </v>
      </c>
      <c r="K120" s="190"/>
      <c r="L120" s="190"/>
      <c r="M120" s="190"/>
      <c r="N120" s="190"/>
      <c r="O120" s="190"/>
      <c r="P120" s="190"/>
    </row>
    <row r="121" spans="1:16" x14ac:dyDescent="0.35">
      <c r="A121" s="190"/>
      <c r="B121" s="190"/>
      <c r="C121" s="284"/>
      <c r="D121" s="284"/>
      <c r="E121" s="284"/>
      <c r="F121" s="284"/>
      <c r="G121" s="220"/>
      <c r="H121" s="190"/>
      <c r="I121" s="190"/>
      <c r="J121" s="190"/>
      <c r="K121" s="190"/>
      <c r="L121" s="190"/>
      <c r="M121" s="190"/>
      <c r="N121" s="190"/>
      <c r="O121" s="190"/>
      <c r="P121" s="190"/>
    </row>
    <row r="122" spans="1:16" ht="13.15" x14ac:dyDescent="0.4">
      <c r="A122" s="190"/>
      <c r="B122" s="42" t="s">
        <v>332</v>
      </c>
      <c r="C122" s="190"/>
      <c r="D122" s="190"/>
      <c r="E122" s="190"/>
      <c r="F122" s="190"/>
      <c r="G122" s="220"/>
      <c r="H122" s="232">
        <f>SUM(H118:H118)-SUM(H120:H120)</f>
        <v>16531532</v>
      </c>
      <c r="I122" s="190" t="s">
        <v>94</v>
      </c>
      <c r="J122" s="232">
        <f>SUM(H$174:H$174)</f>
        <v>0</v>
      </c>
      <c r="K122" s="190" t="str">
        <f>IF((H$174:H$174)&lt;=SUM(I$98:I$98),"More needs to be distributed.","Too much has been distributed.")</f>
        <v>More needs to be distributed.</v>
      </c>
      <c r="L122" s="190"/>
      <c r="M122" s="190"/>
      <c r="N122" s="190"/>
      <c r="O122" s="190"/>
      <c r="P122" s="190"/>
    </row>
    <row r="123" spans="1:16" x14ac:dyDescent="0.35">
      <c r="A123" s="190"/>
      <c r="B123" s="190"/>
      <c r="C123" s="190"/>
      <c r="D123" s="190"/>
      <c r="E123" s="190"/>
      <c r="F123" s="190"/>
      <c r="G123" s="220"/>
      <c r="H123" s="190"/>
      <c r="I123" s="190"/>
      <c r="J123" s="190"/>
      <c r="K123" s="190"/>
      <c r="L123" s="190"/>
      <c r="M123" s="190"/>
      <c r="N123" s="190"/>
      <c r="O123" s="190"/>
      <c r="P123" s="190"/>
    </row>
    <row r="124" spans="1:16" ht="12.75" customHeight="1" x14ac:dyDescent="0.35">
      <c r="A124" s="190"/>
      <c r="B124" s="190"/>
      <c r="C124" s="278" t="s">
        <v>333</v>
      </c>
      <c r="D124" s="278"/>
      <c r="E124" s="278"/>
      <c r="F124" s="278"/>
      <c r="G124" s="220"/>
      <c r="H124" s="190"/>
      <c r="I124" s="190"/>
      <c r="J124" s="190"/>
      <c r="K124" s="190"/>
      <c r="L124" s="190"/>
      <c r="M124" s="190"/>
      <c r="N124" s="190"/>
      <c r="O124" s="190"/>
      <c r="P124" s="190"/>
    </row>
    <row r="125" spans="1:16" x14ac:dyDescent="0.35">
      <c r="A125" s="190"/>
      <c r="B125" s="190"/>
      <c r="C125" s="278"/>
      <c r="D125" s="278"/>
      <c r="E125" s="278"/>
      <c r="F125" s="278"/>
      <c r="G125" s="229" t="s">
        <v>334</v>
      </c>
      <c r="H125" s="230">
        <v>9016532</v>
      </c>
      <c r="I125" s="190" t="str">
        <f>IF(SUM(H125:H125)&lt;&gt;ROUND(SUM(H125:H125),0),"WHOLE DOLLARS","")</f>
        <v/>
      </c>
      <c r="J125" s="190" t="s">
        <v>94</v>
      </c>
      <c r="K125" s="190" t="s">
        <v>94</v>
      </c>
      <c r="L125" s="190"/>
      <c r="M125" s="190"/>
      <c r="N125" s="190"/>
      <c r="O125" s="190"/>
      <c r="P125" s="190"/>
    </row>
    <row r="126" spans="1:16" x14ac:dyDescent="0.35">
      <c r="A126" s="190"/>
      <c r="B126" s="190"/>
      <c r="C126" s="239"/>
      <c r="D126" s="239"/>
      <c r="E126" s="239"/>
      <c r="F126" s="239"/>
      <c r="G126" s="220"/>
      <c r="H126" s="190"/>
      <c r="I126" s="190"/>
      <c r="J126" s="190"/>
      <c r="K126" s="190"/>
      <c r="L126" s="190"/>
      <c r="M126" s="190"/>
      <c r="N126" s="190"/>
      <c r="O126" s="190"/>
      <c r="P126" s="190"/>
    </row>
    <row r="127" spans="1:16" ht="12.75" customHeight="1" x14ac:dyDescent="0.35">
      <c r="A127" s="190"/>
      <c r="B127" s="190"/>
      <c r="C127" s="278" t="s">
        <v>299</v>
      </c>
      <c r="D127" s="278"/>
      <c r="E127" s="278"/>
      <c r="F127" s="278"/>
      <c r="G127" s="220"/>
      <c r="H127" s="232">
        <f>SUM(H122:H122)-SUM(H125:H125)</f>
        <v>7515000</v>
      </c>
      <c r="I127" s="190" t="s">
        <v>94</v>
      </c>
      <c r="J127" s="232">
        <f>SUM(H$174:H$174)</f>
        <v>0</v>
      </c>
      <c r="K127" s="190" t="str">
        <f>IF((H$174:H$174)&lt;=SUM(I$98:I$98),"More needs to be distributed.","Too much has been distributed.")</f>
        <v>More needs to be distributed.</v>
      </c>
      <c r="L127" s="190"/>
      <c r="M127" s="190"/>
      <c r="N127" s="190"/>
      <c r="O127" s="190"/>
      <c r="P127" s="190"/>
    </row>
    <row r="128" spans="1:16" x14ac:dyDescent="0.35">
      <c r="A128" s="190"/>
      <c r="B128" s="190"/>
      <c r="C128" s="278"/>
      <c r="D128" s="278"/>
      <c r="E128" s="278"/>
      <c r="F128" s="278"/>
      <c r="G128" s="220"/>
      <c r="H128" s="190"/>
      <c r="I128" s="190"/>
      <c r="J128" s="190"/>
      <c r="K128" s="190"/>
      <c r="L128" s="190"/>
      <c r="M128" s="190"/>
      <c r="N128" s="190"/>
      <c r="O128" s="190"/>
      <c r="P128" s="190"/>
    </row>
    <row r="129" spans="1:16" x14ac:dyDescent="0.35">
      <c r="A129" s="190"/>
      <c r="B129" s="190"/>
      <c r="C129" s="278"/>
      <c r="D129" s="278"/>
      <c r="E129" s="278"/>
      <c r="F129" s="278"/>
      <c r="G129" s="220" t="s">
        <v>335</v>
      </c>
      <c r="H129" s="230">
        <v>90000</v>
      </c>
      <c r="I129" s="190" t="str">
        <f>IF(SUM(H129:H129)&lt;&gt;ROUND(SUM(H129:H129),0),"WHOLE DOLLARS","")</f>
        <v/>
      </c>
      <c r="J129" s="190"/>
      <c r="K129" s="190"/>
      <c r="L129" s="190"/>
      <c r="M129" s="190"/>
      <c r="N129" s="190"/>
      <c r="O129" s="190"/>
      <c r="P129" s="190"/>
    </row>
    <row r="130" spans="1:16" x14ac:dyDescent="0.35">
      <c r="A130" s="190"/>
      <c r="B130" s="190"/>
      <c r="C130" s="279" t="s">
        <v>94</v>
      </c>
      <c r="D130" s="279"/>
      <c r="E130" s="279"/>
      <c r="F130" s="279"/>
      <c r="G130" s="220"/>
      <c r="H130" s="232">
        <f>SUM(H127:H127)-SUM(H129:H129)</f>
        <v>7425000</v>
      </c>
      <c r="I130" s="190" t="s">
        <v>94</v>
      </c>
      <c r="J130" s="232">
        <f>SUM(H$174:H$174)</f>
        <v>0</v>
      </c>
      <c r="K130" s="190" t="str">
        <f>IF((H$174:H$174)&lt;=SUM(I$98:I$98),"More needs to be distributed.","Too much has been distributed.")</f>
        <v>More needs to be distributed.</v>
      </c>
      <c r="L130" s="190"/>
      <c r="M130" s="190"/>
      <c r="N130" s="190"/>
      <c r="O130" s="190"/>
      <c r="P130" s="190"/>
    </row>
    <row r="131" spans="1:16" ht="12.75" customHeight="1" x14ac:dyDescent="0.35">
      <c r="A131" s="190"/>
      <c r="B131" s="190"/>
      <c r="C131" s="278" t="s">
        <v>301</v>
      </c>
      <c r="D131" s="278"/>
      <c r="E131" s="278"/>
      <c r="F131" s="278"/>
      <c r="G131" s="240" t="s">
        <v>336</v>
      </c>
      <c r="H131" s="230">
        <v>1300000</v>
      </c>
      <c r="I131" s="190" t="str">
        <f>IF(SUM(H131:H131)&lt;&gt;ROUND(SUM(H131:H131),0),"WHOLE DOLLARS","")</f>
        <v/>
      </c>
      <c r="J131" s="190"/>
      <c r="K131" s="190"/>
      <c r="L131" s="190"/>
      <c r="M131" s="190"/>
      <c r="N131" s="190"/>
      <c r="O131" s="190"/>
      <c r="P131" s="190"/>
    </row>
    <row r="132" spans="1:16" x14ac:dyDescent="0.35">
      <c r="A132" s="190"/>
      <c r="B132" s="190"/>
      <c r="C132" s="279"/>
      <c r="D132" s="279"/>
      <c r="E132" s="279"/>
      <c r="F132" s="279"/>
      <c r="G132" s="220"/>
      <c r="H132" s="190"/>
      <c r="I132" s="190"/>
      <c r="J132" s="190"/>
      <c r="K132" s="190"/>
      <c r="L132" s="190"/>
      <c r="M132" s="190"/>
      <c r="N132" s="190"/>
      <c r="O132" s="190"/>
      <c r="P132" s="190"/>
    </row>
    <row r="133" spans="1:16" ht="12.75" customHeight="1" x14ac:dyDescent="0.35">
      <c r="A133" s="190"/>
      <c r="B133" s="190"/>
      <c r="C133" s="278" t="s">
        <v>303</v>
      </c>
      <c r="D133" s="278"/>
      <c r="E133" s="278"/>
      <c r="F133" s="278"/>
      <c r="G133" s="220"/>
      <c r="H133" s="232">
        <f>SUM(H130:H130)-SUM(H131:H131)</f>
        <v>6125000</v>
      </c>
      <c r="I133" s="190" t="s">
        <v>94</v>
      </c>
      <c r="J133" s="232">
        <f>SUM(H$174:H$174)</f>
        <v>0</v>
      </c>
      <c r="K133" s="190" t="str">
        <f>IF((H$174:H$174)&lt;=SUM(I$98:I$98),"More needs to be distributed.","Too much has been distributed.")</f>
        <v>More needs to be distributed.</v>
      </c>
      <c r="L133" s="190"/>
      <c r="M133" s="190"/>
      <c r="N133" s="190"/>
      <c r="O133" s="190"/>
      <c r="P133" s="190"/>
    </row>
    <row r="134" spans="1:16" x14ac:dyDescent="0.35">
      <c r="A134" s="190"/>
      <c r="B134" s="190"/>
      <c r="C134" s="278"/>
      <c r="D134" s="278"/>
      <c r="E134" s="278"/>
      <c r="F134" s="278"/>
      <c r="G134" s="220" t="s">
        <v>337</v>
      </c>
      <c r="H134" s="230">
        <v>2100000</v>
      </c>
      <c r="I134" s="190" t="str">
        <f>IF(SUM(H134:H134)&lt;&gt;ROUND(SUM(H134:H134),0),"WHOLE DOLLARS","")</f>
        <v/>
      </c>
      <c r="J134" s="190"/>
      <c r="K134" s="190"/>
      <c r="L134" s="190"/>
      <c r="M134" s="190"/>
      <c r="N134" s="190"/>
      <c r="O134" s="190"/>
      <c r="P134" s="190"/>
    </row>
    <row r="135" spans="1:16" x14ac:dyDescent="0.35">
      <c r="A135" s="190"/>
      <c r="B135" s="190"/>
      <c r="C135" s="239" t="s">
        <v>94</v>
      </c>
      <c r="D135" s="239"/>
      <c r="E135" s="239"/>
      <c r="F135" s="239"/>
      <c r="G135" s="220"/>
      <c r="H135" s="190"/>
      <c r="I135" s="190"/>
      <c r="J135" s="190"/>
      <c r="K135" s="190"/>
      <c r="L135" s="190"/>
      <c r="M135" s="190"/>
      <c r="N135" s="190"/>
      <c r="O135" s="190"/>
      <c r="P135" s="190"/>
    </row>
    <row r="136" spans="1:16" ht="12.75" customHeight="1" x14ac:dyDescent="0.35">
      <c r="A136" s="190"/>
      <c r="B136" s="190"/>
      <c r="C136" s="239" t="s">
        <v>338</v>
      </c>
      <c r="D136" s="231"/>
      <c r="E136" s="231"/>
      <c r="F136" s="231"/>
      <c r="G136" s="220"/>
      <c r="H136" s="232">
        <f>SUM(H133:H133)-SUM(H134:H134)</f>
        <v>4025000</v>
      </c>
      <c r="I136" s="190" t="s">
        <v>94</v>
      </c>
      <c r="J136" s="232">
        <f>SUM(H$174:H$174)</f>
        <v>0</v>
      </c>
      <c r="K136" s="190" t="str">
        <f>IF((H$174:H$174)&lt;=SUM(I$98:I$98),"More needs to be distributed.","Too much has been distributed.")</f>
        <v>More needs to be distributed.</v>
      </c>
      <c r="L136" s="190"/>
      <c r="M136" s="190"/>
      <c r="N136" s="190"/>
      <c r="O136" s="190"/>
      <c r="P136" s="190"/>
    </row>
    <row r="137" spans="1:16" x14ac:dyDescent="0.35">
      <c r="A137" s="190"/>
      <c r="B137" s="190"/>
      <c r="C137" s="231"/>
      <c r="D137" s="231"/>
      <c r="E137" s="231"/>
      <c r="F137" s="231"/>
      <c r="G137" s="220" t="s">
        <v>339</v>
      </c>
      <c r="H137" s="230">
        <v>1700000</v>
      </c>
      <c r="I137" s="190" t="str">
        <f>IF(SUM(H137:H137)&lt;&gt;ROUND(SUM(H137:H137),0),"WHOLE DOLLARS","")</f>
        <v/>
      </c>
      <c r="J137" s="190"/>
      <c r="K137" s="190"/>
      <c r="L137" s="190"/>
      <c r="M137" s="190"/>
      <c r="N137" s="190"/>
      <c r="O137" s="190"/>
      <c r="P137" s="190"/>
    </row>
    <row r="138" spans="1:16" x14ac:dyDescent="0.35">
      <c r="A138" s="190"/>
      <c r="B138" s="190"/>
      <c r="C138" s="239"/>
      <c r="D138" s="239"/>
      <c r="E138" s="239"/>
      <c r="F138" s="239"/>
      <c r="G138" s="220"/>
      <c r="H138" s="190"/>
      <c r="I138" s="190"/>
      <c r="J138" s="190"/>
      <c r="K138" s="190"/>
      <c r="L138" s="190"/>
      <c r="M138" s="190"/>
      <c r="N138" s="190"/>
      <c r="O138" s="190"/>
      <c r="P138" s="190"/>
    </row>
    <row r="139" spans="1:16" ht="12.75" customHeight="1" x14ac:dyDescent="0.35">
      <c r="A139" s="190"/>
      <c r="B139" s="190"/>
      <c r="C139" s="278" t="s">
        <v>340</v>
      </c>
      <c r="D139" s="278"/>
      <c r="E139" s="278"/>
      <c r="F139" s="278"/>
      <c r="G139" s="220"/>
      <c r="H139" s="232">
        <f>SUM(H136:H136)-SUM(H137:H137)</f>
        <v>2325000</v>
      </c>
      <c r="I139" s="190" t="s">
        <v>94</v>
      </c>
      <c r="J139" s="232">
        <f>SUM(H$174:H$174)</f>
        <v>0</v>
      </c>
      <c r="K139" s="190" t="str">
        <f>IF((H$174:H$174)&lt;=SUM(I$98:I$98),"More needs to be distributed.","Too much has been distributed.")</f>
        <v>More needs to be distributed.</v>
      </c>
      <c r="L139" s="190"/>
      <c r="M139" s="190"/>
      <c r="N139" s="190"/>
      <c r="O139" s="190"/>
      <c r="P139" s="190"/>
    </row>
    <row r="140" spans="1:16" x14ac:dyDescent="0.35">
      <c r="A140" s="190"/>
      <c r="B140" s="190"/>
      <c r="C140" s="278"/>
      <c r="D140" s="278"/>
      <c r="E140" s="278"/>
      <c r="F140" s="278"/>
      <c r="G140" s="220" t="s">
        <v>341</v>
      </c>
      <c r="H140" s="230">
        <v>25000</v>
      </c>
      <c r="I140" s="190" t="str">
        <f>IF(SUM(H140:H140)&lt;&gt;ROUND(SUM(H140:H140),0),"WHOLE DOLLARS","")</f>
        <v/>
      </c>
      <c r="J140" s="190"/>
      <c r="K140" s="190"/>
      <c r="L140" s="190"/>
      <c r="M140" s="190"/>
      <c r="N140" s="190"/>
      <c r="O140" s="190"/>
      <c r="P140" s="190"/>
    </row>
    <row r="141" spans="1:16" x14ac:dyDescent="0.35">
      <c r="A141" s="190"/>
      <c r="B141" s="190"/>
      <c r="C141" s="239"/>
      <c r="D141" s="239"/>
      <c r="E141" s="239"/>
      <c r="F141" s="239"/>
      <c r="G141" s="220"/>
      <c r="H141" s="190"/>
      <c r="I141" s="190"/>
      <c r="J141" s="190"/>
      <c r="K141" s="190"/>
      <c r="L141" s="190"/>
      <c r="M141" s="190"/>
      <c r="N141" s="190"/>
      <c r="O141" s="190"/>
      <c r="P141" s="190"/>
    </row>
    <row r="142" spans="1:16" ht="12.75" customHeight="1" x14ac:dyDescent="0.35">
      <c r="A142" s="190"/>
      <c r="B142" s="190"/>
      <c r="C142" s="278" t="s">
        <v>342</v>
      </c>
      <c r="D142" s="278"/>
      <c r="E142" s="278"/>
      <c r="F142" s="278"/>
      <c r="G142" s="220"/>
      <c r="H142" s="232">
        <f>SUM(H139:H139)-SUM(H140:H140)</f>
        <v>2300000</v>
      </c>
      <c r="I142" s="190" t="s">
        <v>94</v>
      </c>
      <c r="J142" s="232">
        <f>SUM(H$174:H$174)</f>
        <v>0</v>
      </c>
      <c r="K142" s="190" t="str">
        <f>IF((H$174:H$174)&lt;=SUM(I$98:I$98),"More needs to be distributed.","Too much has been distributed.")</f>
        <v>More needs to be distributed.</v>
      </c>
      <c r="L142" s="190"/>
      <c r="M142" s="190"/>
      <c r="N142" s="190"/>
      <c r="O142" s="190"/>
      <c r="P142" s="190"/>
    </row>
    <row r="143" spans="1:16" x14ac:dyDescent="0.35">
      <c r="A143" s="190"/>
      <c r="B143" s="190"/>
      <c r="C143" s="278"/>
      <c r="D143" s="278"/>
      <c r="E143" s="278"/>
      <c r="F143" s="278"/>
      <c r="G143" s="220"/>
      <c r="H143" s="190"/>
      <c r="I143" s="190"/>
      <c r="J143" s="190"/>
      <c r="K143" s="190"/>
      <c r="L143" s="190"/>
      <c r="M143" s="190"/>
      <c r="N143" s="190"/>
      <c r="O143" s="190"/>
      <c r="P143" s="190"/>
    </row>
    <row r="144" spans="1:16" x14ac:dyDescent="0.35">
      <c r="A144" s="190"/>
      <c r="B144" s="190"/>
      <c r="C144" s="278"/>
      <c r="D144" s="278"/>
      <c r="E144" s="278"/>
      <c r="F144" s="278"/>
      <c r="G144" s="220" t="s">
        <v>343</v>
      </c>
      <c r="H144" s="230">
        <v>325000</v>
      </c>
      <c r="I144" s="190" t="str">
        <f>IF(SUM(H144:H144)&lt;&gt;ROUND(SUM(H144:H144),0),"WHOLE DOLLARS","")</f>
        <v/>
      </c>
      <c r="J144" s="190"/>
      <c r="K144" s="190"/>
      <c r="L144" s="190"/>
      <c r="M144" s="190"/>
      <c r="N144" s="190"/>
      <c r="O144" s="190"/>
      <c r="P144" s="190"/>
    </row>
    <row r="145" spans="1:16" x14ac:dyDescent="0.35">
      <c r="A145" s="190"/>
      <c r="B145" s="190"/>
      <c r="C145" s="239"/>
      <c r="D145" s="239"/>
      <c r="E145" s="239"/>
      <c r="F145" s="239"/>
      <c r="G145" s="220"/>
      <c r="H145" s="190"/>
      <c r="I145" s="190"/>
      <c r="J145" s="190"/>
      <c r="K145" s="190"/>
      <c r="L145" s="190"/>
      <c r="M145" s="190"/>
      <c r="N145" s="190"/>
      <c r="O145" s="190"/>
      <c r="P145" s="190"/>
    </row>
    <row r="146" spans="1:16" ht="12.75" customHeight="1" x14ac:dyDescent="0.35">
      <c r="A146" s="190"/>
      <c r="B146" s="190"/>
      <c r="C146" s="278" t="s">
        <v>344</v>
      </c>
      <c r="D146" s="278"/>
      <c r="E146" s="278"/>
      <c r="F146" s="278"/>
      <c r="G146" s="220"/>
      <c r="H146" s="232">
        <f>SUM(H142:H142)-SUM(H144:H144)</f>
        <v>1975000</v>
      </c>
      <c r="I146" s="190" t="s">
        <v>94</v>
      </c>
      <c r="J146" s="232">
        <f>SUM(H$174:H$174)</f>
        <v>0</v>
      </c>
      <c r="K146" s="190" t="str">
        <f>IF((H$174:H$174)&lt;=SUM(I$98:I$98),"More needs to be distributed.","Too much has been distributed.")</f>
        <v>More needs to be distributed.</v>
      </c>
      <c r="L146" s="190"/>
      <c r="M146" s="190"/>
      <c r="N146" s="190"/>
      <c r="O146" s="190"/>
      <c r="P146" s="190"/>
    </row>
    <row r="147" spans="1:16" x14ac:dyDescent="0.35">
      <c r="A147" s="190"/>
      <c r="B147" s="190"/>
      <c r="C147" s="278"/>
      <c r="D147" s="278"/>
      <c r="E147" s="278"/>
      <c r="F147" s="278"/>
      <c r="G147" s="220"/>
      <c r="H147" s="190"/>
      <c r="I147" s="190"/>
      <c r="J147" s="190"/>
      <c r="K147" s="190"/>
      <c r="L147" s="190"/>
      <c r="M147" s="190"/>
      <c r="N147" s="190"/>
      <c r="O147" s="190"/>
      <c r="P147" s="190"/>
    </row>
    <row r="148" spans="1:16" x14ac:dyDescent="0.35">
      <c r="A148" s="190"/>
      <c r="B148" s="190"/>
      <c r="C148" s="278"/>
      <c r="D148" s="278"/>
      <c r="E148" s="278"/>
      <c r="F148" s="278"/>
      <c r="G148" s="220" t="s">
        <v>345</v>
      </c>
      <c r="H148" s="230">
        <v>475000</v>
      </c>
      <c r="I148" s="190" t="str">
        <f>IF(SUM(H148:H148)&lt;&gt;ROUND(SUM(H148:H148),0),"WHOLE DOLLARS","")</f>
        <v/>
      </c>
      <c r="J148" s="190"/>
      <c r="K148" s="190"/>
      <c r="L148" s="190"/>
      <c r="M148" s="190"/>
      <c r="N148" s="190"/>
      <c r="O148" s="190"/>
      <c r="P148" s="190"/>
    </row>
    <row r="149" spans="1:16" x14ac:dyDescent="0.35">
      <c r="A149" s="190"/>
      <c r="B149" s="190"/>
      <c r="C149" s="239"/>
      <c r="D149" s="239"/>
      <c r="E149" s="239"/>
      <c r="F149" s="239"/>
      <c r="G149" s="220"/>
      <c r="H149" s="190"/>
      <c r="I149" s="190"/>
      <c r="J149" s="190"/>
      <c r="K149" s="190"/>
      <c r="L149" s="190"/>
      <c r="M149" s="190"/>
      <c r="N149" s="190"/>
      <c r="O149" s="190"/>
      <c r="P149" s="190"/>
    </row>
    <row r="150" spans="1:16" ht="12.75" customHeight="1" x14ac:dyDescent="0.35">
      <c r="A150" s="190"/>
      <c r="B150" s="190"/>
      <c r="C150" s="278" t="s">
        <v>346</v>
      </c>
      <c r="D150" s="278"/>
      <c r="E150" s="278"/>
      <c r="F150" s="278"/>
      <c r="G150" s="220"/>
      <c r="H150" s="190"/>
      <c r="I150" s="190"/>
      <c r="J150" s="190"/>
      <c r="K150" s="190"/>
      <c r="L150" s="190"/>
      <c r="M150" s="190"/>
      <c r="N150" s="190"/>
      <c r="O150" s="190"/>
      <c r="P150" s="190"/>
    </row>
    <row r="151" spans="1:16" x14ac:dyDescent="0.35">
      <c r="A151" s="190"/>
      <c r="B151" s="190"/>
      <c r="C151" s="278"/>
      <c r="D151" s="278"/>
      <c r="E151" s="278"/>
      <c r="F151" s="278"/>
      <c r="G151" s="220"/>
      <c r="H151" s="232">
        <f>SUM(H146:H146)-SUM(H148:H148)</f>
        <v>1500000</v>
      </c>
      <c r="I151" s="190" t="s">
        <v>94</v>
      </c>
      <c r="J151" s="232">
        <f>SUM(H$174:H$174)</f>
        <v>0</v>
      </c>
      <c r="K151" s="190" t="str">
        <f>IF((H$174:H$174)&lt;=SUM(I$98:I$98),"More needs to be distributed.","Too much has been distributed.")</f>
        <v>More needs to be distributed.</v>
      </c>
      <c r="L151" s="190"/>
      <c r="M151" s="190"/>
      <c r="N151" s="190"/>
      <c r="O151" s="190"/>
      <c r="P151" s="190"/>
    </row>
    <row r="152" spans="1:16" x14ac:dyDescent="0.35">
      <c r="A152" s="190"/>
      <c r="B152" s="190"/>
      <c r="C152" s="278"/>
      <c r="D152" s="278"/>
      <c r="E152" s="278"/>
      <c r="F152" s="278"/>
      <c r="G152" s="220"/>
      <c r="H152" s="190"/>
      <c r="I152" s="190"/>
      <c r="J152" s="190"/>
      <c r="K152" s="190"/>
      <c r="L152" s="190"/>
      <c r="M152" s="190"/>
      <c r="N152" s="190"/>
      <c r="O152" s="190"/>
      <c r="P152" s="190"/>
    </row>
    <row r="153" spans="1:16" x14ac:dyDescent="0.35">
      <c r="A153" s="190"/>
      <c r="B153" s="190"/>
      <c r="C153" s="278"/>
      <c r="D153" s="278"/>
      <c r="E153" s="278"/>
      <c r="F153" s="278"/>
      <c r="G153" s="220" t="s">
        <v>347</v>
      </c>
      <c r="H153" s="230">
        <v>1500000</v>
      </c>
      <c r="I153" s="190" t="str">
        <f>IF(SUM(H153:H153)&lt;&gt;ROUND(SUM(H153:H153),0),"WHOLE DOLLARS","")</f>
        <v/>
      </c>
      <c r="J153" s="190"/>
      <c r="K153" s="190"/>
      <c r="L153" s="190"/>
      <c r="M153" s="190"/>
      <c r="N153" s="190"/>
      <c r="O153" s="190"/>
      <c r="P153" s="190"/>
    </row>
    <row r="154" spans="1:16" x14ac:dyDescent="0.35">
      <c r="A154" s="190"/>
      <c r="B154" s="190"/>
      <c r="C154" s="239"/>
      <c r="D154" s="239"/>
      <c r="E154" s="239"/>
      <c r="F154" s="239"/>
      <c r="G154" s="220"/>
      <c r="H154" s="190"/>
      <c r="I154" s="190"/>
      <c r="J154" s="190"/>
      <c r="K154" s="190"/>
      <c r="L154" s="190"/>
      <c r="M154" s="190"/>
      <c r="N154" s="190"/>
      <c r="O154" s="190"/>
      <c r="P154" s="190"/>
    </row>
    <row r="155" spans="1:16" ht="12.75" customHeight="1" x14ac:dyDescent="0.35">
      <c r="A155" s="190"/>
      <c r="B155" s="190"/>
      <c r="C155" s="278" t="s">
        <v>348</v>
      </c>
      <c r="D155" s="278"/>
      <c r="E155" s="278"/>
      <c r="F155" s="278"/>
      <c r="G155" s="220"/>
      <c r="H155" s="190"/>
      <c r="I155" s="190"/>
      <c r="J155" s="190"/>
      <c r="K155" s="190"/>
      <c r="L155" s="190"/>
      <c r="M155" s="190"/>
      <c r="N155" s="190"/>
      <c r="O155" s="190"/>
      <c r="P155" s="190"/>
    </row>
    <row r="156" spans="1:16" x14ac:dyDescent="0.35">
      <c r="A156" s="190"/>
      <c r="B156" s="190"/>
      <c r="C156" s="278"/>
      <c r="D156" s="278"/>
      <c r="E156" s="278"/>
      <c r="F156" s="278"/>
      <c r="G156" s="220"/>
      <c r="H156" s="232">
        <f>SUM(H151:H151)-SUM(H153:H153)</f>
        <v>0</v>
      </c>
      <c r="I156" s="190" t="s">
        <v>94</v>
      </c>
      <c r="J156" s="232">
        <f>SUM(H$174:H$174)</f>
        <v>0</v>
      </c>
      <c r="K156" s="190" t="str">
        <f>IF((H$174:H$174)&lt;=SUM(I$98:I$98),"More needs to be distributed.","Too much has been distributed.")</f>
        <v>More needs to be distributed.</v>
      </c>
      <c r="L156" s="190"/>
      <c r="M156" s="190"/>
      <c r="N156" s="190"/>
      <c r="O156" s="190"/>
      <c r="P156" s="190"/>
    </row>
    <row r="157" spans="1:16" x14ac:dyDescent="0.35">
      <c r="A157" s="190"/>
      <c r="B157" s="190"/>
      <c r="C157" s="278"/>
      <c r="D157" s="278"/>
      <c r="E157" s="278"/>
      <c r="F157" s="278"/>
      <c r="G157" s="220"/>
      <c r="H157" s="190"/>
      <c r="I157" s="190"/>
      <c r="J157" s="190"/>
      <c r="K157" s="190"/>
      <c r="L157" s="190"/>
      <c r="M157" s="190"/>
      <c r="N157" s="190"/>
      <c r="O157" s="190"/>
      <c r="P157" s="190"/>
    </row>
    <row r="158" spans="1:16" x14ac:dyDescent="0.35">
      <c r="A158" s="190"/>
      <c r="B158" s="190"/>
      <c r="C158" s="278"/>
      <c r="D158" s="278"/>
      <c r="E158" s="278"/>
      <c r="F158" s="278"/>
      <c r="G158" s="220"/>
      <c r="H158" s="190"/>
      <c r="I158" s="190"/>
      <c r="J158" s="190"/>
      <c r="K158" s="190"/>
      <c r="L158" s="190"/>
      <c r="M158" s="190"/>
      <c r="N158" s="190"/>
      <c r="O158" s="190"/>
      <c r="P158" s="190"/>
    </row>
    <row r="159" spans="1:16" x14ac:dyDescent="0.35">
      <c r="A159" s="190"/>
      <c r="B159" s="190"/>
      <c r="C159" s="278"/>
      <c r="D159" s="278"/>
      <c r="E159" s="278"/>
      <c r="F159" s="278"/>
      <c r="G159" s="220" t="s">
        <v>349</v>
      </c>
      <c r="H159" s="230">
        <v>0</v>
      </c>
      <c r="I159" s="190" t="str">
        <f>IF(SUM(H159:H159)&lt;&gt;ROUND(SUM(H159:H159),0),"WHOLE DOLLARS","")</f>
        <v/>
      </c>
      <c r="J159" s="190"/>
      <c r="K159" s="190"/>
      <c r="L159" s="190"/>
      <c r="M159" s="190"/>
      <c r="N159" s="190"/>
      <c r="O159" s="190"/>
      <c r="P159" s="190"/>
    </row>
    <row r="160" spans="1:16" x14ac:dyDescent="0.35">
      <c r="A160" s="190"/>
      <c r="B160" s="190"/>
      <c r="C160" s="239"/>
      <c r="D160" s="239"/>
      <c r="E160" s="239"/>
      <c r="F160" s="239"/>
      <c r="G160" s="220"/>
      <c r="H160" s="190"/>
      <c r="I160" s="190"/>
      <c r="J160" s="190"/>
      <c r="K160" s="190"/>
      <c r="L160" s="190"/>
      <c r="M160" s="190"/>
      <c r="N160" s="190"/>
      <c r="O160" s="190"/>
      <c r="P160" s="190"/>
    </row>
    <row r="161" spans="1:21" ht="12.75" customHeight="1" x14ac:dyDescent="0.35">
      <c r="A161" s="190"/>
      <c r="B161" s="190"/>
      <c r="C161" s="280" t="s">
        <v>350</v>
      </c>
      <c r="D161" s="280"/>
      <c r="E161" s="280"/>
      <c r="F161" s="280"/>
      <c r="G161" s="220"/>
      <c r="H161" s="190"/>
      <c r="I161" s="190"/>
      <c r="J161" s="190"/>
      <c r="K161" s="190"/>
      <c r="L161" s="190"/>
      <c r="M161" s="190"/>
      <c r="N161" s="190"/>
      <c r="O161" s="190"/>
      <c r="P161" s="190"/>
    </row>
    <row r="162" spans="1:21" x14ac:dyDescent="0.35">
      <c r="A162" s="190"/>
      <c r="B162" s="190"/>
      <c r="C162" s="280"/>
      <c r="D162" s="280"/>
      <c r="E162" s="280"/>
      <c r="F162" s="280"/>
      <c r="G162" s="220"/>
      <c r="H162" s="190"/>
      <c r="I162" s="190"/>
      <c r="J162" s="190"/>
      <c r="K162" s="190"/>
      <c r="L162" s="190"/>
      <c r="M162" s="190"/>
      <c r="N162" s="190"/>
      <c r="O162" s="190"/>
      <c r="P162" s="190"/>
    </row>
    <row r="163" spans="1:21" x14ac:dyDescent="0.35">
      <c r="A163" s="190"/>
      <c r="B163" s="190"/>
      <c r="C163" s="280"/>
      <c r="D163" s="280"/>
      <c r="E163" s="280"/>
      <c r="F163" s="280"/>
      <c r="G163" s="220"/>
      <c r="H163" s="190"/>
      <c r="I163" s="190"/>
      <c r="J163" s="190"/>
      <c r="K163" s="190"/>
      <c r="L163" s="190"/>
      <c r="M163" s="190"/>
      <c r="N163" s="190"/>
      <c r="O163" s="190"/>
      <c r="P163" s="190"/>
    </row>
    <row r="164" spans="1:21" x14ac:dyDescent="0.35">
      <c r="A164" s="190"/>
      <c r="B164" s="190"/>
      <c r="C164" s="280"/>
      <c r="D164" s="280"/>
      <c r="E164" s="280"/>
      <c r="F164" s="280"/>
      <c r="G164" s="220"/>
      <c r="H164" s="190"/>
      <c r="I164" s="190"/>
      <c r="J164" s="190"/>
      <c r="K164" s="190"/>
      <c r="L164" s="190"/>
      <c r="M164" s="190"/>
      <c r="N164" s="190"/>
      <c r="O164" s="190"/>
      <c r="P164" s="190"/>
    </row>
    <row r="165" spans="1:21" x14ac:dyDescent="0.35">
      <c r="A165" s="190"/>
      <c r="B165" s="190"/>
      <c r="C165" s="280"/>
      <c r="D165" s="280"/>
      <c r="E165" s="280"/>
      <c r="F165" s="280"/>
      <c r="G165" s="220"/>
      <c r="H165" s="232">
        <f>SUM(H156:H156)-SUM(H159:H159)</f>
        <v>0</v>
      </c>
      <c r="I165" s="190" t="s">
        <v>94</v>
      </c>
      <c r="J165" s="232">
        <f>SUM(H$174:H$174)</f>
        <v>0</v>
      </c>
      <c r="K165" s="190" t="str">
        <f>IF((H$174:H$174)&lt;=SUM(I$98:I$98),"More needs to be distributed.","Too much has been distributed.")</f>
        <v>More needs to be distributed.</v>
      </c>
      <c r="L165" s="190"/>
      <c r="M165" s="190"/>
      <c r="N165" s="190"/>
      <c r="O165" s="190"/>
      <c r="P165" s="190"/>
    </row>
    <row r="166" spans="1:21" x14ac:dyDescent="0.35">
      <c r="A166" s="190"/>
      <c r="B166" s="190"/>
      <c r="C166" s="280"/>
      <c r="D166" s="280"/>
      <c r="E166" s="280"/>
      <c r="F166" s="280"/>
      <c r="G166" s="220"/>
      <c r="H166" s="190"/>
      <c r="I166" s="190"/>
      <c r="J166" s="190"/>
      <c r="K166" s="190"/>
      <c r="L166" s="190"/>
      <c r="M166" s="190"/>
      <c r="N166" s="190"/>
      <c r="O166" s="190"/>
      <c r="P166" s="190"/>
    </row>
    <row r="167" spans="1:21" x14ac:dyDescent="0.35">
      <c r="A167" s="190"/>
      <c r="B167" s="190"/>
      <c r="C167" s="280"/>
      <c r="D167" s="280"/>
      <c r="E167" s="280"/>
      <c r="F167" s="280"/>
      <c r="G167" s="220"/>
      <c r="H167" s="190"/>
      <c r="I167" s="190"/>
      <c r="J167" s="190"/>
      <c r="K167" s="190"/>
      <c r="L167" s="190"/>
      <c r="M167" s="190"/>
      <c r="N167" s="190"/>
      <c r="O167" s="190"/>
      <c r="P167" s="190"/>
    </row>
    <row r="168" spans="1:21" x14ac:dyDescent="0.35">
      <c r="A168" s="190"/>
      <c r="B168" s="190"/>
      <c r="C168" s="280"/>
      <c r="D168" s="280"/>
      <c r="E168" s="280"/>
      <c r="F168" s="280"/>
      <c r="G168" s="220"/>
      <c r="H168" s="190"/>
      <c r="I168" s="190"/>
      <c r="J168" s="190"/>
      <c r="K168" s="190"/>
      <c r="L168" s="190"/>
      <c r="M168" s="190"/>
      <c r="N168" s="190"/>
      <c r="O168" s="190"/>
      <c r="P168" s="190"/>
    </row>
    <row r="169" spans="1:21" x14ac:dyDescent="0.35">
      <c r="A169" s="190"/>
      <c r="B169" s="190"/>
      <c r="C169" s="280"/>
      <c r="D169" s="280"/>
      <c r="E169" s="280"/>
      <c r="F169" s="280"/>
      <c r="G169" s="220"/>
      <c r="H169" s="190"/>
      <c r="I169" s="190"/>
      <c r="J169" s="190"/>
      <c r="K169" s="190"/>
      <c r="L169" s="190"/>
      <c r="M169" s="190"/>
      <c r="N169" s="190"/>
      <c r="O169" s="190"/>
      <c r="P169" s="190"/>
    </row>
    <row r="170" spans="1:21" x14ac:dyDescent="0.35">
      <c r="A170" s="190"/>
      <c r="B170" s="190"/>
      <c r="C170" s="280"/>
      <c r="D170" s="280"/>
      <c r="E170" s="280"/>
      <c r="F170" s="280"/>
      <c r="G170" s="220"/>
      <c r="H170" s="190"/>
      <c r="I170" s="190"/>
      <c r="J170" s="190"/>
      <c r="K170" s="190"/>
      <c r="L170" s="190"/>
      <c r="M170" s="190"/>
      <c r="N170" s="190"/>
      <c r="O170" s="190"/>
      <c r="P170" s="190"/>
    </row>
    <row r="171" spans="1:21" x14ac:dyDescent="0.35">
      <c r="A171" s="190"/>
      <c r="B171" s="190"/>
      <c r="C171" s="280"/>
      <c r="D171" s="280"/>
      <c r="E171" s="280"/>
      <c r="F171" s="280"/>
      <c r="G171" s="220"/>
      <c r="H171" s="190"/>
      <c r="I171" s="190"/>
      <c r="J171" s="190"/>
      <c r="K171" s="190"/>
      <c r="L171" s="190"/>
      <c r="M171" s="190"/>
      <c r="N171" s="190"/>
      <c r="O171" s="190"/>
      <c r="P171" s="190"/>
    </row>
    <row r="172" spans="1:21" x14ac:dyDescent="0.35">
      <c r="A172" s="190"/>
      <c r="B172" s="190"/>
      <c r="C172" s="280"/>
      <c r="D172" s="280"/>
      <c r="E172" s="280"/>
      <c r="F172" s="280"/>
      <c r="G172" s="220" t="s">
        <v>351</v>
      </c>
      <c r="H172" s="230">
        <v>0</v>
      </c>
      <c r="I172" s="190" t="str">
        <f>IF(SUM(H172:H172)&lt;&gt;ROUND(SUM(H172:H172),0),"WHOLE DOLLARS","")</f>
        <v/>
      </c>
      <c r="J172" s="190"/>
      <c r="K172" s="190"/>
      <c r="L172" s="190"/>
      <c r="M172" s="190"/>
      <c r="N172" s="190"/>
      <c r="O172" s="190"/>
      <c r="P172" s="190"/>
    </row>
    <row r="173" spans="1:21" x14ac:dyDescent="0.35">
      <c r="A173" s="190"/>
      <c r="B173" s="190"/>
      <c r="C173" s="239"/>
      <c r="D173" s="239"/>
      <c r="E173" s="239"/>
      <c r="F173" s="239"/>
      <c r="G173" s="220"/>
      <c r="H173" s="190"/>
      <c r="I173" s="190"/>
      <c r="J173" s="190"/>
      <c r="K173" s="190"/>
      <c r="L173" s="190"/>
      <c r="M173" s="190"/>
      <c r="N173" s="190"/>
      <c r="O173" s="190"/>
      <c r="P173" s="190"/>
    </row>
    <row r="174" spans="1:21" x14ac:dyDescent="0.35">
      <c r="A174" s="190"/>
      <c r="B174" s="190"/>
      <c r="C174" s="239"/>
      <c r="D174" s="239"/>
      <c r="E174" s="239"/>
      <c r="F174" s="239"/>
      <c r="G174" s="220"/>
      <c r="H174" s="232">
        <f>SUM(H165:H165)-SUM(H172:H172)</f>
        <v>0</v>
      </c>
      <c r="I174" s="190" t="s">
        <v>94</v>
      </c>
      <c r="J174" s="190"/>
      <c r="K174" s="190"/>
      <c r="L174" s="190"/>
      <c r="M174" s="190"/>
      <c r="N174" s="190"/>
      <c r="O174" s="190"/>
      <c r="P174" s="190"/>
    </row>
    <row r="175" spans="1:21" ht="13.15" x14ac:dyDescent="0.4">
      <c r="A175" s="190"/>
      <c r="B175" s="190"/>
      <c r="C175" s="190"/>
      <c r="D175" s="190"/>
      <c r="E175" s="190"/>
      <c r="F175" s="190"/>
      <c r="G175" s="220"/>
      <c r="H175" s="190"/>
      <c r="I175" s="190"/>
      <c r="J175" s="190"/>
      <c r="K175" s="190"/>
      <c r="L175" s="190"/>
      <c r="M175" s="190"/>
      <c r="N175" s="190"/>
      <c r="O175" s="190"/>
      <c r="P175" s="190"/>
      <c r="U175" s="37" t="s">
        <v>94</v>
      </c>
    </row>
    <row r="176" spans="1:21" ht="13.15" x14ac:dyDescent="0.4">
      <c r="A176" s="190"/>
      <c r="B176" s="190"/>
      <c r="C176" s="190"/>
      <c r="D176" s="190" t="s">
        <v>352</v>
      </c>
      <c r="E176" s="190"/>
      <c r="F176" s="190"/>
      <c r="G176" s="220"/>
      <c r="H176" s="232"/>
      <c r="I176" s="232">
        <f>SUM(I98:I98)-SUM(H174:H174)</f>
        <v>17881532</v>
      </c>
      <c r="J176" s="257" t="str">
        <f>IF(I176&gt;SUM(I98:I98),"PROBLEM - You have distributed more than you said you want to set aside for Other State-Level Activities.",(IF(I176&lt;SUM(I98:I98),"PROBLEM - You have not distributed as much as you said you wanted to set aside for Other State-Level Activities.","OK")))</f>
        <v>OK</v>
      </c>
      <c r="K176" s="257"/>
      <c r="L176" s="257"/>
      <c r="M176" s="257"/>
      <c r="N176" s="257"/>
      <c r="O176" s="257"/>
      <c r="P176" s="257"/>
      <c r="U176" s="246"/>
    </row>
    <row r="177" spans="1:16" ht="12.75" customHeight="1" x14ac:dyDescent="0.35">
      <c r="A177" s="190"/>
      <c r="B177" s="190"/>
      <c r="C177" s="190"/>
      <c r="D177" s="190"/>
      <c r="E177" s="190"/>
      <c r="F177" s="190"/>
      <c r="G177" s="220"/>
      <c r="H177" s="232"/>
      <c r="I177" s="232"/>
      <c r="J177" s="257"/>
      <c r="K177" s="257"/>
      <c r="L177" s="257"/>
      <c r="M177" s="257"/>
      <c r="N177" s="257"/>
      <c r="O177" s="257"/>
      <c r="P177" s="257"/>
    </row>
    <row r="178" spans="1:16" x14ac:dyDescent="0.35">
      <c r="A178" s="190"/>
      <c r="B178" s="190"/>
      <c r="C178" s="190"/>
      <c r="D178" s="190"/>
      <c r="E178" s="190"/>
      <c r="F178" s="190"/>
      <c r="G178" s="220"/>
      <c r="H178" s="232"/>
      <c r="I178" s="232"/>
      <c r="J178" s="273" t="str">
        <f>IF(J176&lt;&gt;"OK","The difference between what you said you wanted to set aside and the details of what you have set aside is","")</f>
        <v/>
      </c>
      <c r="K178" s="273"/>
      <c r="L178" s="273"/>
      <c r="M178" s="273"/>
      <c r="N178" s="273"/>
      <c r="O178" s="273"/>
      <c r="P178" s="273"/>
    </row>
    <row r="179" spans="1:16" x14ac:dyDescent="0.35">
      <c r="A179" s="190"/>
      <c r="B179" s="190"/>
      <c r="C179" s="190"/>
      <c r="D179" s="190"/>
      <c r="E179" s="190"/>
      <c r="F179" s="190"/>
      <c r="G179" s="220"/>
      <c r="H179" s="232"/>
      <c r="I179" s="232"/>
      <c r="J179" s="273"/>
      <c r="K179" s="273"/>
      <c r="L179" s="273"/>
      <c r="M179" s="273"/>
      <c r="N179" s="273"/>
      <c r="O179" s="273"/>
      <c r="P179" s="273"/>
    </row>
    <row r="180" spans="1:16" ht="13.15" x14ac:dyDescent="0.4">
      <c r="A180" s="190" t="s">
        <v>353</v>
      </c>
      <c r="B180" s="190"/>
      <c r="C180" s="190"/>
      <c r="D180" s="190"/>
      <c r="E180" s="190"/>
      <c r="F180" s="190"/>
      <c r="G180" s="220"/>
      <c r="H180" s="190"/>
      <c r="I180" s="190"/>
      <c r="J180" s="43" t="str">
        <f>IF(SUM(I176:I176)&gt;SUM(I98:I98),SUM(I176:I176)-SUM(I98:I98),(IF(SUM(I176:I176)&lt;SUM(I98:I98),SUM(I98:I98)-SUM(I176:I176),"")))</f>
        <v/>
      </c>
      <c r="K180" s="190"/>
      <c r="L180" s="190"/>
      <c r="M180" s="190"/>
      <c r="N180" s="190"/>
      <c r="O180" s="190"/>
      <c r="P180" s="190"/>
    </row>
    <row r="181" spans="1:16" x14ac:dyDescent="0.35">
      <c r="A181" s="190" t="s">
        <v>354</v>
      </c>
      <c r="B181" s="190"/>
      <c r="C181" s="190"/>
      <c r="D181" s="190"/>
      <c r="E181" s="190"/>
      <c r="F181" s="190"/>
      <c r="G181" s="220"/>
      <c r="H181" s="190"/>
      <c r="I181" s="190"/>
      <c r="J181" s="190"/>
      <c r="K181" s="190"/>
      <c r="L181" s="190"/>
      <c r="M181" s="190"/>
      <c r="N181" s="190"/>
      <c r="O181" s="190"/>
      <c r="P181" s="190"/>
    </row>
    <row r="182" spans="1:16" x14ac:dyDescent="0.35">
      <c r="A182" s="190" t="s">
        <v>355</v>
      </c>
      <c r="B182" s="190"/>
      <c r="C182" s="190"/>
      <c r="D182" s="190"/>
      <c r="E182" s="190"/>
      <c r="F182" s="190"/>
      <c r="G182" s="220"/>
      <c r="H182" s="190"/>
      <c r="I182" s="190"/>
      <c r="J182" s="190"/>
      <c r="K182" s="190"/>
      <c r="L182" s="190"/>
      <c r="M182" s="190"/>
      <c r="N182" s="190"/>
      <c r="O182" s="190"/>
      <c r="P182" s="190"/>
    </row>
    <row r="183" spans="1:16" ht="13.15" x14ac:dyDescent="0.4">
      <c r="A183" s="41">
        <f>(H110)</f>
        <v>0</v>
      </c>
      <c r="B183" s="41"/>
      <c r="C183" s="41"/>
      <c r="D183" s="190"/>
      <c r="E183" s="190"/>
      <c r="F183" s="190"/>
      <c r="G183" s="220"/>
      <c r="H183" s="190"/>
      <c r="I183" s="190"/>
      <c r="J183" s="190"/>
      <c r="K183" s="190"/>
      <c r="L183" s="190"/>
      <c r="M183" s="190"/>
      <c r="N183" s="190"/>
      <c r="O183" s="190"/>
      <c r="P183" s="190"/>
    </row>
    <row r="184" spans="1:16" x14ac:dyDescent="0.35">
      <c r="A184" s="190"/>
      <c r="B184" s="190"/>
      <c r="C184" s="190"/>
      <c r="D184" s="190"/>
      <c r="E184" s="190"/>
      <c r="F184" s="190"/>
      <c r="G184" s="220"/>
      <c r="H184" s="190"/>
      <c r="I184" s="190"/>
      <c r="J184" s="190"/>
      <c r="K184" s="190"/>
      <c r="L184" s="190"/>
      <c r="M184" s="190"/>
      <c r="N184" s="190"/>
      <c r="O184" s="190"/>
      <c r="P184" s="190"/>
    </row>
    <row r="185" spans="1:16" ht="12.75" customHeight="1" x14ac:dyDescent="0.35">
      <c r="A185" s="190"/>
      <c r="B185" s="190"/>
      <c r="C185" s="278" t="s">
        <v>356</v>
      </c>
      <c r="D185" s="278"/>
      <c r="E185" s="278"/>
      <c r="F185" s="278"/>
      <c r="G185" s="220"/>
      <c r="H185" s="190"/>
      <c r="I185" s="190"/>
      <c r="J185" s="190"/>
      <c r="K185" s="190"/>
      <c r="L185" s="190"/>
      <c r="M185" s="190"/>
      <c r="N185" s="190"/>
      <c r="O185" s="190"/>
      <c r="P185" s="190"/>
    </row>
    <row r="186" spans="1:16" x14ac:dyDescent="0.35">
      <c r="A186" s="190"/>
      <c r="B186" s="190"/>
      <c r="C186" s="278"/>
      <c r="D186" s="278"/>
      <c r="E186" s="278"/>
      <c r="F186" s="278"/>
      <c r="G186" s="220"/>
      <c r="H186" s="190"/>
      <c r="I186" s="190"/>
      <c r="J186" s="190"/>
      <c r="K186" s="190"/>
      <c r="L186" s="190"/>
      <c r="M186" s="190"/>
      <c r="N186" s="190"/>
      <c r="O186" s="190"/>
      <c r="P186" s="190"/>
    </row>
    <row r="187" spans="1:16" x14ac:dyDescent="0.35">
      <c r="A187" s="190"/>
      <c r="B187" s="190"/>
      <c r="C187" s="278"/>
      <c r="D187" s="278"/>
      <c r="E187" s="278"/>
      <c r="F187" s="278"/>
      <c r="G187" s="220" t="s">
        <v>357</v>
      </c>
      <c r="H187" s="230">
        <v>0</v>
      </c>
      <c r="I187" s="190" t="str">
        <f>IF(SUM(H187:H187)&lt;&gt;ROUND(SUM(H187:H187),0),"WHOLE DOLLARS","")</f>
        <v/>
      </c>
      <c r="J187" s="190"/>
      <c r="K187" s="190"/>
      <c r="L187" s="190"/>
      <c r="M187" s="190"/>
      <c r="N187" s="190"/>
      <c r="O187" s="190"/>
      <c r="P187" s="190"/>
    </row>
    <row r="188" spans="1:16" x14ac:dyDescent="0.35">
      <c r="A188" s="190"/>
      <c r="B188" s="190"/>
      <c r="C188" s="239"/>
      <c r="D188" s="239"/>
      <c r="E188" s="239"/>
      <c r="F188" s="239"/>
      <c r="G188" s="220"/>
      <c r="H188" s="190"/>
      <c r="I188" s="190"/>
      <c r="J188" s="190"/>
      <c r="K188" s="190"/>
      <c r="L188" s="190"/>
      <c r="M188" s="190"/>
      <c r="N188" s="190"/>
      <c r="O188" s="190"/>
      <c r="P188" s="190"/>
    </row>
    <row r="189" spans="1:16" ht="12.75" customHeight="1" x14ac:dyDescent="0.35">
      <c r="A189" s="190"/>
      <c r="B189" s="190"/>
      <c r="C189" s="278" t="s">
        <v>358</v>
      </c>
      <c r="D189" s="278"/>
      <c r="E189" s="278"/>
      <c r="F189" s="278"/>
      <c r="G189" s="220"/>
      <c r="H189" s="190"/>
      <c r="I189" s="190"/>
      <c r="J189" s="190"/>
      <c r="K189" s="190"/>
      <c r="L189" s="190"/>
      <c r="M189" s="190"/>
      <c r="N189" s="190"/>
      <c r="O189" s="190"/>
      <c r="P189" s="190"/>
    </row>
    <row r="190" spans="1:16" x14ac:dyDescent="0.35">
      <c r="A190" s="190"/>
      <c r="B190" s="190"/>
      <c r="C190" s="278"/>
      <c r="D190" s="278"/>
      <c r="E190" s="278"/>
      <c r="F190" s="278"/>
      <c r="G190" s="220"/>
      <c r="H190" s="190"/>
      <c r="I190" s="190"/>
      <c r="J190" s="190"/>
      <c r="K190" s="190"/>
      <c r="L190" s="190"/>
      <c r="M190" s="190"/>
      <c r="N190" s="190"/>
      <c r="O190" s="190"/>
      <c r="P190" s="190"/>
    </row>
    <row r="191" spans="1:16" x14ac:dyDescent="0.35">
      <c r="A191" s="190"/>
      <c r="B191" s="190"/>
      <c r="C191" s="278"/>
      <c r="D191" s="278"/>
      <c r="E191" s="278"/>
      <c r="F191" s="278"/>
      <c r="G191" s="220"/>
      <c r="H191" s="190"/>
      <c r="I191" s="190"/>
      <c r="J191" s="190"/>
      <c r="K191" s="190"/>
      <c r="L191" s="190"/>
      <c r="M191" s="190"/>
      <c r="N191" s="190"/>
      <c r="O191" s="190"/>
      <c r="P191" s="190"/>
    </row>
    <row r="192" spans="1:16" x14ac:dyDescent="0.35">
      <c r="A192" s="190"/>
      <c r="B192" s="190"/>
      <c r="C192" s="278"/>
      <c r="D192" s="278"/>
      <c r="E192" s="278"/>
      <c r="F192" s="278"/>
      <c r="G192" s="220"/>
      <c r="H192" s="190"/>
      <c r="I192" s="190"/>
      <c r="J192" s="190"/>
      <c r="K192" s="190"/>
      <c r="L192" s="190"/>
      <c r="M192" s="190"/>
      <c r="N192" s="190"/>
      <c r="O192" s="190"/>
      <c r="P192" s="190"/>
    </row>
    <row r="193" spans="1:26" ht="13.15" x14ac:dyDescent="0.4">
      <c r="A193" s="190"/>
      <c r="B193" s="190"/>
      <c r="C193" s="278"/>
      <c r="D193" s="278"/>
      <c r="E193" s="278"/>
      <c r="F193" s="278"/>
      <c r="G193" s="220" t="s">
        <v>359</v>
      </c>
      <c r="H193" s="230">
        <v>0</v>
      </c>
      <c r="I193" s="190" t="str">
        <f>IF(SUM(H193:H193)&lt;&gt;ROUND(SUM(H193:H193),0),"WHOLE DOLLARS","")</f>
        <v/>
      </c>
      <c r="J193" s="42" t="str">
        <f>IF(SUM(H193:H193)&gt;(ROUND(SUM(H110:H110)*0.05,0)),"PROBLEM - This is more than 5% of the High Cost Fund.  5% is","")</f>
        <v/>
      </c>
      <c r="K193" s="190"/>
      <c r="L193" s="190"/>
      <c r="M193" s="190"/>
      <c r="N193" s="190"/>
      <c r="O193" s="190"/>
      <c r="P193" s="190"/>
    </row>
    <row r="194" spans="1:26" ht="13.15" x14ac:dyDescent="0.4">
      <c r="A194" s="190"/>
      <c r="B194" s="190"/>
      <c r="C194" s="231"/>
      <c r="D194" s="231"/>
      <c r="E194" s="231"/>
      <c r="F194" s="231"/>
      <c r="G194" s="220"/>
      <c r="H194" s="232"/>
      <c r="I194" s="190"/>
      <c r="J194" s="41" t="str">
        <f>IF(SUM(H193:H193)&gt;ROUND(SUM(H110:H110)*0.05,0),ROUND(H110*0.05,0),"")</f>
        <v/>
      </c>
      <c r="K194" s="190"/>
      <c r="L194" s="190"/>
      <c r="M194" s="190"/>
      <c r="N194" s="190"/>
      <c r="O194" s="190"/>
      <c r="P194" s="190"/>
    </row>
    <row r="195" spans="1:26" x14ac:dyDescent="0.35">
      <c r="A195" s="190"/>
      <c r="B195" s="190"/>
      <c r="C195" s="239"/>
      <c r="D195" s="239"/>
      <c r="E195" s="239"/>
      <c r="F195" s="239"/>
      <c r="G195" s="220"/>
      <c r="H195" s="190"/>
      <c r="I195" s="190"/>
      <c r="J195" s="190"/>
      <c r="K195" s="190"/>
      <c r="L195" s="190"/>
      <c r="M195" s="190"/>
      <c r="N195" s="190"/>
      <c r="O195" s="190"/>
      <c r="P195" s="190"/>
    </row>
    <row r="196" spans="1:26" ht="12.75" customHeight="1" x14ac:dyDescent="0.35">
      <c r="A196" s="190"/>
      <c r="B196" s="190"/>
      <c r="C196" s="278" t="s">
        <v>360</v>
      </c>
      <c r="D196" s="278"/>
      <c r="E196" s="278"/>
      <c r="F196" s="278"/>
      <c r="G196" s="220"/>
      <c r="H196" s="190"/>
      <c r="I196" s="190"/>
      <c r="J196" s="190"/>
      <c r="K196" s="190"/>
      <c r="L196" s="190"/>
      <c r="M196" s="190"/>
      <c r="N196" s="190"/>
      <c r="O196" s="190"/>
      <c r="P196" s="190"/>
    </row>
    <row r="197" spans="1:26" x14ac:dyDescent="0.35">
      <c r="A197" s="190"/>
      <c r="B197" s="190"/>
      <c r="C197" s="278"/>
      <c r="D197" s="278"/>
      <c r="E197" s="278"/>
      <c r="F197" s="278"/>
      <c r="G197" s="220"/>
      <c r="H197" s="190"/>
      <c r="I197" s="190"/>
      <c r="J197" s="190"/>
      <c r="K197" s="190"/>
      <c r="L197" s="190"/>
      <c r="M197" s="190"/>
      <c r="N197" s="190"/>
      <c r="O197" s="190"/>
      <c r="P197" s="190"/>
    </row>
    <row r="198" spans="1:26" x14ac:dyDescent="0.35">
      <c r="A198" s="190"/>
      <c r="B198" s="190"/>
      <c r="C198" s="278"/>
      <c r="D198" s="278"/>
      <c r="E198" s="278"/>
      <c r="F198" s="278"/>
      <c r="G198" s="220"/>
      <c r="H198" s="190"/>
      <c r="I198" s="190"/>
      <c r="J198" s="190"/>
      <c r="K198" s="190"/>
      <c r="L198" s="190"/>
      <c r="M198" s="190"/>
      <c r="N198" s="190"/>
      <c r="O198" s="190"/>
      <c r="P198" s="190"/>
    </row>
    <row r="199" spans="1:26" x14ac:dyDescent="0.35">
      <c r="A199" s="190"/>
      <c r="B199" s="190"/>
      <c r="C199" s="278"/>
      <c r="D199" s="278"/>
      <c r="E199" s="278"/>
      <c r="F199" s="278"/>
      <c r="G199" s="228"/>
      <c r="H199" s="190"/>
      <c r="I199" s="190"/>
      <c r="J199" s="190"/>
      <c r="K199" s="190"/>
      <c r="L199" s="190"/>
      <c r="M199" s="190"/>
      <c r="N199" s="190"/>
      <c r="O199" s="190"/>
      <c r="P199" s="190"/>
    </row>
    <row r="200" spans="1:26" x14ac:dyDescent="0.35">
      <c r="A200" s="190"/>
      <c r="B200" s="190"/>
      <c r="C200" s="231"/>
      <c r="D200" s="231"/>
      <c r="E200" s="231"/>
      <c r="F200" s="231"/>
      <c r="G200" s="228"/>
      <c r="H200" s="190"/>
      <c r="I200" s="190"/>
      <c r="J200" s="190"/>
      <c r="K200" s="190"/>
      <c r="L200" s="190"/>
      <c r="M200" s="190"/>
      <c r="N200" s="190"/>
      <c r="O200" s="190"/>
      <c r="P200" s="190"/>
    </row>
    <row r="201" spans="1:26" ht="29.25" customHeight="1" x14ac:dyDescent="0.35">
      <c r="A201" s="190"/>
      <c r="B201" s="190"/>
      <c r="C201" s="190"/>
      <c r="D201" s="279" t="s">
        <v>361</v>
      </c>
      <c r="E201" s="279"/>
      <c r="F201" s="279"/>
      <c r="G201" s="229"/>
      <c r="H201" s="241">
        <f>SUM(H187:H193)</f>
        <v>0</v>
      </c>
      <c r="I201" s="232" t="s">
        <v>94</v>
      </c>
      <c r="J201" s="273" t="str">
        <f>IF(SUM(H110:H110)&lt;&gt;H201,"PROBLEM - The sum of these 2 activities must equal what you proposed to use for the High Cost Fund.  The difference is","OK")</f>
        <v>OK</v>
      </c>
      <c r="K201" s="273"/>
      <c r="L201" s="273"/>
      <c r="M201" s="273"/>
      <c r="N201" s="273"/>
      <c r="O201" s="273"/>
      <c r="P201" s="273"/>
    </row>
    <row r="202" spans="1:26" ht="13.15" x14ac:dyDescent="0.4">
      <c r="J202" s="37" t="str">
        <f>IF(J201&lt;&gt;"OK",MAX(SUM(H201:H201)-SUM(H110:H110),SUM(H110:H110)-H201),"")</f>
        <v/>
      </c>
    </row>
    <row r="203" spans="1:26" x14ac:dyDescent="0.35">
      <c r="J203" s="36" t="s">
        <v>94</v>
      </c>
    </row>
    <row r="205" spans="1:26" ht="17.649999999999999" x14ac:dyDescent="0.5">
      <c r="Q205" s="271" t="s">
        <v>362</v>
      </c>
    </row>
    <row r="206" spans="1:26" x14ac:dyDescent="0.35">
      <c r="Z206" s="36" t="s">
        <v>363</v>
      </c>
    </row>
    <row r="207" spans="1:26" ht="13.15" x14ac:dyDescent="0.4">
      <c r="Q207" s="17" t="str">
        <f>A1</f>
        <v>Connecticut</v>
      </c>
      <c r="U207" s="247"/>
      <c r="Z207" s="36" t="s">
        <v>94</v>
      </c>
    </row>
    <row r="208" spans="1:26" x14ac:dyDescent="0.35">
      <c r="U208" s="247"/>
    </row>
    <row r="209" spans="17:29" s="36" customFormat="1" ht="13.15" x14ac:dyDescent="0.4">
      <c r="Q209" s="17" t="s">
        <v>364</v>
      </c>
      <c r="R209" s="244"/>
      <c r="S209" s="244"/>
      <c r="T209" s="244"/>
      <c r="U209" s="259">
        <f>ROUND((I11*0.1),0)*-1</f>
        <v>-413362</v>
      </c>
      <c r="V209" s="244"/>
      <c r="W209" s="244"/>
      <c r="X209" s="244"/>
      <c r="Y209" s="244"/>
      <c r="Z209" s="244"/>
      <c r="AA209" s="244"/>
      <c r="AB209" s="244"/>
      <c r="AC209" s="244"/>
    </row>
    <row r="210" spans="17:29" s="36" customFormat="1" x14ac:dyDescent="0.35">
      <c r="Q210" s="247"/>
      <c r="R210" s="247"/>
      <c r="S210" s="247"/>
      <c r="T210" s="247"/>
      <c r="U210" s="244"/>
      <c r="V210" s="247"/>
      <c r="W210" s="247"/>
      <c r="X210" s="247"/>
      <c r="Y210" s="247"/>
      <c r="Z210" s="247"/>
      <c r="AA210" s="244"/>
      <c r="AB210" s="244"/>
      <c r="AC210" s="244"/>
    </row>
    <row r="211" spans="17:29" s="36" customFormat="1" x14ac:dyDescent="0.35">
      <c r="Q211" s="247"/>
      <c r="R211" s="260" t="s">
        <v>365</v>
      </c>
      <c r="S211" s="247"/>
      <c r="T211" s="247"/>
      <c r="U211" s="247"/>
      <c r="V211" s="247"/>
      <c r="W211" s="247"/>
      <c r="X211" s="247"/>
      <c r="Y211" s="247"/>
      <c r="Z211" s="247"/>
      <c r="AA211" s="244"/>
      <c r="AB211" s="244"/>
      <c r="AC211" s="244"/>
    </row>
    <row r="212" spans="17:29" s="36" customFormat="1" ht="13.15" x14ac:dyDescent="0.35">
      <c r="Q212" s="247"/>
      <c r="R212" s="36" t="s">
        <v>366</v>
      </c>
      <c r="S212" s="244"/>
      <c r="T212" s="244"/>
      <c r="U212" s="248"/>
      <c r="V212" s="276" t="s">
        <v>367</v>
      </c>
      <c r="W212" s="277"/>
      <c r="X212" s="277"/>
      <c r="Y212" s="277"/>
      <c r="Z212" s="277"/>
      <c r="AA212" s="244"/>
      <c r="AB212" s="244"/>
      <c r="AC212" s="244"/>
    </row>
    <row r="213" spans="17:29" s="36" customFormat="1" ht="13.15" x14ac:dyDescent="0.35">
      <c r="Q213" s="247"/>
      <c r="R213" s="36" t="s">
        <v>368</v>
      </c>
      <c r="S213" s="244"/>
      <c r="T213" s="244"/>
      <c r="U213" s="248"/>
      <c r="V213" s="244"/>
      <c r="W213" s="244"/>
      <c r="X213" s="244"/>
      <c r="Y213" s="244"/>
      <c r="Z213" s="244"/>
      <c r="AA213" s="244"/>
      <c r="AB213" s="244"/>
      <c r="AC213" s="244"/>
    </row>
    <row r="214" spans="17:29" s="36" customFormat="1" ht="13.15" x14ac:dyDescent="0.35">
      <c r="Q214" s="247"/>
      <c r="R214" s="247"/>
      <c r="S214" s="247"/>
      <c r="T214" s="247"/>
      <c r="U214" s="248"/>
      <c r="V214" s="247"/>
      <c r="W214" s="247"/>
      <c r="X214" s="247"/>
      <c r="Y214" s="247"/>
      <c r="Z214" s="247"/>
      <c r="AA214" s="244"/>
      <c r="AB214" s="244"/>
      <c r="AC214" s="244"/>
    </row>
    <row r="215" spans="17:29" s="36" customFormat="1" ht="13.15" x14ac:dyDescent="0.35">
      <c r="Q215" s="247"/>
      <c r="R215" s="247"/>
      <c r="S215" s="264" t="s">
        <v>369</v>
      </c>
      <c r="T215" s="248"/>
      <c r="U215" s="248"/>
      <c r="V215" s="248"/>
      <c r="W215" s="248"/>
      <c r="X215" s="248"/>
      <c r="Y215" s="248"/>
      <c r="Z215" s="265">
        <f>I11</f>
        <v>4133616</v>
      </c>
      <c r="AA215" s="244"/>
      <c r="AB215" s="244"/>
      <c r="AC215" s="244"/>
    </row>
    <row r="216" spans="17:29" s="36" customFormat="1" ht="13.15" x14ac:dyDescent="0.35">
      <c r="Q216" s="247"/>
      <c r="R216" s="247"/>
      <c r="S216" s="264" t="s">
        <v>370</v>
      </c>
      <c r="T216" s="248"/>
      <c r="U216" s="248"/>
      <c r="V216" s="248"/>
      <c r="W216" s="248"/>
      <c r="X216" s="248"/>
      <c r="Y216" s="248"/>
      <c r="Z216" s="265">
        <f>I9</f>
        <v>4133616</v>
      </c>
      <c r="AA216" s="244"/>
      <c r="AB216" s="244"/>
      <c r="AC216" s="244"/>
    </row>
    <row r="217" spans="17:29" s="36" customFormat="1" ht="13.15" x14ac:dyDescent="0.35">
      <c r="Q217" s="247"/>
      <c r="R217" s="247"/>
      <c r="S217" s="248"/>
      <c r="T217" s="248"/>
      <c r="U217" s="248"/>
      <c r="V217" s="248"/>
      <c r="W217" s="248"/>
      <c r="X217" s="248"/>
      <c r="Y217" s="248"/>
      <c r="Z217" s="254"/>
      <c r="AA217" s="244"/>
      <c r="AB217" s="244"/>
      <c r="AC217" s="244"/>
    </row>
    <row r="218" spans="17:29" s="36" customFormat="1" ht="13.15" x14ac:dyDescent="0.35">
      <c r="Q218" s="247"/>
      <c r="R218" s="247"/>
      <c r="S218" s="264" t="s">
        <v>371</v>
      </c>
      <c r="T218" s="248"/>
      <c r="U218" s="247"/>
      <c r="V218" s="248"/>
      <c r="W218" s="248"/>
      <c r="X218" s="248"/>
      <c r="Y218" s="248"/>
      <c r="Z218" s="254"/>
      <c r="AA218" s="244"/>
      <c r="AB218" s="244"/>
      <c r="AC218" s="244"/>
    </row>
    <row r="219" spans="17:29" s="36" customFormat="1" ht="13.15" x14ac:dyDescent="0.35">
      <c r="Q219" s="247"/>
      <c r="R219" s="247"/>
      <c r="S219" s="264" t="s">
        <v>372</v>
      </c>
      <c r="T219" s="248"/>
      <c r="U219" s="248"/>
      <c r="V219" s="248"/>
      <c r="W219" s="248"/>
      <c r="X219" s="248"/>
      <c r="Y219" s="248"/>
      <c r="Z219" s="254"/>
      <c r="AA219" s="244"/>
      <c r="AB219" s="244"/>
      <c r="AC219" s="244"/>
    </row>
    <row r="220" spans="17:29" s="36" customFormat="1" ht="13.15" x14ac:dyDescent="0.35">
      <c r="Q220" s="247"/>
      <c r="R220" s="247"/>
      <c r="S220" s="264" t="s">
        <v>373</v>
      </c>
      <c r="T220" s="248"/>
      <c r="U220" s="248"/>
      <c r="V220" s="248"/>
      <c r="W220" s="248"/>
      <c r="X220" s="248"/>
      <c r="Y220" s="248"/>
      <c r="Z220" s="254"/>
      <c r="AA220" s="244"/>
      <c r="AB220" s="244"/>
      <c r="AC220" s="244"/>
    </row>
    <row r="221" spans="17:29" s="36" customFormat="1" ht="13.15" x14ac:dyDescent="0.35">
      <c r="Q221" s="247"/>
      <c r="R221" s="247"/>
      <c r="S221" s="247"/>
      <c r="T221" s="247"/>
      <c r="U221" s="248"/>
      <c r="V221" s="247"/>
      <c r="W221" s="247"/>
      <c r="X221" s="247"/>
      <c r="Y221" s="247"/>
      <c r="Z221" s="247"/>
      <c r="AA221" s="244"/>
      <c r="AB221" s="244"/>
      <c r="AC221" s="244"/>
    </row>
    <row r="222" spans="17:29" s="36" customFormat="1" ht="13.15" x14ac:dyDescent="0.35">
      <c r="Q222" s="247"/>
      <c r="R222" s="247"/>
      <c r="S222" s="264" t="s">
        <v>374</v>
      </c>
      <c r="T222" s="248"/>
      <c r="U222" s="248"/>
      <c r="V222" s="248"/>
      <c r="W222" s="248"/>
      <c r="X222" s="248"/>
      <c r="Y222" s="247"/>
      <c r="Z222" s="247"/>
      <c r="AA222" s="244"/>
      <c r="AB222" s="244"/>
      <c r="AC222" s="244"/>
    </row>
    <row r="223" spans="17:29" s="36" customFormat="1" ht="13.15" x14ac:dyDescent="0.35">
      <c r="Q223" s="247"/>
      <c r="R223" s="247"/>
      <c r="S223" s="264" t="s">
        <v>375</v>
      </c>
      <c r="T223" s="248"/>
      <c r="U223" s="247"/>
      <c r="V223" s="248"/>
      <c r="W223" s="248"/>
      <c r="X223" s="248"/>
      <c r="Y223" s="247"/>
      <c r="Z223" s="247"/>
      <c r="AA223" s="244"/>
      <c r="AB223" s="244"/>
      <c r="AC223" s="244"/>
    </row>
    <row r="224" spans="17:29" s="36" customFormat="1" ht="13.15" x14ac:dyDescent="0.35">
      <c r="Q224" s="247"/>
      <c r="R224" s="247"/>
      <c r="S224" s="264" t="s">
        <v>376</v>
      </c>
      <c r="T224" s="248"/>
      <c r="U224" s="247"/>
      <c r="V224" s="248"/>
      <c r="W224" s="248"/>
      <c r="X224" s="248"/>
      <c r="Y224" s="247"/>
      <c r="Z224" s="247"/>
      <c r="AA224" s="244"/>
      <c r="AB224" s="244"/>
      <c r="AC224" s="244"/>
    </row>
    <row r="225" spans="17:29" s="36" customFormat="1" ht="13.15" x14ac:dyDescent="0.35">
      <c r="Q225" s="247"/>
      <c r="R225" s="247"/>
      <c r="S225" s="264" t="s">
        <v>377</v>
      </c>
      <c r="T225" s="248"/>
      <c r="U225" s="247"/>
      <c r="V225" s="248"/>
      <c r="W225" s="248"/>
      <c r="X225" s="248"/>
      <c r="Y225" s="261">
        <f>(H47)</f>
        <v>0</v>
      </c>
      <c r="Z225" s="247"/>
      <c r="AA225" s="244"/>
      <c r="AB225" s="244"/>
      <c r="AC225" s="244"/>
    </row>
    <row r="226" spans="17:29" s="36" customFormat="1" x14ac:dyDescent="0.35">
      <c r="Q226" s="247"/>
      <c r="R226" s="247"/>
      <c r="S226" s="247"/>
      <c r="T226" s="247"/>
      <c r="U226" s="247"/>
      <c r="V226" s="247"/>
      <c r="W226" s="247"/>
      <c r="X226" s="247"/>
      <c r="Y226" s="255"/>
      <c r="Z226" s="247"/>
      <c r="AA226" s="244"/>
      <c r="AB226" s="244"/>
      <c r="AC226" s="244"/>
    </row>
    <row r="227" spans="17:29" s="36" customFormat="1" ht="13.15" x14ac:dyDescent="0.4">
      <c r="Q227" s="247"/>
      <c r="R227" s="247"/>
      <c r="S227" s="264" t="s">
        <v>378</v>
      </c>
      <c r="T227" s="247"/>
      <c r="U227" s="247"/>
      <c r="V227" s="266">
        <f>(D2)</f>
        <v>4133616</v>
      </c>
      <c r="W227" s="267" t="s">
        <v>379</v>
      </c>
      <c r="X227" s="268">
        <f>Z216</f>
        <v>4133616</v>
      </c>
      <c r="Y227" s="247"/>
      <c r="Z227" s="247"/>
      <c r="AA227" s="244"/>
      <c r="AB227" s="244"/>
      <c r="AC227" s="244"/>
    </row>
    <row r="228" spans="17:29" s="36" customFormat="1" ht="13.15" x14ac:dyDescent="0.35">
      <c r="Q228" s="247"/>
      <c r="R228" s="247"/>
      <c r="S228" s="264" t="s">
        <v>380</v>
      </c>
      <c r="T228" s="247"/>
      <c r="U228" s="247"/>
      <c r="V228" s="247"/>
      <c r="W228" s="247"/>
      <c r="X228" s="247"/>
      <c r="Y228" s="247"/>
      <c r="Z228" s="247"/>
      <c r="AA228" s="244"/>
      <c r="AB228" s="244"/>
      <c r="AC228" s="244"/>
    </row>
    <row r="229" spans="17:29" s="36" customFormat="1" ht="13.15" x14ac:dyDescent="0.4">
      <c r="Q229" s="247"/>
      <c r="R229" s="247"/>
      <c r="S229" s="17" t="s">
        <v>381</v>
      </c>
      <c r="T229" s="247"/>
      <c r="U229" s="248"/>
      <c r="V229" s="247"/>
      <c r="W229" s="247"/>
      <c r="X229" s="255"/>
      <c r="Y229" s="247"/>
      <c r="Z229" s="247"/>
      <c r="AA229" s="244"/>
      <c r="AB229" s="244"/>
      <c r="AC229" s="244"/>
    </row>
    <row r="230" spans="17:29" s="36" customFormat="1" ht="13.15" x14ac:dyDescent="0.4">
      <c r="Q230" s="247"/>
      <c r="R230" s="247"/>
      <c r="S230" s="17" t="s">
        <v>382</v>
      </c>
      <c r="T230" s="247"/>
      <c r="U230" s="268">
        <f>B32</f>
        <v>1778931</v>
      </c>
      <c r="V230" s="247"/>
      <c r="W230" s="247"/>
      <c r="X230" s="255"/>
      <c r="Y230" s="247"/>
      <c r="Z230" s="247"/>
      <c r="AA230" s="244"/>
      <c r="AB230" s="244"/>
      <c r="AC230" s="244"/>
    </row>
    <row r="231" spans="17:29" s="36" customFormat="1" ht="13.15" x14ac:dyDescent="0.35">
      <c r="Q231" s="247"/>
      <c r="R231" s="247"/>
      <c r="S231" s="247"/>
      <c r="T231" s="247"/>
      <c r="U231" s="249"/>
      <c r="V231" s="247"/>
      <c r="W231" s="247"/>
      <c r="X231" s="247"/>
      <c r="Y231" s="247"/>
      <c r="Z231" s="247"/>
      <c r="AA231" s="244"/>
      <c r="AB231" s="244"/>
      <c r="AC231" s="244"/>
    </row>
    <row r="232" spans="17:29" s="36" customFormat="1" ht="13.15" x14ac:dyDescent="0.35">
      <c r="Q232" s="247"/>
      <c r="R232" s="247"/>
      <c r="S232" s="264" t="s">
        <v>383</v>
      </c>
      <c r="T232" s="248"/>
      <c r="U232" s="248"/>
      <c r="V232" s="248"/>
      <c r="W232" s="248"/>
      <c r="X232" s="247"/>
      <c r="Y232" s="247"/>
      <c r="Z232" s="247"/>
      <c r="AA232" s="244"/>
      <c r="AB232" s="244"/>
      <c r="AC232" s="244"/>
    </row>
    <row r="233" spans="17:29" s="36" customFormat="1" ht="13.15" x14ac:dyDescent="0.35">
      <c r="Q233" s="247"/>
      <c r="R233" s="247"/>
      <c r="S233" s="264" t="s">
        <v>384</v>
      </c>
      <c r="T233" s="264"/>
      <c r="U233" s="248"/>
      <c r="V233" s="264" t="s">
        <v>385</v>
      </c>
      <c r="W233" s="248"/>
      <c r="X233" s="256"/>
      <c r="Y233" s="247"/>
      <c r="Z233" s="247"/>
      <c r="AA233" s="244"/>
      <c r="AB233" s="244"/>
      <c r="AC233" s="244"/>
    </row>
    <row r="234" spans="17:29" s="36" customFormat="1" ht="13.15" x14ac:dyDescent="0.35">
      <c r="Q234" s="247"/>
      <c r="R234" s="247"/>
      <c r="S234" s="264" t="s">
        <v>386</v>
      </c>
      <c r="T234" s="248"/>
      <c r="U234" s="247"/>
      <c r="V234" s="248"/>
      <c r="W234" s="248"/>
      <c r="X234" s="256"/>
      <c r="Y234" s="247"/>
      <c r="Z234" s="247"/>
      <c r="AA234" s="244"/>
      <c r="AB234" s="244"/>
      <c r="AC234" s="244"/>
    </row>
    <row r="235" spans="17:29" s="36" customFormat="1" ht="13.15" x14ac:dyDescent="0.35">
      <c r="Q235" s="247"/>
      <c r="R235" s="247"/>
      <c r="S235" s="248"/>
      <c r="T235" s="248"/>
      <c r="U235" s="247"/>
      <c r="V235" s="248"/>
      <c r="W235" s="248"/>
      <c r="X235" s="248"/>
      <c r="Y235" s="255"/>
      <c r="Z235" s="247"/>
      <c r="AA235" s="244"/>
      <c r="AB235" s="244"/>
      <c r="AC235" s="244"/>
    </row>
    <row r="236" spans="17:29" s="36" customFormat="1" ht="13.15" x14ac:dyDescent="0.35">
      <c r="Q236" s="247"/>
      <c r="R236" s="247"/>
      <c r="S236" s="264" t="s">
        <v>387</v>
      </c>
      <c r="T236" s="248"/>
      <c r="U236" s="247"/>
      <c r="V236" s="248"/>
      <c r="W236" s="248"/>
      <c r="X236" s="248"/>
      <c r="Y236" s="255"/>
      <c r="Z236" s="247"/>
      <c r="AA236" s="244"/>
      <c r="AB236" s="244"/>
      <c r="AC236" s="244"/>
    </row>
    <row r="237" spans="17:29" s="36" customFormat="1" x14ac:dyDescent="0.35">
      <c r="Q237" s="247"/>
      <c r="R237" s="247"/>
      <c r="S237" s="260" t="s">
        <v>94</v>
      </c>
      <c r="T237" s="247"/>
      <c r="U237" s="247"/>
      <c r="V237" s="247"/>
      <c r="W237" s="247"/>
      <c r="X237" s="247"/>
      <c r="Y237" s="255"/>
      <c r="Z237" s="247"/>
      <c r="AA237" s="244"/>
      <c r="AB237" s="244"/>
      <c r="AC237" s="244"/>
    </row>
    <row r="238" spans="17:29" s="36" customFormat="1" x14ac:dyDescent="0.35">
      <c r="Q238" s="247"/>
      <c r="R238" s="247"/>
      <c r="S238" s="247"/>
      <c r="T238" s="260" t="s">
        <v>388</v>
      </c>
      <c r="U238" s="247"/>
      <c r="V238" s="247"/>
      <c r="W238" s="247"/>
      <c r="X238" s="247"/>
      <c r="Y238" s="247"/>
      <c r="Z238" s="247"/>
      <c r="AA238" s="244"/>
      <c r="AB238" s="244"/>
      <c r="AC238" s="244"/>
    </row>
    <row r="239" spans="17:29" s="36" customFormat="1" x14ac:dyDescent="0.35">
      <c r="Q239" s="247"/>
      <c r="R239" s="247"/>
      <c r="S239" s="247"/>
      <c r="T239" s="260" t="s">
        <v>389</v>
      </c>
      <c r="U239" s="247"/>
      <c r="V239" s="247"/>
      <c r="W239" s="247"/>
      <c r="X239" s="247"/>
      <c r="Y239" s="261" t="s">
        <v>94</v>
      </c>
      <c r="Z239" s="247"/>
      <c r="AA239" s="244"/>
      <c r="AB239" s="244"/>
      <c r="AC239" s="244"/>
    </row>
    <row r="240" spans="17:29" s="36" customFormat="1" x14ac:dyDescent="0.35">
      <c r="Q240" s="247"/>
      <c r="R240" s="247"/>
      <c r="S240" s="247"/>
      <c r="T240" s="247"/>
      <c r="U240" s="247"/>
      <c r="V240" s="247"/>
      <c r="W240" s="247"/>
      <c r="X240" s="247"/>
      <c r="Y240" s="255"/>
      <c r="Z240" s="247"/>
      <c r="AA240" s="244"/>
      <c r="AB240" s="244"/>
      <c r="AC240" s="244"/>
    </row>
    <row r="241" spans="17:29" s="36" customFormat="1" x14ac:dyDescent="0.35">
      <c r="Q241" s="260" t="s">
        <v>156</v>
      </c>
      <c r="R241" s="260" t="s">
        <v>94</v>
      </c>
      <c r="S241" s="247"/>
      <c r="T241" s="260" t="s">
        <v>390</v>
      </c>
      <c r="U241" s="247"/>
      <c r="V241" s="247"/>
      <c r="W241" s="247"/>
      <c r="X241" s="247"/>
      <c r="Y241" s="244"/>
      <c r="Z241" s="247"/>
      <c r="AA241" s="244"/>
      <c r="AB241" s="244"/>
      <c r="AC241" s="244"/>
    </row>
    <row r="242" spans="17:29" s="36" customFormat="1" x14ac:dyDescent="0.35">
      <c r="Q242" s="247"/>
      <c r="R242" s="247"/>
      <c r="S242" s="247"/>
      <c r="T242" s="260" t="s">
        <v>391</v>
      </c>
      <c r="U242" s="247"/>
      <c r="V242" s="247"/>
      <c r="W242" s="247"/>
      <c r="X242" s="247"/>
      <c r="Y242" s="261" t="s">
        <v>94</v>
      </c>
      <c r="Z242" s="247"/>
      <c r="AA242" s="244"/>
      <c r="AB242" s="244"/>
      <c r="AC242" s="244"/>
    </row>
    <row r="243" spans="17:29" s="36" customFormat="1" x14ac:dyDescent="0.35">
      <c r="Q243" s="247"/>
      <c r="R243" s="247"/>
      <c r="S243" s="247"/>
      <c r="T243" s="247"/>
      <c r="U243" s="247"/>
      <c r="V243" s="247"/>
      <c r="W243" s="247"/>
      <c r="X243" s="247"/>
      <c r="Y243" s="255"/>
      <c r="Z243" s="247"/>
      <c r="AA243" s="244"/>
      <c r="AB243" s="244"/>
      <c r="AC243" s="244"/>
    </row>
    <row r="244" spans="17:29" s="36" customFormat="1" x14ac:dyDescent="0.35">
      <c r="Q244" s="247"/>
      <c r="R244" s="247"/>
      <c r="S244" s="247"/>
      <c r="T244" s="260" t="s">
        <v>392</v>
      </c>
      <c r="U244" s="247"/>
      <c r="V244" s="247"/>
      <c r="W244" s="247"/>
      <c r="X244" s="247"/>
      <c r="Y244" s="261" t="s">
        <v>94</v>
      </c>
      <c r="Z244" s="247"/>
      <c r="AA244" s="244"/>
      <c r="AB244" s="244"/>
      <c r="AC244" s="244"/>
    </row>
    <row r="245" spans="17:29" s="36" customFormat="1" x14ac:dyDescent="0.35">
      <c r="Q245" s="247"/>
      <c r="R245" s="247"/>
      <c r="S245" s="247"/>
      <c r="T245" s="247"/>
      <c r="U245" s="247"/>
      <c r="V245" s="247"/>
      <c r="W245" s="247"/>
      <c r="X245" s="247"/>
      <c r="Y245" s="255"/>
      <c r="Z245" s="247"/>
      <c r="AA245" s="244"/>
      <c r="AB245" s="244"/>
      <c r="AC245" s="244"/>
    </row>
    <row r="246" spans="17:29" s="36" customFormat="1" x14ac:dyDescent="0.35">
      <c r="Q246" s="247"/>
      <c r="R246" s="247"/>
      <c r="S246" s="247"/>
      <c r="T246" s="260" t="s">
        <v>393</v>
      </c>
      <c r="U246" s="247"/>
      <c r="V246" s="247"/>
      <c r="W246" s="247"/>
      <c r="X246" s="247"/>
      <c r="Y246" s="244"/>
      <c r="Z246" s="247"/>
      <c r="AA246" s="244"/>
      <c r="AB246" s="244"/>
      <c r="AC246" s="244"/>
    </row>
    <row r="247" spans="17:29" s="36" customFormat="1" x14ac:dyDescent="0.35">
      <c r="Q247" s="247"/>
      <c r="R247" s="247"/>
      <c r="S247" s="247"/>
      <c r="T247" s="260" t="s">
        <v>394</v>
      </c>
      <c r="U247" s="247"/>
      <c r="V247" s="247"/>
      <c r="W247" s="247"/>
      <c r="X247" s="247"/>
      <c r="Y247" s="261" t="s">
        <v>94</v>
      </c>
      <c r="Z247" s="247"/>
      <c r="AA247" s="244"/>
      <c r="AB247" s="244"/>
      <c r="AC247" s="244"/>
    </row>
    <row r="248" spans="17:29" s="36" customFormat="1" x14ac:dyDescent="0.35">
      <c r="Q248" s="247"/>
      <c r="R248" s="247"/>
      <c r="S248" s="247"/>
      <c r="T248" s="247"/>
      <c r="U248" s="247"/>
      <c r="V248" s="247"/>
      <c r="W248" s="247"/>
      <c r="X248" s="247"/>
      <c r="Y248" s="255"/>
      <c r="Z248" s="247"/>
      <c r="AA248" s="244"/>
      <c r="AB248" s="244"/>
      <c r="AC248" s="244"/>
    </row>
    <row r="249" spans="17:29" s="36" customFormat="1" ht="13.15" x14ac:dyDescent="0.35">
      <c r="Q249" s="264" t="s">
        <v>395</v>
      </c>
      <c r="R249" s="247"/>
      <c r="S249" s="247"/>
      <c r="T249" s="247"/>
      <c r="U249" s="244"/>
      <c r="V249" s="247"/>
      <c r="W249" s="247"/>
      <c r="X249" s="247"/>
      <c r="Y249" s="247"/>
      <c r="Z249" s="247"/>
      <c r="AA249" s="244"/>
      <c r="AB249" s="244"/>
      <c r="AC249" s="244"/>
    </row>
    <row r="250" spans="17:29" s="36" customFormat="1" x14ac:dyDescent="0.35">
      <c r="Q250" s="247"/>
      <c r="R250" s="260" t="s">
        <v>94</v>
      </c>
      <c r="S250" s="247"/>
      <c r="T250" s="247"/>
      <c r="U250" s="244"/>
      <c r="V250" s="247"/>
      <c r="W250" s="247"/>
      <c r="X250" s="247"/>
      <c r="Y250" s="247"/>
      <c r="Z250" s="247"/>
      <c r="AA250" s="244"/>
      <c r="AB250" s="244"/>
      <c r="AC250" s="244"/>
    </row>
    <row r="251" spans="17:29" s="36" customFormat="1" x14ac:dyDescent="0.35">
      <c r="Q251" s="247"/>
      <c r="R251" s="260" t="s">
        <v>396</v>
      </c>
      <c r="S251" s="247"/>
      <c r="T251" s="247"/>
      <c r="U251" s="244"/>
      <c r="V251" s="247"/>
      <c r="W251" s="247"/>
      <c r="X251" s="247"/>
      <c r="Y251" s="247"/>
      <c r="Z251" s="247"/>
      <c r="AA251" s="244"/>
      <c r="AB251" s="244"/>
      <c r="AC251" s="244"/>
    </row>
    <row r="252" spans="17:29" s="36" customFormat="1" ht="13.15" x14ac:dyDescent="0.35">
      <c r="Q252" s="247"/>
      <c r="R252" s="36" t="s">
        <v>397</v>
      </c>
      <c r="S252" s="244"/>
      <c r="T252" s="244"/>
      <c r="U252" s="248"/>
      <c r="V252" s="244"/>
      <c r="W252" s="244"/>
      <c r="X252" s="262">
        <f>ROUND((I98*0.1),0)*-1</f>
        <v>-1788153</v>
      </c>
      <c r="Y252" s="244"/>
      <c r="Z252" s="247"/>
      <c r="AA252" s="244"/>
      <c r="AB252" s="244"/>
      <c r="AC252" s="244"/>
    </row>
    <row r="253" spans="17:29" s="36" customFormat="1" ht="13.15" x14ac:dyDescent="0.35">
      <c r="Q253" s="247"/>
      <c r="R253" s="36" t="s">
        <v>398</v>
      </c>
      <c r="S253" s="244"/>
      <c r="T253" s="244"/>
      <c r="U253" s="248"/>
      <c r="V253" s="244"/>
      <c r="W253" s="244"/>
      <c r="X253" s="244"/>
      <c r="Y253" s="244"/>
      <c r="Z253" s="244"/>
      <c r="AA253" s="244"/>
      <c r="AB253" s="244"/>
      <c r="AC253" s="244"/>
    </row>
    <row r="254" spans="17:29" s="36" customFormat="1" x14ac:dyDescent="0.35">
      <c r="Q254" s="247"/>
      <c r="R254" s="244"/>
      <c r="S254" s="244"/>
      <c r="T254" s="244"/>
      <c r="U254" s="247"/>
      <c r="V254" s="244"/>
      <c r="W254" s="244"/>
      <c r="X254" s="244"/>
      <c r="Y254" s="244"/>
      <c r="Z254" s="244"/>
      <c r="AA254" s="244"/>
      <c r="AB254" s="244"/>
      <c r="AC254" s="244"/>
    </row>
    <row r="255" spans="17:29" s="36" customFormat="1" ht="13.15" x14ac:dyDescent="0.35">
      <c r="Q255" s="247"/>
      <c r="R255" s="247"/>
      <c r="S255" s="264" t="s">
        <v>399</v>
      </c>
      <c r="T255" s="248"/>
      <c r="U255" s="247"/>
      <c r="V255" s="248"/>
      <c r="W255" s="248"/>
      <c r="X255" s="248"/>
      <c r="Y255" s="248"/>
      <c r="Z255" s="269">
        <f>I98</f>
        <v>17881532</v>
      </c>
      <c r="AA255" s="244"/>
      <c r="AB255" s="244"/>
      <c r="AC255" s="244"/>
    </row>
    <row r="256" spans="17:29" s="36" customFormat="1" ht="13.15" x14ac:dyDescent="0.35">
      <c r="Q256" s="247"/>
      <c r="R256" s="247"/>
      <c r="S256" s="264" t="s">
        <v>400</v>
      </c>
      <c r="T256" s="248"/>
      <c r="U256" s="247"/>
      <c r="V256" s="248"/>
      <c r="W256" s="248"/>
      <c r="X256" s="248"/>
      <c r="Y256" s="248"/>
      <c r="Z256" s="256"/>
      <c r="AA256" s="244"/>
      <c r="AB256" s="244"/>
      <c r="AC256" s="244"/>
    </row>
    <row r="257" spans="17:29" s="36" customFormat="1" ht="13.15" x14ac:dyDescent="0.35">
      <c r="Q257" s="247"/>
      <c r="R257" s="247"/>
      <c r="S257" s="264" t="s">
        <v>401</v>
      </c>
      <c r="T257" s="247"/>
      <c r="U257" s="247"/>
      <c r="V257" s="247"/>
      <c r="W257" s="247"/>
      <c r="X257" s="247"/>
      <c r="Y257" s="247"/>
      <c r="Z257" s="269">
        <f>H96</f>
        <v>17881532</v>
      </c>
      <c r="AA257" s="244"/>
      <c r="AB257" s="244"/>
      <c r="AC257" s="244"/>
    </row>
    <row r="258" spans="17:29" s="36" customFormat="1" ht="13.15" x14ac:dyDescent="0.35">
      <c r="Q258" s="247"/>
      <c r="R258" s="247"/>
      <c r="S258" s="248"/>
      <c r="T258" s="247"/>
      <c r="U258" s="247"/>
      <c r="V258" s="247"/>
      <c r="W258" s="247"/>
      <c r="X258" s="247"/>
      <c r="Y258" s="247"/>
      <c r="Z258" s="256"/>
      <c r="AA258" s="244"/>
      <c r="AB258" s="244"/>
      <c r="AC258" s="244"/>
    </row>
    <row r="259" spans="17:29" s="36" customFormat="1" ht="13.15" x14ac:dyDescent="0.35">
      <c r="Q259" s="247"/>
      <c r="R259" s="247"/>
      <c r="S259" s="264" t="s">
        <v>402</v>
      </c>
      <c r="T259" s="247"/>
      <c r="U259" s="247"/>
      <c r="V259" s="247"/>
      <c r="W259" s="247"/>
      <c r="X259" s="247"/>
      <c r="Y259" s="247"/>
      <c r="Z259" s="256"/>
      <c r="AA259" s="244"/>
      <c r="AB259" s="244"/>
      <c r="AC259" s="244"/>
    </row>
    <row r="260" spans="17:29" s="36" customFormat="1" ht="13.15" x14ac:dyDescent="0.35">
      <c r="Q260" s="247"/>
      <c r="R260" s="247"/>
      <c r="S260" s="264" t="s">
        <v>403</v>
      </c>
      <c r="T260" s="247"/>
      <c r="U260" s="247"/>
      <c r="V260" s="247"/>
      <c r="W260" s="247"/>
      <c r="X260" s="247"/>
      <c r="Y260" s="247"/>
      <c r="Z260" s="256"/>
      <c r="AA260" s="244"/>
      <c r="AB260" s="244"/>
      <c r="AC260" s="244"/>
    </row>
    <row r="261" spans="17:29" s="36" customFormat="1" ht="13.15" x14ac:dyDescent="0.35">
      <c r="Q261" s="247"/>
      <c r="R261" s="247"/>
      <c r="S261" s="248"/>
      <c r="T261" s="247"/>
      <c r="U261" s="247"/>
      <c r="V261" s="247"/>
      <c r="W261" s="247"/>
      <c r="X261" s="247"/>
      <c r="Y261" s="247"/>
      <c r="Z261" s="256"/>
      <c r="AA261" s="244"/>
      <c r="AB261" s="244"/>
      <c r="AC261" s="244"/>
    </row>
    <row r="262" spans="17:29" s="36" customFormat="1" ht="13.15" x14ac:dyDescent="0.35">
      <c r="Q262" s="247"/>
      <c r="R262" s="247"/>
      <c r="S262" s="264" t="s">
        <v>404</v>
      </c>
      <c r="T262" s="247"/>
      <c r="U262" s="247"/>
      <c r="V262" s="247"/>
      <c r="W262" s="247"/>
      <c r="X262" s="247"/>
      <c r="Y262" s="247"/>
      <c r="Z262" s="256"/>
      <c r="AA262" s="244"/>
      <c r="AB262" s="244"/>
      <c r="AC262" s="244"/>
    </row>
    <row r="263" spans="17:29" s="36" customFormat="1" ht="13.15" x14ac:dyDescent="0.35">
      <c r="Q263" s="247"/>
      <c r="R263" s="247"/>
      <c r="S263" s="264" t="s">
        <v>405</v>
      </c>
      <c r="T263" s="247"/>
      <c r="U263" s="247"/>
      <c r="V263" s="247"/>
      <c r="W263" s="247"/>
      <c r="X263" s="247"/>
      <c r="Y263" s="247"/>
      <c r="Z263" s="256"/>
      <c r="AA263" s="244"/>
      <c r="AB263" s="244"/>
      <c r="AC263" s="244"/>
    </row>
    <row r="264" spans="17:29" s="36" customFormat="1" ht="13.15" x14ac:dyDescent="0.35">
      <c r="Q264" s="247"/>
      <c r="R264" s="247"/>
      <c r="S264" s="264" t="s">
        <v>406</v>
      </c>
      <c r="T264" s="247"/>
      <c r="U264" s="247"/>
      <c r="V264" s="247"/>
      <c r="W264" s="247"/>
      <c r="X264" s="247"/>
      <c r="Y264" s="247"/>
      <c r="Z264" s="256"/>
      <c r="AA264" s="244"/>
      <c r="AB264" s="244"/>
      <c r="AC264" s="244"/>
    </row>
    <row r="265" spans="17:29" s="36" customFormat="1" ht="13.15" x14ac:dyDescent="0.35">
      <c r="Q265" s="247"/>
      <c r="R265" s="247"/>
      <c r="S265" s="264" t="s">
        <v>407</v>
      </c>
      <c r="T265" s="247"/>
      <c r="U265" s="247"/>
      <c r="V265" s="247"/>
      <c r="W265" s="247"/>
      <c r="X265" s="247"/>
      <c r="Y265" s="247"/>
      <c r="Z265" s="256"/>
      <c r="AA265" s="244"/>
      <c r="AB265" s="244"/>
      <c r="AC265" s="244"/>
    </row>
    <row r="266" spans="17:29" s="36" customFormat="1" ht="13.15" x14ac:dyDescent="0.35">
      <c r="Q266" s="247"/>
      <c r="R266" s="247"/>
      <c r="S266" s="248"/>
      <c r="T266" s="247"/>
      <c r="U266" s="247"/>
      <c r="V266" s="247"/>
      <c r="W266" s="247"/>
      <c r="X266" s="247"/>
      <c r="Y266" s="247"/>
      <c r="Z266" s="256"/>
      <c r="AA266" s="244"/>
      <c r="AB266" s="244"/>
      <c r="AC266" s="244"/>
    </row>
    <row r="267" spans="17:29" s="36" customFormat="1" ht="13.15" x14ac:dyDescent="0.35">
      <c r="Q267" s="247"/>
      <c r="R267" s="247"/>
      <c r="S267" s="264" t="str">
        <f>IF(B95="NOT TO","You indicated that you do not intend to use Other State-Level Activities funds for","")</f>
        <v>You indicated that you do not intend to use Other State-Level Activities funds for</v>
      </c>
      <c r="T267" s="247"/>
      <c r="U267" s="247"/>
      <c r="V267" s="247"/>
      <c r="W267" s="247"/>
      <c r="X267" s="247"/>
      <c r="Y267" s="247"/>
      <c r="Z267" s="256"/>
      <c r="AA267" s="244"/>
      <c r="AB267" s="244"/>
      <c r="AC267" s="244"/>
    </row>
    <row r="268" spans="17:29" s="36" customFormat="1" ht="13.15" x14ac:dyDescent="0.35">
      <c r="Q268" s="247"/>
      <c r="R268" s="247"/>
      <c r="S268" s="264" t="str">
        <f>IF(B95="NOT TO","a High Cost Fund.  If you decide that you want to use Other State-Level Activities ","")</f>
        <v xml:space="preserve">a High Cost Fund.  If you decide that you want to use Other State-Level Activities </v>
      </c>
      <c r="T268" s="247"/>
      <c r="U268" s="248"/>
      <c r="V268" s="247"/>
      <c r="W268" s="247"/>
      <c r="X268" s="247"/>
      <c r="Y268" s="247"/>
      <c r="Z268" s="256"/>
      <c r="AA268" s="244"/>
      <c r="AB268" s="244"/>
      <c r="AC268" s="244"/>
    </row>
    <row r="269" spans="17:29" s="36" customFormat="1" ht="13.15" x14ac:dyDescent="0.35">
      <c r="Q269" s="247"/>
      <c r="R269" s="247"/>
      <c r="S269" s="264" t="str">
        <f>IF(B95="NOT TO","for a High Cost Fund, you must obtain approval from the Office of","")</f>
        <v>for a High Cost Fund, you must obtain approval from the Office of</v>
      </c>
      <c r="T269" s="247"/>
      <c r="U269" s="270" t="str">
        <f>IF(B95="TO",(H110/I98)*100,"")</f>
        <v/>
      </c>
      <c r="V269" s="247"/>
      <c r="W269" s="247"/>
      <c r="X269" s="247"/>
      <c r="Y269" s="247"/>
      <c r="Z269" s="256"/>
      <c r="AA269" s="244"/>
      <c r="AB269" s="244"/>
      <c r="AC269" s="244"/>
    </row>
    <row r="270" spans="17:29" s="36" customFormat="1" ht="13.15" x14ac:dyDescent="0.35">
      <c r="Q270" s="247"/>
      <c r="R270" s="247"/>
      <c r="S270" s="264" t="str">
        <f>IF(B95="NOT TO","Special Education Programs.","")</f>
        <v>Special Education Programs.</v>
      </c>
      <c r="T270" s="247"/>
      <c r="U270" s="250"/>
      <c r="V270" s="247"/>
      <c r="W270" s="247"/>
      <c r="X270" s="247"/>
      <c r="Y270" s="247"/>
      <c r="Z270" s="256"/>
      <c r="AA270" s="244"/>
      <c r="AB270" s="244"/>
      <c r="AC270" s="244"/>
    </row>
    <row r="271" spans="17:29" s="36" customFormat="1" ht="13.15" x14ac:dyDescent="0.35">
      <c r="Q271" s="247"/>
      <c r="R271" s="247"/>
      <c r="S271" s="264" t="str">
        <f>IF(B95="TO","For the High Cost Fund, you reported that you would use a total of…………………………………………………..…………..."," ")</f>
        <v xml:space="preserve"> </v>
      </c>
      <c r="T271" s="248"/>
      <c r="U271" s="250"/>
      <c r="V271" s="248"/>
      <c r="W271" s="248"/>
      <c r="X271" s="248"/>
      <c r="Y271" s="248"/>
      <c r="Z271" s="269" t="str">
        <f>IF(B95="TO",H201,"")</f>
        <v/>
      </c>
      <c r="AA271" s="244"/>
      <c r="AB271" s="244"/>
      <c r="AC271" s="244"/>
    </row>
    <row r="272" spans="17:29" s="36" customFormat="1" ht="13.15" x14ac:dyDescent="0.4">
      <c r="Q272" s="247"/>
      <c r="R272" s="247"/>
      <c r="S272" s="264" t="str">
        <f>IF(B95="TO","This amount is","" )</f>
        <v/>
      </c>
      <c r="T272" s="264"/>
      <c r="U272" s="247"/>
      <c r="V272" s="274" t="str">
        <f>IF(B95="TO","percent of the total amount you proposed for Other","")</f>
        <v/>
      </c>
      <c r="W272" s="275"/>
      <c r="X272" s="275"/>
      <c r="Y272" s="275"/>
      <c r="Z272" s="247"/>
      <c r="AA272" s="244"/>
      <c r="AB272" s="244"/>
      <c r="AC272" s="244"/>
    </row>
    <row r="273" spans="17:29" s="36" customFormat="1" ht="13.15" x14ac:dyDescent="0.4">
      <c r="Q273" s="247"/>
      <c r="R273" s="247"/>
      <c r="S273" s="264" t="str">
        <f>IF(B95="TO","State-Level Activities.","")</f>
        <v/>
      </c>
      <c r="T273" s="248"/>
      <c r="U273" s="247"/>
      <c r="V273" s="248"/>
      <c r="W273" s="253"/>
      <c r="X273" s="253"/>
      <c r="Y273" s="253"/>
      <c r="Z273" s="247"/>
      <c r="AA273" s="244"/>
      <c r="AB273" s="244"/>
      <c r="AC273" s="244"/>
    </row>
    <row r="274" spans="17:29" s="36" customFormat="1" ht="13.15" x14ac:dyDescent="0.4">
      <c r="Q274" s="247"/>
      <c r="R274" s="247"/>
      <c r="S274" s="248"/>
      <c r="T274" s="248"/>
      <c r="U274" s="244"/>
      <c r="V274" s="248"/>
      <c r="W274" s="253"/>
      <c r="X274" s="253"/>
      <c r="Y274" s="253"/>
      <c r="Z274" s="247"/>
      <c r="AA274" s="244"/>
      <c r="AB274" s="244"/>
      <c r="AC274" s="244"/>
    </row>
    <row r="275" spans="17:29" s="36" customFormat="1" ht="13.15" x14ac:dyDescent="0.35">
      <c r="Q275" s="247"/>
      <c r="R275" s="247"/>
      <c r="S275" s="264" t="str">
        <f>IF(B95="TO","You must ensure that at least 10 percent of the funds set aside for Other ","")</f>
        <v/>
      </c>
      <c r="T275" s="247"/>
      <c r="U275" s="244"/>
      <c r="V275" s="247"/>
      <c r="W275" s="247"/>
      <c r="X275" s="247"/>
      <c r="Y275" s="247"/>
      <c r="Z275" s="247"/>
      <c r="AA275" s="244"/>
      <c r="AB275" s="244"/>
      <c r="AC275" s="244"/>
    </row>
    <row r="276" spans="17:29" s="36" customFormat="1" ht="13.15" x14ac:dyDescent="0.35">
      <c r="Q276" s="247"/>
      <c r="R276" s="247"/>
      <c r="S276" s="264" t="str">
        <f>IF(B95="TO","State-Level Activities are used for the High Cost Fund.  No more than 5 percent ","")</f>
        <v/>
      </c>
      <c r="T276" s="247"/>
      <c r="U276" s="244"/>
      <c r="V276" s="247"/>
      <c r="W276" s="247"/>
      <c r="X276" s="247"/>
      <c r="Y276" s="247"/>
      <c r="Z276" s="247"/>
      <c r="AA276" s="244"/>
      <c r="AB276" s="244"/>
      <c r="AC276" s="244"/>
    </row>
    <row r="277" spans="17:29" s="36" customFormat="1" ht="13.15" x14ac:dyDescent="0.4">
      <c r="Q277" s="244"/>
      <c r="R277" s="244"/>
      <c r="S277" s="17" t="str">
        <f>IF(B95="TO","of the funds used for the High Cost Fund may be used to support innovative","")</f>
        <v/>
      </c>
      <c r="T277" s="244"/>
      <c r="U277" s="244"/>
      <c r="V277" s="244"/>
      <c r="W277" s="244"/>
      <c r="X277" s="244"/>
      <c r="Y277" s="244"/>
      <c r="Z277" s="244"/>
      <c r="AA277" s="244"/>
      <c r="AB277" s="244"/>
      <c r="AC277" s="244"/>
    </row>
    <row r="278" spans="17:29" s="36" customFormat="1" ht="13.15" x14ac:dyDescent="0.4">
      <c r="Q278" s="244"/>
      <c r="R278" s="244"/>
      <c r="S278" s="17" t="str">
        <f>IF(B95="TO","and effective ways for cost sharing.","")</f>
        <v/>
      </c>
      <c r="T278" s="244"/>
      <c r="U278" s="244"/>
      <c r="V278" s="244"/>
      <c r="W278" s="244"/>
      <c r="X278" s="244"/>
      <c r="Y278" s="244"/>
      <c r="Z278" s="244"/>
      <c r="AA278" s="244"/>
      <c r="AB278" s="244"/>
      <c r="AC278" s="244"/>
    </row>
  </sheetData>
  <sheetProtection algorithmName="SHA-512" hashValue="HSUhGF+m1oUniH6t7prMBpjwhjCFct9ZRAsfmi+rYri6k/NfOIYFe4Crj7HNjgr69xN6ganP4g77TIEMoCBJFw==" saltValue="LhT426wJ7XpE0r11wGUMHg==" spinCount="100000" sheet="1" selectLockedCells="1" selectUnlockedCells="1"/>
  <mergeCells count="55">
    <mergeCell ref="A14:F14"/>
    <mergeCell ref="A15:F15"/>
    <mergeCell ref="B17:F21"/>
    <mergeCell ref="A1:E1"/>
    <mergeCell ref="A9:F9"/>
    <mergeCell ref="A11:F11"/>
    <mergeCell ref="A5:F5"/>
    <mergeCell ref="C41:F41"/>
    <mergeCell ref="C43:F45"/>
    <mergeCell ref="D47:F47"/>
    <mergeCell ref="B50:F58"/>
    <mergeCell ref="B23:F24"/>
    <mergeCell ref="B27:F31"/>
    <mergeCell ref="B32:F32"/>
    <mergeCell ref="C34:F35"/>
    <mergeCell ref="C37:F39"/>
    <mergeCell ref="J64:P65"/>
    <mergeCell ref="A70:F72"/>
    <mergeCell ref="A73:F74"/>
    <mergeCell ref="A76:F78"/>
    <mergeCell ref="A80:F82"/>
    <mergeCell ref="B95:C95"/>
    <mergeCell ref="A98:F98"/>
    <mergeCell ref="A105:F105"/>
    <mergeCell ref="A106:F106"/>
    <mergeCell ref="A83:F84"/>
    <mergeCell ref="A86:F88"/>
    <mergeCell ref="A91:F91"/>
    <mergeCell ref="B93:F93"/>
    <mergeCell ref="B94:F94"/>
    <mergeCell ref="E111:G111"/>
    <mergeCell ref="B113:F113"/>
    <mergeCell ref="C115:F116"/>
    <mergeCell ref="C118:F120"/>
    <mergeCell ref="C121:F121"/>
    <mergeCell ref="C124:F125"/>
    <mergeCell ref="C127:F129"/>
    <mergeCell ref="C130:F130"/>
    <mergeCell ref="C131:F131"/>
    <mergeCell ref="C132:F132"/>
    <mergeCell ref="C150:F153"/>
    <mergeCell ref="C155:F159"/>
    <mergeCell ref="C161:F172"/>
    <mergeCell ref="J178:P179"/>
    <mergeCell ref="C133:F134"/>
    <mergeCell ref="C139:F140"/>
    <mergeCell ref="C142:F144"/>
    <mergeCell ref="C146:F148"/>
    <mergeCell ref="J201:P201"/>
    <mergeCell ref="V272:Y272"/>
    <mergeCell ref="V212:Z212"/>
    <mergeCell ref="C185:F187"/>
    <mergeCell ref="C189:F193"/>
    <mergeCell ref="C196:F199"/>
    <mergeCell ref="D201:F201"/>
  </mergeCells>
  <phoneticPr fontId="0" type="noConversion"/>
  <dataValidations count="2">
    <dataValidation type="list" allowBlank="1" showInputMessage="1" showErrorMessage="1" error="You must select &quot;Yes&quot; or &quot;No&quot; from the pull down menue." sqref="H91" xr:uid="{00000000-0002-0000-1400-000000000000}">
      <formula1>$J$92:$J$94</formula1>
    </dataValidation>
    <dataValidation type="list" allowBlank="1" showInputMessage="1" showErrorMessage="1" sqref="A1:E1" xr:uid="{00000000-0002-0000-1400-000001000000}">
      <formula1>$U$1:$U$54</formula1>
    </dataValidation>
  </dataValidations>
  <pageMargins left="0.75" right="0.75" top="1" bottom="1" header="0.5" footer="0.5"/>
  <pageSetup scale="62" orientation="landscape" r:id="rId1"/>
  <headerFooter alignWithMargins="0"/>
  <rowBreaks count="6" manualBreakCount="6">
    <brk id="40" max="12" man="1"/>
    <brk id="79" max="12" man="1"/>
    <brk id="121" max="12" man="1"/>
    <brk id="160" max="12" man="1"/>
    <brk id="201" max="12" man="1"/>
    <brk id="228" max="12" man="1"/>
  </rowBreaks>
  <colBreaks count="1" manualBreakCount="1">
    <brk id="13"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A1:P98"/>
  <sheetViews>
    <sheetView view="pageBreakPreview" topLeftCell="A10" zoomScaleNormal="100" zoomScaleSheetLayoutView="100" zoomScalePageLayoutView="25" workbookViewId="0">
      <selection activeCell="D50" sqref="D50"/>
    </sheetView>
  </sheetViews>
  <sheetFormatPr defaultRowHeight="12.75" x14ac:dyDescent="0.35"/>
  <cols>
    <col min="1" max="1" width="26.265625" customWidth="1"/>
    <col min="2" max="10" width="27.73046875" customWidth="1"/>
    <col min="11" max="11" width="28.3984375" customWidth="1"/>
    <col min="13" max="13" width="17.73046875" bestFit="1" customWidth="1"/>
    <col min="14" max="14" width="17.73046875" customWidth="1"/>
    <col min="15" max="15" width="18.59765625" bestFit="1" customWidth="1"/>
    <col min="16" max="16" width="16" bestFit="1" customWidth="1"/>
  </cols>
  <sheetData>
    <row r="1" spans="1:16" ht="52.5" customHeight="1" thickTop="1" x14ac:dyDescent="0.35">
      <c r="A1" s="289" t="str">
        <f>"FISCAL YEAR "&amp;M10&amp;" ALLOCATIONS FOR GRANTS TO STATES
INDIVIDUALS WITH DISABILITIES EDUCATION ACT - PART B, SECTION 611 - TABLE I"</f>
        <v>FISCAL YEAR 2026 ALLOCATIONS FOR GRANTS TO STATES
INDIVIDUALS WITH DISABILITIES EDUCATION ACT - PART B, SECTION 611 - TABLE I</v>
      </c>
      <c r="B1" s="290"/>
      <c r="C1" s="290"/>
      <c r="D1" s="290"/>
      <c r="E1" s="290"/>
      <c r="F1" s="290"/>
      <c r="G1" s="290"/>
      <c r="H1" s="290"/>
      <c r="I1" s="290"/>
      <c r="J1" s="291"/>
    </row>
    <row r="2" spans="1:16" ht="66" customHeight="1" x14ac:dyDescent="0.4">
      <c r="A2" s="53"/>
      <c r="B2" s="193" t="s">
        <v>408</v>
      </c>
      <c r="C2" s="193" t="s">
        <v>409</v>
      </c>
      <c r="D2" s="193" t="s">
        <v>410</v>
      </c>
      <c r="E2" s="194" t="s">
        <v>411</v>
      </c>
      <c r="F2" s="194" t="s">
        <v>412</v>
      </c>
      <c r="G2" s="194" t="s">
        <v>413</v>
      </c>
      <c r="H2" s="194" t="s">
        <v>414</v>
      </c>
      <c r="I2" s="193" t="s">
        <v>415</v>
      </c>
      <c r="J2" s="54" t="s">
        <v>416</v>
      </c>
      <c r="K2" s="17"/>
    </row>
    <row r="3" spans="1:16" ht="13.9" x14ac:dyDescent="0.4">
      <c r="A3" s="92" t="s">
        <v>417</v>
      </c>
      <c r="B3" s="195" t="s">
        <v>418</v>
      </c>
      <c r="C3" s="195" t="s">
        <v>419</v>
      </c>
      <c r="D3" s="195" t="s">
        <v>420</v>
      </c>
      <c r="E3" s="196" t="s">
        <v>421</v>
      </c>
      <c r="F3" s="196" t="s">
        <v>422</v>
      </c>
      <c r="G3" s="196" t="s">
        <v>423</v>
      </c>
      <c r="H3" s="196" t="s">
        <v>424</v>
      </c>
      <c r="I3" s="195" t="s">
        <v>425</v>
      </c>
      <c r="J3" s="80" t="s">
        <v>426</v>
      </c>
      <c r="K3" s="17"/>
    </row>
    <row r="4" spans="1:16" ht="13.9" x14ac:dyDescent="0.4">
      <c r="A4" s="93" t="s">
        <v>427</v>
      </c>
      <c r="B4" s="52">
        <f t="shared" ref="B4:H4" si="0">SUM(B5:B66)</f>
        <v>14341248697</v>
      </c>
      <c r="C4" s="52">
        <f t="shared" si="0"/>
        <v>3165587906</v>
      </c>
      <c r="D4" s="52">
        <f t="shared" si="0"/>
        <v>324135777</v>
      </c>
      <c r="E4" s="52">
        <f t="shared" si="0"/>
        <v>1703829181</v>
      </c>
      <c r="F4" s="52">
        <f t="shared" si="0"/>
        <v>1524676662</v>
      </c>
      <c r="G4" s="52">
        <f t="shared" si="0"/>
        <v>1789020642</v>
      </c>
      <c r="H4" s="52">
        <f t="shared" si="0"/>
        <v>1618637721</v>
      </c>
      <c r="I4" s="123">
        <f>SUM(I5:I66)</f>
        <v>5057865693</v>
      </c>
      <c r="J4" s="81">
        <f>SUM(J5:J66)</f>
        <v>9283383004</v>
      </c>
      <c r="K4" s="17" t="s">
        <v>427</v>
      </c>
      <c r="L4" s="17" t="s">
        <v>428</v>
      </c>
      <c r="O4" s="36" t="s">
        <v>429</v>
      </c>
    </row>
    <row r="5" spans="1:16" ht="13.9" x14ac:dyDescent="0.4">
      <c r="A5" s="55" t="s">
        <v>2</v>
      </c>
      <c r="B5" s="56">
        <f>ROUND(VLOOKUP(K5,fund_table,MATCH($M$10,year_row,0),0),0)</f>
        <v>222844923</v>
      </c>
      <c r="C5" s="56">
        <f>ROUND(VLOOKUP(K5,fund_table,MATCH(1999,year_row,0),0)*0.75,0)</f>
        <v>51763442</v>
      </c>
      <c r="D5" s="56">
        <f>ROUND(VLOOKUP(K5,admin,MATCH($M$10,admin_year,0),0),0)</f>
        <v>5281927</v>
      </c>
      <c r="E5" s="56">
        <f>ROUND(VLOOKUP(K5,other,MATCH($M$10&amp;" RPHA",other_label,0),0),0)</f>
        <v>27330222</v>
      </c>
      <c r="F5" s="56">
        <f t="shared" ref="F5:F36" si="1">ROUND(VLOOKUP(K5,other,MATCH($M$10&amp;" HA",other_label,0),0),0)</f>
        <v>24456531</v>
      </c>
      <c r="G5" s="56">
        <f t="shared" ref="G5:G36" si="2">ROUND(VLOOKUP(K5,other,MATCH($M$10&amp;" RPLA",other_label,0),0),0)</f>
        <v>28696733</v>
      </c>
      <c r="H5" s="56">
        <f>ROUND(VLOOKUP(K5,other,MATCH($M$10&amp;" LA",other_label,0),0),0)</f>
        <v>25963711</v>
      </c>
      <c r="I5" s="57">
        <f>ROUND($M$9*B5,0)-1</f>
        <v>77252979</v>
      </c>
      <c r="J5" s="58">
        <f t="shared" ref="J5:J36" si="3">B5-I5</f>
        <v>145591944</v>
      </c>
      <c r="K5" s="17" t="s">
        <v>2</v>
      </c>
      <c r="L5" t="s">
        <v>430</v>
      </c>
      <c r="M5" s="31">
        <f>VLOOKUP($M$10,'Approp Path'!$A$14:$E$30,4,FALSE)</f>
        <v>5057865697</v>
      </c>
      <c r="N5" s="31"/>
      <c r="O5" s="124">
        <f>M5-I4</f>
        <v>4</v>
      </c>
      <c r="P5" s="78"/>
    </row>
    <row r="6" spans="1:16" ht="13.9" x14ac:dyDescent="0.4">
      <c r="A6" s="59" t="s">
        <v>3</v>
      </c>
      <c r="B6" s="60">
        <f t="shared" ref="B6:B36" si="4">ROUND(VLOOKUP(K6,fund_table,MATCH($M$10,year_row,0),0),0)</f>
        <v>45682519</v>
      </c>
      <c r="C6" s="60">
        <f t="shared" ref="C6:C36" si="5">ROUND(VLOOKUP(K6,fund_table,MATCH(1999,year_row,0),0)*0.75,0)</f>
        <v>9185518</v>
      </c>
      <c r="D6" s="60">
        <f t="shared" ref="D6:D36" si="6">ROUND(VLOOKUP(K6,admin,MATCH($M$10,admin_year,0),0),0)</f>
        <v>1404389</v>
      </c>
      <c r="E6" s="60">
        <f t="shared" ref="E6:E36" si="7">ROUND(VLOOKUP(K6,other,MATCH($M$10&amp;" RPHA",other_label,0),0),0)</f>
        <v>5290729</v>
      </c>
      <c r="F6" s="60">
        <f t="shared" si="1"/>
        <v>4734425</v>
      </c>
      <c r="G6" s="60">
        <f t="shared" si="2"/>
        <v>5555265</v>
      </c>
      <c r="H6" s="60">
        <f t="shared" ref="H6:H36" si="8">ROUND(VLOOKUP(K6,other,MATCH($M$10&amp;" LA",other_label,0),0),0)</f>
        <v>5026192</v>
      </c>
      <c r="I6" s="61">
        <f t="shared" ref="I6:I36" si="9">ROUND($M$9*B6,0)</f>
        <v>15836622</v>
      </c>
      <c r="J6" s="62">
        <f t="shared" si="3"/>
        <v>29845897</v>
      </c>
      <c r="K6" s="17" t="s">
        <v>3</v>
      </c>
      <c r="L6" t="s">
        <v>431</v>
      </c>
      <c r="M6" s="31">
        <f>VLOOKUP($M$10,'Approp Path'!$A$14:$E$30,5,FALSE)</f>
        <v>9283383000</v>
      </c>
      <c r="N6" s="31"/>
      <c r="O6" s="119">
        <f>M6-J4</f>
        <v>-4</v>
      </c>
      <c r="P6" s="78"/>
    </row>
    <row r="7" spans="1:16" ht="13.9" x14ac:dyDescent="0.4">
      <c r="A7" s="55" t="s">
        <v>4</v>
      </c>
      <c r="B7" s="56">
        <f t="shared" si="4"/>
        <v>255353183</v>
      </c>
      <c r="C7" s="56">
        <f t="shared" si="5"/>
        <v>45947295</v>
      </c>
      <c r="D7" s="56">
        <f t="shared" si="6"/>
        <v>4289472</v>
      </c>
      <c r="E7" s="56">
        <f t="shared" si="7"/>
        <v>26464995</v>
      </c>
      <c r="F7" s="56">
        <f t="shared" si="1"/>
        <v>23682281</v>
      </c>
      <c r="G7" s="56">
        <f t="shared" si="2"/>
        <v>27788245</v>
      </c>
      <c r="H7" s="56">
        <f t="shared" si="8"/>
        <v>25141746</v>
      </c>
      <c r="I7" s="57">
        <f t="shared" si="9"/>
        <v>88522521</v>
      </c>
      <c r="J7" s="58">
        <f t="shared" si="3"/>
        <v>166830662</v>
      </c>
      <c r="K7" s="17" t="s">
        <v>4</v>
      </c>
      <c r="L7" t="s">
        <v>432</v>
      </c>
      <c r="M7" s="31">
        <v>0</v>
      </c>
      <c r="N7" s="31"/>
    </row>
    <row r="8" spans="1:16" ht="13.9" x14ac:dyDescent="0.4">
      <c r="A8" s="59" t="s">
        <v>5</v>
      </c>
      <c r="B8" s="60">
        <f t="shared" si="4"/>
        <v>139752224</v>
      </c>
      <c r="C8" s="60">
        <f t="shared" si="5"/>
        <v>30654695</v>
      </c>
      <c r="D8" s="60">
        <f t="shared" si="6"/>
        <v>2997900</v>
      </c>
      <c r="E8" s="60">
        <f t="shared" si="7"/>
        <v>16857842</v>
      </c>
      <c r="F8" s="60">
        <f t="shared" si="1"/>
        <v>15085290</v>
      </c>
      <c r="G8" s="60">
        <f t="shared" si="2"/>
        <v>17700734</v>
      </c>
      <c r="H8" s="60">
        <f t="shared" si="8"/>
        <v>16014950</v>
      </c>
      <c r="I8" s="61">
        <f t="shared" si="9"/>
        <v>48447484</v>
      </c>
      <c r="J8" s="62">
        <f t="shared" si="3"/>
        <v>91304740</v>
      </c>
      <c r="K8" s="17" t="s">
        <v>5</v>
      </c>
      <c r="L8" t="s">
        <v>433</v>
      </c>
      <c r="M8" s="31">
        <f>VLOOKUP($M$10,'Approp Path'!$A$14:$E$30,3,FALSE)</f>
        <v>24500000</v>
      </c>
      <c r="N8" s="31"/>
    </row>
    <row r="9" spans="1:16" ht="13.9" x14ac:dyDescent="0.4">
      <c r="A9" s="55" t="s">
        <v>6</v>
      </c>
      <c r="B9" s="56">
        <f t="shared" si="4"/>
        <v>1482362797</v>
      </c>
      <c r="C9" s="56">
        <f t="shared" si="5"/>
        <v>323428031</v>
      </c>
      <c r="D9" s="56">
        <f t="shared" si="6"/>
        <v>31571377</v>
      </c>
      <c r="E9" s="56">
        <f t="shared" si="7"/>
        <v>184382334</v>
      </c>
      <c r="F9" s="56">
        <f t="shared" si="1"/>
        <v>164995086</v>
      </c>
      <c r="G9" s="56">
        <f t="shared" si="2"/>
        <v>193601451</v>
      </c>
      <c r="H9" s="56">
        <f t="shared" si="8"/>
        <v>175163218</v>
      </c>
      <c r="I9" s="57">
        <f t="shared" si="9"/>
        <v>513886260</v>
      </c>
      <c r="J9" s="58">
        <f t="shared" si="3"/>
        <v>968476537</v>
      </c>
      <c r="K9" s="17" t="s">
        <v>6</v>
      </c>
      <c r="L9" s="197" t="s">
        <v>434</v>
      </c>
      <c r="M9" s="133">
        <f>(M5-M8-B57)/(M5+M6-M8-B57)+O9</f>
        <v>0.34666699764081749</v>
      </c>
      <c r="N9" s="125" t="s">
        <v>69</v>
      </c>
      <c r="O9" s="217">
        <v>-1.7499999999999999E-10</v>
      </c>
      <c r="P9" s="119"/>
    </row>
    <row r="10" spans="1:16" ht="13.9" x14ac:dyDescent="0.4">
      <c r="A10" s="59" t="s">
        <v>7</v>
      </c>
      <c r="B10" s="60">
        <f t="shared" si="4"/>
        <v>201456677</v>
      </c>
      <c r="C10" s="60">
        <f t="shared" si="5"/>
        <v>38914504</v>
      </c>
      <c r="D10" s="60">
        <f t="shared" si="6"/>
        <v>3863094</v>
      </c>
      <c r="E10" s="60">
        <f t="shared" si="7"/>
        <v>22414207</v>
      </c>
      <c r="F10" s="60">
        <f t="shared" si="1"/>
        <v>20057420</v>
      </c>
      <c r="G10" s="60">
        <f t="shared" si="2"/>
        <v>23534917</v>
      </c>
      <c r="H10" s="60">
        <f t="shared" si="8"/>
        <v>21293496</v>
      </c>
      <c r="I10" s="61">
        <f t="shared" si="9"/>
        <v>69838381</v>
      </c>
      <c r="J10" s="62">
        <f t="shared" si="3"/>
        <v>131618296</v>
      </c>
      <c r="K10" s="17" t="s">
        <v>7</v>
      </c>
      <c r="L10" s="36" t="s">
        <v>435</v>
      </c>
      <c r="M10" s="36">
        <v>2026</v>
      </c>
      <c r="N10" s="36"/>
      <c r="P10" s="119"/>
    </row>
    <row r="11" spans="1:16" ht="13.9" x14ac:dyDescent="0.4">
      <c r="A11" s="55" t="s">
        <v>8</v>
      </c>
      <c r="B11" s="56">
        <f t="shared" si="4"/>
        <v>160106558</v>
      </c>
      <c r="C11" s="56">
        <f t="shared" si="5"/>
        <v>39795094</v>
      </c>
      <c r="D11" s="56">
        <f t="shared" si="6"/>
        <v>4133616</v>
      </c>
      <c r="E11" s="56">
        <f t="shared" si="7"/>
        <v>19982647</v>
      </c>
      <c r="F11" s="56">
        <f t="shared" si="1"/>
        <v>17881532</v>
      </c>
      <c r="G11" s="56">
        <f t="shared" si="2"/>
        <v>20981779</v>
      </c>
      <c r="H11" s="56">
        <f t="shared" si="8"/>
        <v>18983515</v>
      </c>
      <c r="I11" s="57">
        <f t="shared" si="9"/>
        <v>55503660</v>
      </c>
      <c r="J11" s="58">
        <f t="shared" si="3"/>
        <v>104602898</v>
      </c>
      <c r="K11" s="17" t="s">
        <v>8</v>
      </c>
    </row>
    <row r="12" spans="1:16" ht="13.9" x14ac:dyDescent="0.4">
      <c r="A12" s="59" t="s">
        <v>9</v>
      </c>
      <c r="B12" s="60">
        <f t="shared" si="4"/>
        <v>44659831</v>
      </c>
      <c r="C12" s="60">
        <f t="shared" si="5"/>
        <v>8418502</v>
      </c>
      <c r="D12" s="60">
        <f t="shared" si="6"/>
        <v>1404389</v>
      </c>
      <c r="E12" s="60">
        <f t="shared" si="7"/>
        <v>4848938</v>
      </c>
      <c r="F12" s="60">
        <f t="shared" si="1"/>
        <v>4339087</v>
      </c>
      <c r="G12" s="60">
        <f t="shared" si="2"/>
        <v>5091385</v>
      </c>
      <c r="H12" s="60">
        <f t="shared" si="8"/>
        <v>4606491</v>
      </c>
      <c r="I12" s="61">
        <f t="shared" si="9"/>
        <v>15482090</v>
      </c>
      <c r="J12" s="62">
        <f t="shared" si="3"/>
        <v>29177741</v>
      </c>
      <c r="K12" s="17" t="s">
        <v>9</v>
      </c>
    </row>
    <row r="13" spans="1:16" ht="13.9" x14ac:dyDescent="0.4">
      <c r="A13" s="55" t="s">
        <v>11</v>
      </c>
      <c r="B13" s="56">
        <f t="shared" si="4"/>
        <v>791940904</v>
      </c>
      <c r="C13" s="56">
        <f t="shared" si="5"/>
        <v>179007131</v>
      </c>
      <c r="D13" s="56">
        <f t="shared" si="6"/>
        <v>17451443</v>
      </c>
      <c r="E13" s="56">
        <f t="shared" si="7"/>
        <v>94634513</v>
      </c>
      <c r="F13" s="56">
        <f t="shared" si="1"/>
        <v>84683978</v>
      </c>
      <c r="G13" s="56">
        <f t="shared" si="2"/>
        <v>99366238</v>
      </c>
      <c r="H13" s="56">
        <f t="shared" si="8"/>
        <v>89902787</v>
      </c>
      <c r="I13" s="57">
        <f t="shared" si="9"/>
        <v>274539775</v>
      </c>
      <c r="J13" s="58">
        <f t="shared" si="3"/>
        <v>517401129</v>
      </c>
      <c r="K13" s="17" t="s">
        <v>11</v>
      </c>
    </row>
    <row r="14" spans="1:16" ht="13.9" x14ac:dyDescent="0.4">
      <c r="A14" s="59" t="s">
        <v>12</v>
      </c>
      <c r="B14" s="60">
        <f t="shared" si="4"/>
        <v>425165671</v>
      </c>
      <c r="C14" s="60">
        <f t="shared" si="5"/>
        <v>80774679</v>
      </c>
      <c r="D14" s="60">
        <f t="shared" si="6"/>
        <v>7629312</v>
      </c>
      <c r="E14" s="60">
        <f t="shared" si="7"/>
        <v>46525079</v>
      </c>
      <c r="F14" s="60">
        <f t="shared" si="1"/>
        <v>41633106</v>
      </c>
      <c r="G14" s="60">
        <f t="shared" si="2"/>
        <v>48851333</v>
      </c>
      <c r="H14" s="60">
        <f t="shared" si="8"/>
        <v>44198825</v>
      </c>
      <c r="I14" s="61">
        <f t="shared" si="9"/>
        <v>147390907</v>
      </c>
      <c r="J14" s="62">
        <f t="shared" si="3"/>
        <v>277774764</v>
      </c>
      <c r="K14" s="17" t="s">
        <v>12</v>
      </c>
    </row>
    <row r="15" spans="1:16" ht="13.9" x14ac:dyDescent="0.4">
      <c r="A15" s="55" t="s">
        <v>13</v>
      </c>
      <c r="B15" s="56">
        <f t="shared" si="4"/>
        <v>49613319</v>
      </c>
      <c r="C15" s="56">
        <f t="shared" si="5"/>
        <v>10617384</v>
      </c>
      <c r="D15" s="56">
        <f t="shared" si="6"/>
        <v>1404389</v>
      </c>
      <c r="E15" s="56">
        <f t="shared" si="7"/>
        <v>5999878</v>
      </c>
      <c r="F15" s="56">
        <f t="shared" si="1"/>
        <v>5369009</v>
      </c>
      <c r="G15" s="56">
        <f t="shared" si="2"/>
        <v>6299872</v>
      </c>
      <c r="H15" s="56">
        <f t="shared" si="8"/>
        <v>5699884</v>
      </c>
      <c r="I15" s="57">
        <f t="shared" si="9"/>
        <v>17199300</v>
      </c>
      <c r="J15" s="58">
        <f t="shared" si="3"/>
        <v>32414019</v>
      </c>
      <c r="K15" s="17" t="s">
        <v>13</v>
      </c>
      <c r="M15" s="119"/>
    </row>
    <row r="16" spans="1:16" ht="13.9" x14ac:dyDescent="0.4">
      <c r="A16" s="59" t="s">
        <v>14</v>
      </c>
      <c r="B16" s="60">
        <f t="shared" si="4"/>
        <v>71784530</v>
      </c>
      <c r="C16" s="60">
        <f t="shared" si="5"/>
        <v>14289101</v>
      </c>
      <c r="D16" s="60">
        <f t="shared" si="6"/>
        <v>1404389</v>
      </c>
      <c r="E16" s="60">
        <f t="shared" si="7"/>
        <v>8157670</v>
      </c>
      <c r="F16" s="60">
        <f t="shared" si="1"/>
        <v>7299915</v>
      </c>
      <c r="G16" s="60">
        <f t="shared" si="2"/>
        <v>8565553</v>
      </c>
      <c r="H16" s="60">
        <f t="shared" si="8"/>
        <v>7749786</v>
      </c>
      <c r="I16" s="61">
        <f t="shared" si="9"/>
        <v>24885327</v>
      </c>
      <c r="J16" s="62">
        <f t="shared" si="3"/>
        <v>46899203</v>
      </c>
      <c r="K16" s="17" t="s">
        <v>14</v>
      </c>
      <c r="M16" s="119"/>
    </row>
    <row r="17" spans="1:11" ht="13.9" x14ac:dyDescent="0.4">
      <c r="A17" s="55" t="s">
        <v>15</v>
      </c>
      <c r="B17" s="56">
        <f t="shared" si="4"/>
        <v>607421383</v>
      </c>
      <c r="C17" s="56">
        <f t="shared" si="5"/>
        <v>145798830</v>
      </c>
      <c r="D17" s="56">
        <f t="shared" si="6"/>
        <v>14299525</v>
      </c>
      <c r="E17" s="56">
        <f t="shared" si="7"/>
        <v>76112614</v>
      </c>
      <c r="F17" s="56">
        <f t="shared" si="1"/>
        <v>68109602</v>
      </c>
      <c r="G17" s="56">
        <f t="shared" si="2"/>
        <v>79918245</v>
      </c>
      <c r="H17" s="56">
        <f t="shared" si="8"/>
        <v>72306984</v>
      </c>
      <c r="I17" s="57">
        <f t="shared" si="9"/>
        <v>210572947</v>
      </c>
      <c r="J17" s="58">
        <f t="shared" si="3"/>
        <v>396848436</v>
      </c>
      <c r="K17" s="17" t="s">
        <v>15</v>
      </c>
    </row>
    <row r="18" spans="1:11" ht="13.9" x14ac:dyDescent="0.4">
      <c r="A18" s="59" t="s">
        <v>16</v>
      </c>
      <c r="B18" s="60">
        <f t="shared" si="4"/>
        <v>318187405</v>
      </c>
      <c r="C18" s="60">
        <f t="shared" si="5"/>
        <v>76006114</v>
      </c>
      <c r="D18" s="60">
        <f t="shared" si="6"/>
        <v>7475994</v>
      </c>
      <c r="E18" s="60">
        <f t="shared" si="7"/>
        <v>38433765</v>
      </c>
      <c r="F18" s="60">
        <f t="shared" si="1"/>
        <v>34392570</v>
      </c>
      <c r="G18" s="60">
        <f t="shared" si="2"/>
        <v>40355454</v>
      </c>
      <c r="H18" s="60">
        <f t="shared" si="8"/>
        <v>36512077</v>
      </c>
      <c r="I18" s="61">
        <f t="shared" si="9"/>
        <v>110305072</v>
      </c>
      <c r="J18" s="62">
        <f t="shared" si="3"/>
        <v>207882333</v>
      </c>
      <c r="K18" s="17" t="s">
        <v>16</v>
      </c>
    </row>
    <row r="19" spans="1:11" ht="13.9" x14ac:dyDescent="0.4">
      <c r="A19" s="55" t="s">
        <v>17</v>
      </c>
      <c r="B19" s="56">
        <f t="shared" si="4"/>
        <v>147118953</v>
      </c>
      <c r="C19" s="56">
        <f t="shared" si="5"/>
        <v>36799117</v>
      </c>
      <c r="D19" s="56">
        <f t="shared" si="6"/>
        <v>3677557</v>
      </c>
      <c r="E19" s="56">
        <f t="shared" si="7"/>
        <v>18348176</v>
      </c>
      <c r="F19" s="56">
        <f t="shared" si="1"/>
        <v>16418921</v>
      </c>
      <c r="G19" s="56">
        <f t="shared" si="2"/>
        <v>19265585</v>
      </c>
      <c r="H19" s="56">
        <f t="shared" si="8"/>
        <v>17430767</v>
      </c>
      <c r="I19" s="57">
        <f t="shared" si="9"/>
        <v>51001286</v>
      </c>
      <c r="J19" s="58">
        <f t="shared" si="3"/>
        <v>96117667</v>
      </c>
      <c r="K19" s="17" t="s">
        <v>17</v>
      </c>
    </row>
    <row r="20" spans="1:11" ht="13.9" x14ac:dyDescent="0.4">
      <c r="A20" s="59" t="s">
        <v>18</v>
      </c>
      <c r="B20" s="60">
        <f t="shared" si="4"/>
        <v>132500319</v>
      </c>
      <c r="C20" s="60">
        <f t="shared" si="5"/>
        <v>30299450</v>
      </c>
      <c r="D20" s="60">
        <f t="shared" si="6"/>
        <v>2992442</v>
      </c>
      <c r="E20" s="60">
        <f t="shared" si="7"/>
        <v>16060444</v>
      </c>
      <c r="F20" s="60">
        <f t="shared" si="1"/>
        <v>14371737</v>
      </c>
      <c r="G20" s="60">
        <f t="shared" si="2"/>
        <v>16863466</v>
      </c>
      <c r="H20" s="60">
        <f t="shared" si="8"/>
        <v>15257422</v>
      </c>
      <c r="I20" s="61">
        <f t="shared" si="9"/>
        <v>45933488</v>
      </c>
      <c r="J20" s="62">
        <f t="shared" si="3"/>
        <v>86566831</v>
      </c>
      <c r="K20" s="17" t="s">
        <v>18</v>
      </c>
    </row>
    <row r="21" spans="1:11" ht="13.9" x14ac:dyDescent="0.4">
      <c r="A21" s="55" t="s">
        <v>19</v>
      </c>
      <c r="B21" s="56">
        <f t="shared" si="4"/>
        <v>198054143</v>
      </c>
      <c r="C21" s="56">
        <f t="shared" si="5"/>
        <v>45623168</v>
      </c>
      <c r="D21" s="56">
        <f t="shared" si="6"/>
        <v>4597245</v>
      </c>
      <c r="E21" s="56">
        <f t="shared" si="7"/>
        <v>23722395</v>
      </c>
      <c r="F21" s="56">
        <f t="shared" si="1"/>
        <v>21228056</v>
      </c>
      <c r="G21" s="56">
        <f t="shared" si="2"/>
        <v>24908515</v>
      </c>
      <c r="H21" s="56">
        <f t="shared" si="8"/>
        <v>22536275</v>
      </c>
      <c r="I21" s="57">
        <f t="shared" si="9"/>
        <v>68658835</v>
      </c>
      <c r="J21" s="58">
        <f t="shared" si="3"/>
        <v>129395308</v>
      </c>
      <c r="K21" s="17" t="s">
        <v>19</v>
      </c>
    </row>
    <row r="22" spans="1:11" ht="13.9" x14ac:dyDescent="0.4">
      <c r="A22" s="59" t="s">
        <v>20</v>
      </c>
      <c r="B22" s="60">
        <f t="shared" si="4"/>
        <v>227097349</v>
      </c>
      <c r="C22" s="60">
        <f t="shared" si="5"/>
        <v>49394457</v>
      </c>
      <c r="D22" s="60">
        <f t="shared" si="6"/>
        <v>5015352</v>
      </c>
      <c r="E22" s="60">
        <f t="shared" si="7"/>
        <v>28450512</v>
      </c>
      <c r="F22" s="60">
        <f t="shared" si="1"/>
        <v>25459026</v>
      </c>
      <c r="G22" s="60">
        <f t="shared" si="2"/>
        <v>29873038</v>
      </c>
      <c r="H22" s="60">
        <f t="shared" si="8"/>
        <v>27027987</v>
      </c>
      <c r="I22" s="61">
        <f t="shared" si="9"/>
        <v>78727156</v>
      </c>
      <c r="J22" s="62">
        <f t="shared" si="3"/>
        <v>148370193</v>
      </c>
      <c r="K22" s="17" t="s">
        <v>20</v>
      </c>
    </row>
    <row r="23" spans="1:11" ht="13.9" x14ac:dyDescent="0.4">
      <c r="A23" s="55" t="s">
        <v>21</v>
      </c>
      <c r="B23" s="56">
        <f t="shared" si="4"/>
        <v>65940010</v>
      </c>
      <c r="C23" s="56">
        <f t="shared" si="5"/>
        <v>16493688</v>
      </c>
      <c r="D23" s="56">
        <f t="shared" si="6"/>
        <v>1760335</v>
      </c>
      <c r="E23" s="56">
        <f t="shared" si="7"/>
        <v>8223814</v>
      </c>
      <c r="F23" s="56">
        <f t="shared" si="1"/>
        <v>7359105</v>
      </c>
      <c r="G23" s="56">
        <f t="shared" si="2"/>
        <v>8635005</v>
      </c>
      <c r="H23" s="56">
        <f t="shared" si="8"/>
        <v>7812623</v>
      </c>
      <c r="I23" s="57">
        <f t="shared" si="9"/>
        <v>22859225</v>
      </c>
      <c r="J23" s="58">
        <f t="shared" si="3"/>
        <v>43080785</v>
      </c>
      <c r="K23" s="17" t="s">
        <v>21</v>
      </c>
    </row>
    <row r="24" spans="1:11" ht="13.9" x14ac:dyDescent="0.4">
      <c r="A24" s="59" t="s">
        <v>22</v>
      </c>
      <c r="B24" s="60">
        <f t="shared" si="4"/>
        <v>250273720</v>
      </c>
      <c r="C24" s="60">
        <f t="shared" si="5"/>
        <v>57921866</v>
      </c>
      <c r="D24" s="60">
        <f t="shared" si="6"/>
        <v>5656407</v>
      </c>
      <c r="E24" s="60">
        <f t="shared" si="7"/>
        <v>30091878</v>
      </c>
      <c r="F24" s="60">
        <f t="shared" si="1"/>
        <v>26927807</v>
      </c>
      <c r="G24" s="60">
        <f t="shared" si="2"/>
        <v>31596472</v>
      </c>
      <c r="H24" s="60">
        <f t="shared" si="8"/>
        <v>28587284</v>
      </c>
      <c r="I24" s="61">
        <f t="shared" si="9"/>
        <v>86761639</v>
      </c>
      <c r="J24" s="62">
        <f t="shared" si="3"/>
        <v>163512081</v>
      </c>
      <c r="K24" s="17" t="s">
        <v>22</v>
      </c>
    </row>
    <row r="25" spans="1:11" ht="13.9" x14ac:dyDescent="0.4">
      <c r="A25" s="55" t="s">
        <v>23</v>
      </c>
      <c r="B25" s="56">
        <f t="shared" si="4"/>
        <v>342079872</v>
      </c>
      <c r="C25" s="56">
        <f t="shared" si="5"/>
        <v>85565027</v>
      </c>
      <c r="D25" s="56">
        <f t="shared" si="6"/>
        <v>8596950</v>
      </c>
      <c r="E25" s="56">
        <f t="shared" si="7"/>
        <v>42663040</v>
      </c>
      <c r="F25" s="56">
        <f t="shared" si="1"/>
        <v>38177150</v>
      </c>
      <c r="G25" s="56">
        <f t="shared" si="2"/>
        <v>44796192</v>
      </c>
      <c r="H25" s="56">
        <f t="shared" si="8"/>
        <v>40529888</v>
      </c>
      <c r="I25" s="57">
        <f t="shared" si="9"/>
        <v>118587802</v>
      </c>
      <c r="J25" s="58">
        <f t="shared" si="3"/>
        <v>223492070</v>
      </c>
      <c r="K25" s="17" t="s">
        <v>23</v>
      </c>
    </row>
    <row r="26" spans="1:11" ht="13.9" x14ac:dyDescent="0.4">
      <c r="A26" s="59" t="s">
        <v>24</v>
      </c>
      <c r="B26" s="60">
        <f t="shared" si="4"/>
        <v>477358089</v>
      </c>
      <c r="C26" s="60">
        <f t="shared" si="5"/>
        <v>107923610</v>
      </c>
      <c r="D26" s="60">
        <f t="shared" si="6"/>
        <v>10463568</v>
      </c>
      <c r="E26" s="60">
        <f t="shared" si="7"/>
        <v>60202425</v>
      </c>
      <c r="F26" s="60">
        <f t="shared" si="1"/>
        <v>53872321</v>
      </c>
      <c r="G26" s="60">
        <f t="shared" si="2"/>
        <v>63212547</v>
      </c>
      <c r="H26" s="60">
        <f t="shared" si="8"/>
        <v>57192304</v>
      </c>
      <c r="I26" s="61">
        <f t="shared" si="9"/>
        <v>165484296</v>
      </c>
      <c r="J26" s="62">
        <f t="shared" si="3"/>
        <v>311873793</v>
      </c>
      <c r="K26" s="17" t="s">
        <v>24</v>
      </c>
    </row>
    <row r="27" spans="1:11" ht="13.9" x14ac:dyDescent="0.4">
      <c r="A27" s="55" t="s">
        <v>25</v>
      </c>
      <c r="B27" s="56">
        <f t="shared" si="4"/>
        <v>234828907</v>
      </c>
      <c r="C27" s="56">
        <f t="shared" si="5"/>
        <v>55057097</v>
      </c>
      <c r="D27" s="56">
        <f t="shared" si="6"/>
        <v>5472274</v>
      </c>
      <c r="E27" s="56">
        <f t="shared" si="7"/>
        <v>28528603</v>
      </c>
      <c r="F27" s="56">
        <f t="shared" si="1"/>
        <v>25528906</v>
      </c>
      <c r="G27" s="56">
        <f t="shared" si="2"/>
        <v>29955033</v>
      </c>
      <c r="H27" s="56">
        <f t="shared" si="8"/>
        <v>27102173</v>
      </c>
      <c r="I27" s="57">
        <f t="shared" si="9"/>
        <v>81407432</v>
      </c>
      <c r="J27" s="58">
        <f t="shared" si="3"/>
        <v>153421475</v>
      </c>
      <c r="K27" s="17" t="s">
        <v>25</v>
      </c>
    </row>
    <row r="28" spans="1:11" ht="13.9" x14ac:dyDescent="0.4">
      <c r="A28" s="59" t="s">
        <v>26</v>
      </c>
      <c r="B28" s="60">
        <f t="shared" si="4"/>
        <v>146042079</v>
      </c>
      <c r="C28" s="60">
        <f t="shared" si="5"/>
        <v>32007733</v>
      </c>
      <c r="D28" s="60">
        <f t="shared" si="6"/>
        <v>3538414</v>
      </c>
      <c r="E28" s="60">
        <f t="shared" si="7"/>
        <v>17885305</v>
      </c>
      <c r="F28" s="60">
        <f t="shared" si="1"/>
        <v>16004719</v>
      </c>
      <c r="G28" s="60">
        <f t="shared" si="2"/>
        <v>18779570</v>
      </c>
      <c r="H28" s="60">
        <f t="shared" si="8"/>
        <v>16991040</v>
      </c>
      <c r="I28" s="61">
        <f t="shared" si="9"/>
        <v>50627969</v>
      </c>
      <c r="J28" s="62">
        <f t="shared" si="3"/>
        <v>95414110</v>
      </c>
      <c r="K28" s="17" t="s">
        <v>26</v>
      </c>
    </row>
    <row r="29" spans="1:11" ht="13.9" x14ac:dyDescent="0.4">
      <c r="A29" s="55" t="s">
        <v>27</v>
      </c>
      <c r="B29" s="56">
        <f t="shared" si="4"/>
        <v>275355588</v>
      </c>
      <c r="C29" s="56">
        <f t="shared" si="5"/>
        <v>68230162</v>
      </c>
      <c r="D29" s="56">
        <f t="shared" si="6"/>
        <v>6792015</v>
      </c>
      <c r="E29" s="56">
        <f t="shared" si="7"/>
        <v>34139378</v>
      </c>
      <c r="F29" s="56">
        <f t="shared" si="1"/>
        <v>30549725</v>
      </c>
      <c r="G29" s="56">
        <f t="shared" si="2"/>
        <v>35846347</v>
      </c>
      <c r="H29" s="56">
        <f t="shared" si="8"/>
        <v>32432409</v>
      </c>
      <c r="I29" s="57">
        <f t="shared" si="9"/>
        <v>95456695</v>
      </c>
      <c r="J29" s="58">
        <f t="shared" si="3"/>
        <v>179898893</v>
      </c>
      <c r="K29" s="17" t="s">
        <v>27</v>
      </c>
    </row>
    <row r="30" spans="1:11" ht="13.9" x14ac:dyDescent="0.4">
      <c r="A30" s="59" t="s">
        <v>28</v>
      </c>
      <c r="B30" s="60">
        <f t="shared" si="4"/>
        <v>46432766</v>
      </c>
      <c r="C30" s="60">
        <f t="shared" si="5"/>
        <v>9748203</v>
      </c>
      <c r="D30" s="60">
        <f t="shared" si="6"/>
        <v>1404389</v>
      </c>
      <c r="E30" s="60">
        <f t="shared" si="7"/>
        <v>5523454</v>
      </c>
      <c r="F30" s="60">
        <f t="shared" si="1"/>
        <v>4942679</v>
      </c>
      <c r="G30" s="60">
        <f t="shared" si="2"/>
        <v>5799627</v>
      </c>
      <c r="H30" s="60">
        <f t="shared" si="8"/>
        <v>5247281</v>
      </c>
      <c r="I30" s="61">
        <f t="shared" si="9"/>
        <v>16096708</v>
      </c>
      <c r="J30" s="62">
        <f t="shared" si="3"/>
        <v>30336058</v>
      </c>
      <c r="K30" s="17" t="s">
        <v>28</v>
      </c>
    </row>
    <row r="31" spans="1:11" ht="13.9" x14ac:dyDescent="0.4">
      <c r="A31" s="55" t="s">
        <v>29</v>
      </c>
      <c r="B31" s="56">
        <f t="shared" si="4"/>
        <v>91650181</v>
      </c>
      <c r="C31" s="56">
        <f t="shared" si="5"/>
        <v>22507423</v>
      </c>
      <c r="D31" s="56">
        <f t="shared" si="6"/>
        <v>2155899</v>
      </c>
      <c r="E31" s="56">
        <f t="shared" si="7"/>
        <v>11222285</v>
      </c>
      <c r="F31" s="56">
        <f t="shared" si="1"/>
        <v>10042295</v>
      </c>
      <c r="G31" s="56">
        <f t="shared" si="2"/>
        <v>11783399</v>
      </c>
      <c r="H31" s="56">
        <f t="shared" si="8"/>
        <v>10661170</v>
      </c>
      <c r="I31" s="57">
        <f t="shared" si="9"/>
        <v>31772093</v>
      </c>
      <c r="J31" s="58">
        <f t="shared" si="3"/>
        <v>59878088</v>
      </c>
      <c r="K31" s="17" t="s">
        <v>29</v>
      </c>
    </row>
    <row r="32" spans="1:11" ht="13.9" x14ac:dyDescent="0.4">
      <c r="A32" s="59" t="s">
        <v>30</v>
      </c>
      <c r="B32" s="60">
        <f t="shared" si="4"/>
        <v>99138754</v>
      </c>
      <c r="C32" s="60">
        <f t="shared" si="5"/>
        <v>17279374</v>
      </c>
      <c r="D32" s="60">
        <f t="shared" si="6"/>
        <v>1620319</v>
      </c>
      <c r="E32" s="60">
        <f t="shared" si="7"/>
        <v>9952676</v>
      </c>
      <c r="F32" s="60">
        <f t="shared" si="1"/>
        <v>8906182</v>
      </c>
      <c r="G32" s="60">
        <f t="shared" si="2"/>
        <v>10450310</v>
      </c>
      <c r="H32" s="60">
        <f t="shared" si="8"/>
        <v>9455043</v>
      </c>
      <c r="I32" s="61">
        <f t="shared" si="9"/>
        <v>34368134</v>
      </c>
      <c r="J32" s="62">
        <f t="shared" si="3"/>
        <v>64770620</v>
      </c>
      <c r="K32" s="17" t="s">
        <v>30</v>
      </c>
    </row>
    <row r="33" spans="1:11" ht="13.9" x14ac:dyDescent="0.4">
      <c r="A33" s="55" t="s">
        <v>31</v>
      </c>
      <c r="B33" s="56">
        <f t="shared" si="4"/>
        <v>57171053</v>
      </c>
      <c r="C33" s="56">
        <f t="shared" si="5"/>
        <v>14262653</v>
      </c>
      <c r="D33" s="56">
        <f t="shared" si="6"/>
        <v>1428292</v>
      </c>
      <c r="E33" s="56">
        <f t="shared" si="7"/>
        <v>7132370</v>
      </c>
      <c r="F33" s="56">
        <f t="shared" si="1"/>
        <v>6382423</v>
      </c>
      <c r="G33" s="56">
        <f t="shared" si="2"/>
        <v>7488988</v>
      </c>
      <c r="H33" s="56">
        <f t="shared" si="8"/>
        <v>6775751</v>
      </c>
      <c r="I33" s="57">
        <f t="shared" si="9"/>
        <v>19819317</v>
      </c>
      <c r="J33" s="58">
        <f t="shared" si="3"/>
        <v>37351736</v>
      </c>
      <c r="K33" s="17" t="s">
        <v>31</v>
      </c>
    </row>
    <row r="34" spans="1:11" ht="13.9" x14ac:dyDescent="0.4">
      <c r="A34" s="59" t="s">
        <v>32</v>
      </c>
      <c r="B34" s="60">
        <f t="shared" si="4"/>
        <v>435580586</v>
      </c>
      <c r="C34" s="60">
        <f t="shared" si="5"/>
        <v>108952520</v>
      </c>
      <c r="D34" s="60">
        <f t="shared" si="6"/>
        <v>10941739</v>
      </c>
      <c r="E34" s="60">
        <f t="shared" si="7"/>
        <v>54324132</v>
      </c>
      <c r="F34" s="60">
        <f t="shared" si="1"/>
        <v>48612112</v>
      </c>
      <c r="G34" s="60">
        <f t="shared" si="2"/>
        <v>57040338</v>
      </c>
      <c r="H34" s="60">
        <f t="shared" si="8"/>
        <v>51607925</v>
      </c>
      <c r="I34" s="61">
        <f t="shared" si="9"/>
        <v>151001414</v>
      </c>
      <c r="J34" s="62">
        <f t="shared" si="3"/>
        <v>284579172</v>
      </c>
      <c r="K34" s="17" t="s">
        <v>32</v>
      </c>
    </row>
    <row r="35" spans="1:11" ht="13.9" x14ac:dyDescent="0.4">
      <c r="A35" s="55" t="s">
        <v>33</v>
      </c>
      <c r="B35" s="56">
        <f t="shared" si="4"/>
        <v>109642322</v>
      </c>
      <c r="C35" s="56">
        <f t="shared" si="5"/>
        <v>27026021</v>
      </c>
      <c r="D35" s="56">
        <f t="shared" si="6"/>
        <v>2655696</v>
      </c>
      <c r="E35" s="56">
        <f t="shared" si="7"/>
        <v>13697436</v>
      </c>
      <c r="F35" s="56">
        <f t="shared" si="1"/>
        <v>12257192</v>
      </c>
      <c r="G35" s="56">
        <f t="shared" si="2"/>
        <v>14382308</v>
      </c>
      <c r="H35" s="56">
        <f t="shared" si="8"/>
        <v>13012564</v>
      </c>
      <c r="I35" s="57">
        <f t="shared" si="9"/>
        <v>38009375</v>
      </c>
      <c r="J35" s="58">
        <f t="shared" si="3"/>
        <v>71632947</v>
      </c>
      <c r="K35" s="17" t="s">
        <v>33</v>
      </c>
    </row>
    <row r="36" spans="1:11" ht="13.9" x14ac:dyDescent="0.4">
      <c r="A36" s="59" t="s">
        <v>34</v>
      </c>
      <c r="B36" s="60">
        <f t="shared" si="4"/>
        <v>912820566</v>
      </c>
      <c r="C36" s="60">
        <f t="shared" si="5"/>
        <v>224098730</v>
      </c>
      <c r="D36" s="60">
        <f t="shared" si="6"/>
        <v>22314127</v>
      </c>
      <c r="E36" s="60">
        <f t="shared" si="7"/>
        <v>114089829</v>
      </c>
      <c r="F36" s="60">
        <f t="shared" si="1"/>
        <v>102093626</v>
      </c>
      <c r="G36" s="60">
        <f t="shared" si="2"/>
        <v>119794321</v>
      </c>
      <c r="H36" s="60">
        <f t="shared" si="8"/>
        <v>108385338</v>
      </c>
      <c r="I36" s="61">
        <f t="shared" si="9"/>
        <v>316444765</v>
      </c>
      <c r="J36" s="62">
        <f t="shared" si="3"/>
        <v>596375801</v>
      </c>
      <c r="K36" s="17" t="s">
        <v>34</v>
      </c>
    </row>
    <row r="37" spans="1:11" ht="13.9" x14ac:dyDescent="0.4">
      <c r="A37" s="55" t="s">
        <v>35</v>
      </c>
      <c r="B37" s="56">
        <f t="shared" ref="B37:B57" si="10">ROUND(VLOOKUP(K37,fund_table,MATCH($M$10,year_row,0),0),0)</f>
        <v>417523448</v>
      </c>
      <c r="C37" s="56">
        <f t="shared" ref="C37:C56" si="11">ROUND(VLOOKUP(K37,fund_table,MATCH(1999,year_row,0),0)*0.75,0)</f>
        <v>85734091</v>
      </c>
      <c r="D37" s="56">
        <f t="shared" ref="D37:D57" si="12">ROUND(VLOOKUP(K37,admin,MATCH($M$10,admin_year,0),0),0)</f>
        <v>8305668</v>
      </c>
      <c r="E37" s="56">
        <f t="shared" ref="E37:E56" si="13">ROUND(VLOOKUP(K37,other,MATCH($M$10&amp;" RPHA",other_label,0),0),0)</f>
        <v>47024227</v>
      </c>
      <c r="F37" s="56">
        <f t="shared" ref="F37:F56" si="14">ROUND(VLOOKUP(K37,other,MATCH($M$10&amp;" HA",other_label,0),0),0)</f>
        <v>42079771</v>
      </c>
      <c r="G37" s="56">
        <f t="shared" ref="G37:G56" si="15">ROUND(VLOOKUP(K37,other,MATCH($M$10&amp;" RPLA",other_label,0),0),0)</f>
        <v>49375438</v>
      </c>
      <c r="H37" s="56">
        <f t="shared" ref="H37:H56" si="16">ROUND(VLOOKUP(K37,other,MATCH($M$10&amp;" LA",other_label,0),0),0)</f>
        <v>44673016</v>
      </c>
      <c r="I37" s="57">
        <f t="shared" ref="I37:I56" si="17">ROUND($M$9*B37,0)</f>
        <v>144741600</v>
      </c>
      <c r="J37" s="58">
        <f t="shared" ref="J37:J57" si="18">B37-I37</f>
        <v>272781848</v>
      </c>
      <c r="K37" s="17" t="s">
        <v>35</v>
      </c>
    </row>
    <row r="38" spans="1:11" ht="13.9" x14ac:dyDescent="0.4">
      <c r="A38" s="59" t="s">
        <v>36</v>
      </c>
      <c r="B38" s="60">
        <f t="shared" si="10"/>
        <v>39812365</v>
      </c>
      <c r="C38" s="60">
        <f t="shared" si="11"/>
        <v>6835722</v>
      </c>
      <c r="D38" s="60">
        <f t="shared" si="12"/>
        <v>1404389</v>
      </c>
      <c r="E38" s="60">
        <f t="shared" si="13"/>
        <v>3937280</v>
      </c>
      <c r="F38" s="60">
        <f t="shared" si="14"/>
        <v>3523287</v>
      </c>
      <c r="G38" s="60">
        <f t="shared" si="15"/>
        <v>4134144</v>
      </c>
      <c r="H38" s="60">
        <f t="shared" si="16"/>
        <v>3740416</v>
      </c>
      <c r="I38" s="61">
        <f t="shared" si="17"/>
        <v>13801633</v>
      </c>
      <c r="J38" s="62">
        <f t="shared" si="18"/>
        <v>26010732</v>
      </c>
      <c r="K38" s="17" t="s">
        <v>36</v>
      </c>
    </row>
    <row r="39" spans="1:11" ht="13.9" x14ac:dyDescent="0.4">
      <c r="A39" s="55" t="s">
        <v>37</v>
      </c>
      <c r="B39" s="56">
        <f t="shared" si="10"/>
        <v>524872331</v>
      </c>
      <c r="C39" s="56">
        <f t="shared" si="11"/>
        <v>119359351</v>
      </c>
      <c r="D39" s="56">
        <f t="shared" si="12"/>
        <v>12215470</v>
      </c>
      <c r="E39" s="56">
        <f t="shared" si="13"/>
        <v>65781969</v>
      </c>
      <c r="F39" s="56">
        <f t="shared" si="14"/>
        <v>58865192</v>
      </c>
      <c r="G39" s="56">
        <f t="shared" si="15"/>
        <v>69071067</v>
      </c>
      <c r="H39" s="56">
        <f t="shared" si="16"/>
        <v>62492870</v>
      </c>
      <c r="I39" s="57">
        <f t="shared" si="17"/>
        <v>181955915</v>
      </c>
      <c r="J39" s="58">
        <f t="shared" si="18"/>
        <v>342916416</v>
      </c>
      <c r="K39" s="17" t="s">
        <v>37</v>
      </c>
    </row>
    <row r="40" spans="1:11" ht="13.9" x14ac:dyDescent="0.4">
      <c r="A40" s="59" t="s">
        <v>38</v>
      </c>
      <c r="B40" s="60">
        <f t="shared" si="10"/>
        <v>182714002</v>
      </c>
      <c r="C40" s="60">
        <f t="shared" si="11"/>
        <v>41638213</v>
      </c>
      <c r="D40" s="60">
        <f t="shared" si="12"/>
        <v>3988622</v>
      </c>
      <c r="E40" s="60">
        <f t="shared" si="13"/>
        <v>22229815</v>
      </c>
      <c r="F40" s="60">
        <f t="shared" si="14"/>
        <v>19892417</v>
      </c>
      <c r="G40" s="60">
        <f t="shared" si="15"/>
        <v>23341306</v>
      </c>
      <c r="H40" s="60">
        <f t="shared" si="16"/>
        <v>21118324</v>
      </c>
      <c r="I40" s="61">
        <f t="shared" si="17"/>
        <v>63340915</v>
      </c>
      <c r="J40" s="62">
        <f t="shared" si="18"/>
        <v>119373087</v>
      </c>
      <c r="K40" s="17" t="s">
        <v>38</v>
      </c>
    </row>
    <row r="41" spans="1:11" ht="13.9" x14ac:dyDescent="0.4">
      <c r="A41" s="55" t="s">
        <v>39</v>
      </c>
      <c r="B41" s="56">
        <f t="shared" si="10"/>
        <v>161112107</v>
      </c>
      <c r="C41" s="56">
        <f t="shared" si="11"/>
        <v>36242655</v>
      </c>
      <c r="D41" s="56">
        <f t="shared" si="12"/>
        <v>3446174</v>
      </c>
      <c r="E41" s="56">
        <f t="shared" si="13"/>
        <v>19382733</v>
      </c>
      <c r="F41" s="56">
        <f t="shared" si="14"/>
        <v>17344697</v>
      </c>
      <c r="G41" s="56">
        <f t="shared" si="15"/>
        <v>20351870</v>
      </c>
      <c r="H41" s="56">
        <f t="shared" si="16"/>
        <v>18413597</v>
      </c>
      <c r="I41" s="56">
        <f t="shared" si="17"/>
        <v>55852250</v>
      </c>
      <c r="J41" s="58">
        <f t="shared" si="18"/>
        <v>105259857</v>
      </c>
      <c r="K41" s="17" t="s">
        <v>39</v>
      </c>
    </row>
    <row r="42" spans="1:11" ht="13.9" x14ac:dyDescent="0.4">
      <c r="A42" s="59" t="s">
        <v>40</v>
      </c>
      <c r="B42" s="60">
        <f t="shared" si="10"/>
        <v>523135162</v>
      </c>
      <c r="C42" s="60">
        <f t="shared" si="11"/>
        <v>117400583</v>
      </c>
      <c r="D42" s="60">
        <f t="shared" si="12"/>
        <v>11647340</v>
      </c>
      <c r="E42" s="60">
        <f t="shared" si="13"/>
        <v>64195362</v>
      </c>
      <c r="F42" s="60">
        <f t="shared" si="14"/>
        <v>57445413</v>
      </c>
      <c r="G42" s="60">
        <f t="shared" si="15"/>
        <v>67405130</v>
      </c>
      <c r="H42" s="60">
        <f t="shared" si="16"/>
        <v>60985594</v>
      </c>
      <c r="I42" s="60">
        <f t="shared" si="17"/>
        <v>181353696</v>
      </c>
      <c r="J42" s="62">
        <f t="shared" si="18"/>
        <v>341781466</v>
      </c>
      <c r="K42" s="17" t="s">
        <v>40</v>
      </c>
    </row>
    <row r="43" spans="1:11" ht="13.9" x14ac:dyDescent="0.4">
      <c r="A43" s="55" t="s">
        <v>41</v>
      </c>
      <c r="B43" s="56">
        <f t="shared" si="10"/>
        <v>52697687</v>
      </c>
      <c r="C43" s="56">
        <f t="shared" si="11"/>
        <v>13181363</v>
      </c>
      <c r="D43" s="56">
        <f t="shared" si="12"/>
        <v>1404389</v>
      </c>
      <c r="E43" s="56">
        <f t="shared" si="13"/>
        <v>6572277</v>
      </c>
      <c r="F43" s="56">
        <f t="shared" si="14"/>
        <v>5881222</v>
      </c>
      <c r="G43" s="56">
        <f t="shared" si="15"/>
        <v>6900891</v>
      </c>
      <c r="H43" s="56">
        <f t="shared" si="16"/>
        <v>6243663</v>
      </c>
      <c r="I43" s="56">
        <f t="shared" si="17"/>
        <v>18268549</v>
      </c>
      <c r="J43" s="58">
        <f t="shared" si="18"/>
        <v>34429138</v>
      </c>
      <c r="K43" s="17" t="s">
        <v>41</v>
      </c>
    </row>
    <row r="44" spans="1:11" ht="13.9" x14ac:dyDescent="0.4">
      <c r="A44" s="59" t="s">
        <v>42</v>
      </c>
      <c r="B44" s="60">
        <f t="shared" si="10"/>
        <v>221922917</v>
      </c>
      <c r="C44" s="60">
        <f t="shared" si="11"/>
        <v>51358930</v>
      </c>
      <c r="D44" s="60">
        <f t="shared" si="12"/>
        <v>4906634</v>
      </c>
      <c r="E44" s="60">
        <f t="shared" si="13"/>
        <v>26324330</v>
      </c>
      <c r="F44" s="60">
        <f t="shared" si="14"/>
        <v>23556406</v>
      </c>
      <c r="G44" s="60">
        <f t="shared" si="15"/>
        <v>27640547</v>
      </c>
      <c r="H44" s="60">
        <f t="shared" si="16"/>
        <v>25008114</v>
      </c>
      <c r="I44" s="60">
        <f t="shared" si="17"/>
        <v>76933351</v>
      </c>
      <c r="J44" s="62">
        <f t="shared" si="18"/>
        <v>144989566</v>
      </c>
      <c r="K44" s="17" t="s">
        <v>42</v>
      </c>
    </row>
    <row r="45" spans="1:11" ht="13.9" x14ac:dyDescent="0.4">
      <c r="A45" s="55" t="s">
        <v>43</v>
      </c>
      <c r="B45" s="56">
        <f t="shared" si="10"/>
        <v>44292660</v>
      </c>
      <c r="C45" s="56">
        <f t="shared" si="11"/>
        <v>8143124</v>
      </c>
      <c r="D45" s="56">
        <f t="shared" si="12"/>
        <v>1404389</v>
      </c>
      <c r="E45" s="56">
        <f t="shared" si="13"/>
        <v>4690324</v>
      </c>
      <c r="F45" s="56">
        <f t="shared" si="14"/>
        <v>4197151</v>
      </c>
      <c r="G45" s="56">
        <f t="shared" si="15"/>
        <v>4924841</v>
      </c>
      <c r="H45" s="56">
        <f t="shared" si="16"/>
        <v>4455808</v>
      </c>
      <c r="I45" s="56">
        <f t="shared" si="17"/>
        <v>15354803</v>
      </c>
      <c r="J45" s="58">
        <f t="shared" si="18"/>
        <v>28937857</v>
      </c>
      <c r="K45" s="17" t="s">
        <v>43</v>
      </c>
    </row>
    <row r="46" spans="1:11" ht="13.9" x14ac:dyDescent="0.4">
      <c r="A46" s="59" t="s">
        <v>44</v>
      </c>
      <c r="B46" s="60">
        <f t="shared" si="10"/>
        <v>291449202</v>
      </c>
      <c r="C46" s="60">
        <f t="shared" si="11"/>
        <v>66522917</v>
      </c>
      <c r="D46" s="60">
        <f t="shared" si="12"/>
        <v>6777310</v>
      </c>
      <c r="E46" s="60">
        <f t="shared" si="13"/>
        <v>35049558</v>
      </c>
      <c r="F46" s="60">
        <f t="shared" si="14"/>
        <v>31364202</v>
      </c>
      <c r="G46" s="60">
        <f t="shared" si="15"/>
        <v>36802036</v>
      </c>
      <c r="H46" s="60">
        <f t="shared" si="16"/>
        <v>33297080</v>
      </c>
      <c r="I46" s="60">
        <f t="shared" si="17"/>
        <v>101035820</v>
      </c>
      <c r="J46" s="62">
        <f t="shared" si="18"/>
        <v>190413382</v>
      </c>
      <c r="K46" s="17" t="s">
        <v>44</v>
      </c>
    </row>
    <row r="47" spans="1:11" ht="13.9" x14ac:dyDescent="0.4">
      <c r="A47" s="55" t="s">
        <v>45</v>
      </c>
      <c r="B47" s="56">
        <f t="shared" si="10"/>
        <v>1267878259</v>
      </c>
      <c r="C47" s="56">
        <f t="shared" si="11"/>
        <v>252423854</v>
      </c>
      <c r="D47" s="56">
        <f t="shared" si="12"/>
        <v>24953042</v>
      </c>
      <c r="E47" s="56">
        <f t="shared" si="13"/>
        <v>144818543</v>
      </c>
      <c r="F47" s="56">
        <f t="shared" si="14"/>
        <v>129591308</v>
      </c>
      <c r="G47" s="56">
        <f t="shared" si="15"/>
        <v>152059470</v>
      </c>
      <c r="H47" s="56">
        <f t="shared" si="16"/>
        <v>137577616</v>
      </c>
      <c r="I47" s="57">
        <f t="shared" si="17"/>
        <v>439531549</v>
      </c>
      <c r="J47" s="58">
        <f t="shared" si="18"/>
        <v>828346710</v>
      </c>
      <c r="K47" s="17" t="s">
        <v>45</v>
      </c>
    </row>
    <row r="48" spans="1:11" ht="13.9" x14ac:dyDescent="0.4">
      <c r="A48" s="59" t="s">
        <v>46</v>
      </c>
      <c r="B48" s="60">
        <f t="shared" si="10"/>
        <v>144810233</v>
      </c>
      <c r="C48" s="60">
        <f t="shared" si="11"/>
        <v>28382690</v>
      </c>
      <c r="D48" s="60">
        <f t="shared" si="12"/>
        <v>2912594</v>
      </c>
      <c r="E48" s="60">
        <f t="shared" si="13"/>
        <v>16030644</v>
      </c>
      <c r="F48" s="60">
        <f t="shared" si="14"/>
        <v>14345070</v>
      </c>
      <c r="G48" s="60">
        <f t="shared" si="15"/>
        <v>16832176</v>
      </c>
      <c r="H48" s="60">
        <f t="shared" si="16"/>
        <v>15229112</v>
      </c>
      <c r="I48" s="61">
        <f t="shared" si="17"/>
        <v>50200929</v>
      </c>
      <c r="J48" s="62">
        <f t="shared" si="18"/>
        <v>94609304</v>
      </c>
      <c r="K48" s="17" t="s">
        <v>46</v>
      </c>
    </row>
    <row r="49" spans="1:11" ht="13.9" x14ac:dyDescent="0.4">
      <c r="A49" s="55" t="s">
        <v>47</v>
      </c>
      <c r="B49" s="56">
        <f t="shared" si="10"/>
        <v>38386720</v>
      </c>
      <c r="C49" s="56">
        <f t="shared" si="11"/>
        <v>6590941</v>
      </c>
      <c r="D49" s="56">
        <f t="shared" si="12"/>
        <v>1404389</v>
      </c>
      <c r="E49" s="56">
        <f t="shared" si="13"/>
        <v>3796289</v>
      </c>
      <c r="F49" s="56">
        <f t="shared" si="14"/>
        <v>3397121</v>
      </c>
      <c r="G49" s="56">
        <f t="shared" si="15"/>
        <v>3986104</v>
      </c>
      <c r="H49" s="56">
        <f t="shared" si="16"/>
        <v>3606475</v>
      </c>
      <c r="I49" s="57">
        <f t="shared" si="17"/>
        <v>13307409</v>
      </c>
      <c r="J49" s="58">
        <f t="shared" si="18"/>
        <v>25079311</v>
      </c>
      <c r="K49" s="17" t="s">
        <v>47</v>
      </c>
    </row>
    <row r="50" spans="1:11" ht="13.9" x14ac:dyDescent="0.4">
      <c r="A50" s="59" t="s">
        <v>48</v>
      </c>
      <c r="B50" s="60">
        <f t="shared" si="10"/>
        <v>348531988</v>
      </c>
      <c r="C50" s="60">
        <f t="shared" si="11"/>
        <v>79717764</v>
      </c>
      <c r="D50" s="60">
        <f t="shared" si="12"/>
        <v>7816848</v>
      </c>
      <c r="E50" s="60">
        <f t="shared" si="13"/>
        <v>42330514</v>
      </c>
      <c r="F50" s="60">
        <f t="shared" si="14"/>
        <v>37879588</v>
      </c>
      <c r="G50" s="60">
        <f t="shared" si="15"/>
        <v>44447040</v>
      </c>
      <c r="H50" s="60">
        <f t="shared" si="16"/>
        <v>40213988</v>
      </c>
      <c r="I50" s="61">
        <f t="shared" si="17"/>
        <v>120824538</v>
      </c>
      <c r="J50" s="62">
        <f t="shared" si="18"/>
        <v>227707450</v>
      </c>
      <c r="K50" s="17" t="s">
        <v>48</v>
      </c>
    </row>
    <row r="51" spans="1:11" ht="13.9" x14ac:dyDescent="0.4">
      <c r="A51" s="55" t="s">
        <v>49</v>
      </c>
      <c r="B51" s="56">
        <f t="shared" si="10"/>
        <v>276964768</v>
      </c>
      <c r="C51" s="56">
        <f t="shared" si="11"/>
        <v>59195558</v>
      </c>
      <c r="D51" s="56">
        <f t="shared" si="12"/>
        <v>5785449</v>
      </c>
      <c r="E51" s="56">
        <f t="shared" si="13"/>
        <v>33265091</v>
      </c>
      <c r="F51" s="56">
        <f t="shared" si="14"/>
        <v>29767366</v>
      </c>
      <c r="G51" s="56">
        <f t="shared" si="15"/>
        <v>34928345</v>
      </c>
      <c r="H51" s="56">
        <f t="shared" si="16"/>
        <v>31601836</v>
      </c>
      <c r="I51" s="57">
        <f t="shared" si="17"/>
        <v>96014545</v>
      </c>
      <c r="J51" s="58">
        <f t="shared" si="18"/>
        <v>180950223</v>
      </c>
      <c r="K51" s="17" t="s">
        <v>49</v>
      </c>
    </row>
    <row r="52" spans="1:11" ht="13.9" x14ac:dyDescent="0.4">
      <c r="A52" s="59" t="s">
        <v>50</v>
      </c>
      <c r="B52" s="60">
        <f t="shared" si="10"/>
        <v>91518614</v>
      </c>
      <c r="C52" s="60">
        <f t="shared" si="11"/>
        <v>22891709</v>
      </c>
      <c r="D52" s="60">
        <f t="shared" si="12"/>
        <v>2451883</v>
      </c>
      <c r="E52" s="60">
        <f t="shared" si="13"/>
        <v>11413891</v>
      </c>
      <c r="F52" s="60">
        <f t="shared" si="14"/>
        <v>10213755</v>
      </c>
      <c r="G52" s="60">
        <f t="shared" si="15"/>
        <v>11984586</v>
      </c>
      <c r="H52" s="60">
        <f t="shared" si="16"/>
        <v>10843196</v>
      </c>
      <c r="I52" s="61">
        <f t="shared" si="17"/>
        <v>31726483</v>
      </c>
      <c r="J52" s="62">
        <f t="shared" si="18"/>
        <v>59792131</v>
      </c>
      <c r="K52" s="17" t="s">
        <v>50</v>
      </c>
    </row>
    <row r="53" spans="1:11" ht="13.9" x14ac:dyDescent="0.4">
      <c r="A53" s="55" t="s">
        <v>51</v>
      </c>
      <c r="B53" s="56">
        <f t="shared" si="10"/>
        <v>251633192</v>
      </c>
      <c r="C53" s="56">
        <f t="shared" si="11"/>
        <v>60304853</v>
      </c>
      <c r="D53" s="56">
        <f t="shared" si="12"/>
        <v>5968340</v>
      </c>
      <c r="E53" s="56">
        <f t="shared" si="13"/>
        <v>31287834</v>
      </c>
      <c r="F53" s="56">
        <f t="shared" si="14"/>
        <v>27998012</v>
      </c>
      <c r="G53" s="56">
        <f t="shared" si="15"/>
        <v>32852226</v>
      </c>
      <c r="H53" s="56">
        <f t="shared" si="16"/>
        <v>29723442</v>
      </c>
      <c r="I53" s="57">
        <f>ROUND($M$9*B53,0)</f>
        <v>87232923</v>
      </c>
      <c r="J53" s="58">
        <f t="shared" si="18"/>
        <v>164400269</v>
      </c>
      <c r="K53" s="17" t="s">
        <v>51</v>
      </c>
    </row>
    <row r="54" spans="1:11" ht="13.9" x14ac:dyDescent="0.4">
      <c r="A54" s="59" t="s">
        <v>52</v>
      </c>
      <c r="B54" s="60">
        <f t="shared" si="10"/>
        <v>40271475</v>
      </c>
      <c r="C54" s="60">
        <f t="shared" si="11"/>
        <v>6914550</v>
      </c>
      <c r="D54" s="60">
        <f t="shared" si="12"/>
        <v>1404389</v>
      </c>
      <c r="E54" s="60">
        <f t="shared" si="13"/>
        <v>3982684</v>
      </c>
      <c r="F54" s="60">
        <f t="shared" si="14"/>
        <v>3563916</v>
      </c>
      <c r="G54" s="60">
        <f t="shared" si="15"/>
        <v>4181818</v>
      </c>
      <c r="H54" s="60">
        <f t="shared" si="16"/>
        <v>3783549</v>
      </c>
      <c r="I54" s="61">
        <f t="shared" si="17"/>
        <v>13960791</v>
      </c>
      <c r="J54" s="62">
        <f t="shared" si="18"/>
        <v>26310684</v>
      </c>
      <c r="K54" s="17" t="s">
        <v>52</v>
      </c>
    </row>
    <row r="55" spans="1:11" ht="13.9" x14ac:dyDescent="0.4">
      <c r="A55" s="55" t="s">
        <v>10</v>
      </c>
      <c r="B55" s="56">
        <f t="shared" si="10"/>
        <v>24652797</v>
      </c>
      <c r="C55" s="56">
        <f t="shared" si="11"/>
        <v>4232848</v>
      </c>
      <c r="D55" s="56">
        <f t="shared" si="12"/>
        <v>1404389</v>
      </c>
      <c r="E55" s="56">
        <f t="shared" si="13"/>
        <v>2438060</v>
      </c>
      <c r="F55" s="56">
        <f t="shared" si="14"/>
        <v>2181706</v>
      </c>
      <c r="G55" s="56">
        <f t="shared" si="15"/>
        <v>2559963</v>
      </c>
      <c r="H55" s="56">
        <f t="shared" si="16"/>
        <v>2316157</v>
      </c>
      <c r="I55" s="57">
        <f t="shared" si="17"/>
        <v>8546311</v>
      </c>
      <c r="J55" s="58">
        <f t="shared" si="18"/>
        <v>16106486</v>
      </c>
      <c r="K55" s="17" t="s">
        <v>10</v>
      </c>
    </row>
    <row r="56" spans="1:11" ht="13.9" x14ac:dyDescent="0.4">
      <c r="A56" s="59" t="s">
        <v>56</v>
      </c>
      <c r="B56" s="60">
        <f t="shared" si="10"/>
        <v>150764448</v>
      </c>
      <c r="C56" s="60">
        <f t="shared" si="11"/>
        <v>28086566</v>
      </c>
      <c r="D56" s="60">
        <f t="shared" si="12"/>
        <v>2490052</v>
      </c>
      <c r="E56" s="60">
        <f t="shared" si="13"/>
        <v>16177467</v>
      </c>
      <c r="F56" s="60">
        <f t="shared" si="14"/>
        <v>14476455</v>
      </c>
      <c r="G56" s="60">
        <f t="shared" si="15"/>
        <v>16986340</v>
      </c>
      <c r="H56" s="60">
        <f t="shared" si="16"/>
        <v>15368593</v>
      </c>
      <c r="I56" s="61">
        <f t="shared" si="17"/>
        <v>52265059</v>
      </c>
      <c r="J56" s="62">
        <f t="shared" si="18"/>
        <v>98499389</v>
      </c>
      <c r="K56" s="17" t="s">
        <v>56</v>
      </c>
    </row>
    <row r="57" spans="1:11" ht="13.9" x14ac:dyDescent="0.4">
      <c r="A57" s="55" t="s">
        <v>436</v>
      </c>
      <c r="B57" s="56">
        <f t="shared" si="10"/>
        <v>107481801</v>
      </c>
      <c r="C57" s="57" t="s">
        <v>94</v>
      </c>
      <c r="D57" s="56">
        <f t="shared" si="12"/>
        <v>4299272</v>
      </c>
      <c r="E57" s="57"/>
      <c r="F57" s="57"/>
      <c r="G57" s="57"/>
      <c r="H57" s="57"/>
      <c r="I57" s="57">
        <f>B57</f>
        <v>107481801</v>
      </c>
      <c r="J57" s="58">
        <f t="shared" si="18"/>
        <v>0</v>
      </c>
      <c r="K57" s="17" t="s">
        <v>59</v>
      </c>
    </row>
    <row r="58" spans="1:11" ht="13.9" x14ac:dyDescent="0.4">
      <c r="A58" s="63" t="s">
        <v>94</v>
      </c>
      <c r="B58" s="64"/>
      <c r="C58" s="64" t="s">
        <v>94</v>
      </c>
      <c r="D58" s="64"/>
      <c r="E58" s="65"/>
      <c r="F58" s="65"/>
      <c r="G58" s="65"/>
      <c r="H58" s="65"/>
      <c r="I58" s="66" t="s">
        <v>94</v>
      </c>
      <c r="J58" s="67" t="s">
        <v>94</v>
      </c>
      <c r="K58" s="17" t="s">
        <v>94</v>
      </c>
    </row>
    <row r="59" spans="1:11" ht="13.9" x14ac:dyDescent="0.4">
      <c r="A59" s="59" t="s">
        <v>53</v>
      </c>
      <c r="B59" s="60">
        <f>ROUND(VLOOKUP(K59,fund_table,MATCH($M$10,year_row,0),0),0)</f>
        <v>7976702</v>
      </c>
      <c r="C59" s="60" t="s">
        <v>94</v>
      </c>
      <c r="D59" s="60">
        <f>ROUND(VLOOKUP(K59,admin,MATCH($M$10,admin_year,0),0),0)</f>
        <v>398835</v>
      </c>
      <c r="E59" s="60"/>
      <c r="F59" s="60"/>
      <c r="G59" s="60"/>
      <c r="H59" s="60"/>
      <c r="I59" s="61">
        <f>ROUND($M$9*B59,0)</f>
        <v>2765259</v>
      </c>
      <c r="J59" s="62">
        <f>B59-I59</f>
        <v>5211443</v>
      </c>
      <c r="K59" s="17" t="s">
        <v>53</v>
      </c>
    </row>
    <row r="60" spans="1:11" ht="13.9" x14ac:dyDescent="0.4">
      <c r="A60" s="55" t="s">
        <v>54</v>
      </c>
      <c r="B60" s="56">
        <f>ROUND(VLOOKUP(K60,fund_table,MATCH($M$10,year_row,0),0),0)</f>
        <v>19146401</v>
      </c>
      <c r="C60" s="57" t="s">
        <v>94</v>
      </c>
      <c r="D60" s="56">
        <f>ROUND(VLOOKUP(K60,admin,MATCH($M$10,admin_year,0),0),0)</f>
        <v>957320</v>
      </c>
      <c r="E60" s="57"/>
      <c r="F60" s="57"/>
      <c r="G60" s="57"/>
      <c r="H60" s="57"/>
      <c r="I60" s="57">
        <f>ROUND($M$9*B60,0)</f>
        <v>6637425</v>
      </c>
      <c r="J60" s="58">
        <f>B60-I60</f>
        <v>12508976</v>
      </c>
      <c r="K60" s="17" t="s">
        <v>54</v>
      </c>
    </row>
    <row r="61" spans="1:11" ht="13.9" x14ac:dyDescent="0.4">
      <c r="A61" s="59" t="s">
        <v>98</v>
      </c>
      <c r="B61" s="60">
        <f>ROUND(VLOOKUP(K61,fund_table,MATCH($M$10,year_row,0),0),0)</f>
        <v>6136815</v>
      </c>
      <c r="C61" s="60" t="s">
        <v>94</v>
      </c>
      <c r="D61" s="60">
        <f>ROUND(VLOOKUP(K61,admin,MATCH($M$10,admin_year,0),0),0)</f>
        <v>306841</v>
      </c>
      <c r="E61" s="60"/>
      <c r="F61" s="60"/>
      <c r="G61" s="60"/>
      <c r="H61" s="60"/>
      <c r="I61" s="61">
        <f>ROUND($M$9*B61,0)</f>
        <v>2127431</v>
      </c>
      <c r="J61" s="62">
        <f>B61-I61</f>
        <v>4009384</v>
      </c>
      <c r="K61" s="17" t="s">
        <v>55</v>
      </c>
    </row>
    <row r="62" spans="1:11" ht="13.9" x14ac:dyDescent="0.4">
      <c r="A62" s="55" t="s">
        <v>57</v>
      </c>
      <c r="B62" s="56">
        <f>ROUND(VLOOKUP(K62,fund_table,MATCH($M$10,year_row,0),0),0)</f>
        <v>7750254</v>
      </c>
      <c r="C62" s="56">
        <f>ROUND(VLOOKUP(K62,fund_table,MATCH(1999,year_row,0),0)*0.75,0)</f>
        <v>6639005</v>
      </c>
      <c r="D62" s="56">
        <f>ROUND(VLOOKUP(K62,admin,MATCH($M$10,admin_year,0),0),0)</f>
        <v>387513</v>
      </c>
      <c r="E62" s="60">
        <f>ROUND(VLOOKUP(K62,other,MATCH($M$10&amp;" RPHA",other_label,0),0),0)</f>
        <v>1406704</v>
      </c>
      <c r="F62" s="60">
        <f>ROUND(VLOOKUP(K62,other,MATCH($M$10&amp;" HA",other_label,0),0),0)</f>
        <v>1258793</v>
      </c>
      <c r="G62" s="60">
        <f>ROUND(VLOOKUP(K62,other,MATCH($M$10&amp;" RPLA",other_label,0),0),0)</f>
        <v>1477039</v>
      </c>
      <c r="H62" s="60">
        <f>ROUND(VLOOKUP(K62,other,MATCH($M$10&amp;" LA",other_label,0),0),0)</f>
        <v>1336369</v>
      </c>
      <c r="I62" s="57">
        <f>ROUND($M$9*B62,0)</f>
        <v>2686757</v>
      </c>
      <c r="J62" s="58">
        <f>B62-I62</f>
        <v>5063497</v>
      </c>
      <c r="K62" s="17" t="s">
        <v>57</v>
      </c>
    </row>
    <row r="63" spans="1:11" ht="13.9" x14ac:dyDescent="0.4">
      <c r="A63" s="59" t="s">
        <v>437</v>
      </c>
      <c r="B63" s="60">
        <f>ROUND(VLOOKUP(K63,fund_table,MATCH($M$10,year_row,0),0),0)</f>
        <v>7895168</v>
      </c>
      <c r="C63" s="60" t="s">
        <v>94</v>
      </c>
      <c r="D63" s="60"/>
      <c r="E63" s="60"/>
      <c r="F63" s="60"/>
      <c r="G63" s="60"/>
      <c r="H63" s="60"/>
      <c r="I63" s="61">
        <f>ROUND($M$9*B63,0)+3</f>
        <v>2736997</v>
      </c>
      <c r="J63" s="62">
        <f>B63-I63</f>
        <v>5158171</v>
      </c>
      <c r="K63" s="17" t="s">
        <v>58</v>
      </c>
    </row>
    <row r="64" spans="1:11" ht="13.9" x14ac:dyDescent="0.4">
      <c r="A64" s="63"/>
      <c r="B64" s="64"/>
      <c r="C64" s="64"/>
      <c r="D64" s="64"/>
      <c r="E64" s="65"/>
      <c r="F64" s="65"/>
      <c r="G64" s="65"/>
      <c r="H64" s="65"/>
      <c r="I64" s="66"/>
      <c r="J64" s="67"/>
      <c r="K64" s="17" t="s">
        <v>94</v>
      </c>
    </row>
    <row r="65" spans="1:11" ht="13.9" x14ac:dyDescent="0.4">
      <c r="A65" s="59" t="s">
        <v>60</v>
      </c>
      <c r="B65" s="60">
        <f>ROUND(VLOOKUP(K65,fund_table,MATCH($M$10,year_row,0),0),0)</f>
        <v>24500000</v>
      </c>
      <c r="C65" s="60" t="s">
        <v>94</v>
      </c>
      <c r="D65" s="60" t="s">
        <v>94</v>
      </c>
      <c r="E65" s="60" t="s">
        <v>94</v>
      </c>
      <c r="F65" s="60"/>
      <c r="G65" s="60"/>
      <c r="H65" s="60"/>
      <c r="I65" s="61">
        <f>B65</f>
        <v>24500000</v>
      </c>
      <c r="J65" s="62">
        <f>B65-I65</f>
        <v>0</v>
      </c>
      <c r="K65" s="17" t="s">
        <v>60</v>
      </c>
    </row>
    <row r="66" spans="1:11" ht="14.25" thickBot="1" x14ac:dyDescent="0.45">
      <c r="A66" s="121" t="s">
        <v>61</v>
      </c>
      <c r="B66" s="56">
        <f>ROUND(VLOOKUP(K66,fund_table,MATCH($M$10,year_row,0),0),0)</f>
        <v>0</v>
      </c>
      <c r="C66" s="56"/>
      <c r="D66" s="56"/>
      <c r="E66" s="56"/>
      <c r="F66" s="56"/>
      <c r="G66" s="56"/>
      <c r="H66" s="56"/>
      <c r="I66" s="57">
        <f>ROUND($M$9*B66,0)</f>
        <v>0</v>
      </c>
      <c r="J66" s="122">
        <f>B66-I66</f>
        <v>0</v>
      </c>
      <c r="K66" s="17" t="s">
        <v>61</v>
      </c>
    </row>
    <row r="67" spans="1:11" ht="21" customHeight="1" thickTop="1" x14ac:dyDescent="0.35">
      <c r="A67" s="292" t="s">
        <v>438</v>
      </c>
      <c r="B67" s="293"/>
      <c r="C67" s="293"/>
      <c r="D67" s="293"/>
      <c r="E67" s="293"/>
      <c r="F67" s="293"/>
      <c r="G67" s="293"/>
      <c r="H67" s="293"/>
      <c r="I67" s="293"/>
      <c r="J67" s="294"/>
    </row>
    <row r="68" spans="1:11" ht="13.15" thickBot="1" x14ac:dyDescent="0.4">
      <c r="A68" s="295"/>
      <c r="B68" s="296"/>
      <c r="C68" s="296"/>
      <c r="D68" s="296"/>
      <c r="E68" s="296"/>
      <c r="F68" s="296"/>
      <c r="G68" s="296"/>
      <c r="H68" s="296"/>
      <c r="I68" s="296"/>
      <c r="J68" s="297"/>
    </row>
    <row r="69" spans="1:11" ht="13.9" thickTop="1" x14ac:dyDescent="0.35">
      <c r="A69" s="86"/>
      <c r="B69" s="86"/>
      <c r="C69" s="86"/>
      <c r="D69" s="86"/>
      <c r="E69" s="86"/>
      <c r="F69" s="86"/>
      <c r="G69" s="86"/>
      <c r="H69" s="86"/>
      <c r="I69" s="86"/>
      <c r="J69" s="86"/>
    </row>
    <row r="70" spans="1:11" ht="13.5" x14ac:dyDescent="0.35">
      <c r="A70" s="86"/>
      <c r="B70" s="86"/>
      <c r="C70" s="86"/>
      <c r="D70" s="86"/>
      <c r="E70" s="86"/>
      <c r="F70" s="86"/>
      <c r="G70" s="86"/>
      <c r="H70" s="86"/>
      <c r="I70" s="86"/>
      <c r="J70" s="86"/>
    </row>
    <row r="71" spans="1:11" ht="13.9" thickBot="1" x14ac:dyDescent="0.4">
      <c r="A71" s="86"/>
      <c r="B71" s="86"/>
      <c r="C71" s="86"/>
      <c r="D71" s="86"/>
      <c r="E71" s="86"/>
      <c r="F71" s="86"/>
      <c r="G71" s="86"/>
      <c r="H71" s="86"/>
      <c r="I71" s="86"/>
      <c r="J71" s="86"/>
    </row>
    <row r="72" spans="1:11" ht="22.15" x14ac:dyDescent="0.55000000000000004">
      <c r="A72" s="96" t="s">
        <v>439</v>
      </c>
      <c r="B72" s="87"/>
      <c r="C72" s="88"/>
      <c r="D72" s="88"/>
      <c r="E72" s="88"/>
      <c r="F72" s="88"/>
      <c r="G72" s="88"/>
      <c r="H72" s="89"/>
      <c r="I72" s="86"/>
      <c r="J72" s="86"/>
    </row>
    <row r="73" spans="1:11" ht="13.5" x14ac:dyDescent="0.35">
      <c r="A73" s="86"/>
      <c r="B73" s="84"/>
      <c r="C73" s="79"/>
      <c r="D73" s="79"/>
      <c r="E73" s="79"/>
      <c r="F73" s="79"/>
      <c r="G73" s="79"/>
      <c r="H73" s="85"/>
      <c r="I73" s="86"/>
      <c r="J73" s="86"/>
    </row>
    <row r="74" spans="1:11" ht="13.5" x14ac:dyDescent="0.35">
      <c r="A74" s="79"/>
      <c r="B74" s="84"/>
      <c r="C74" s="79"/>
      <c r="D74" s="79"/>
      <c r="E74" s="79"/>
      <c r="F74" s="79"/>
      <c r="G74" s="79"/>
      <c r="H74" s="85"/>
      <c r="I74" s="79"/>
      <c r="J74" s="86"/>
    </row>
    <row r="75" spans="1:11" ht="13.5" x14ac:dyDescent="0.35">
      <c r="A75" s="86"/>
      <c r="B75" s="84"/>
      <c r="C75" s="79"/>
      <c r="D75" s="79"/>
      <c r="E75" s="79"/>
      <c r="F75" s="79"/>
      <c r="G75" s="79"/>
      <c r="H75" s="85"/>
      <c r="I75" s="86"/>
      <c r="J75" s="86"/>
    </row>
    <row r="76" spans="1:11" x14ac:dyDescent="0.35">
      <c r="A76" s="79"/>
      <c r="B76" s="84"/>
      <c r="C76" s="79"/>
      <c r="D76" s="79"/>
      <c r="E76" s="79"/>
      <c r="F76" s="79"/>
      <c r="G76" s="79"/>
      <c r="H76" s="85"/>
      <c r="I76" s="79"/>
      <c r="J76" s="79"/>
    </row>
    <row r="77" spans="1:11" ht="22.5" thickBot="1" x14ac:dyDescent="0.6">
      <c r="A77" s="79"/>
      <c r="B77" s="94" t="s">
        <v>440</v>
      </c>
      <c r="C77" s="90"/>
      <c r="D77" s="90"/>
      <c r="E77" s="90"/>
      <c r="F77" s="95" t="s">
        <v>441</v>
      </c>
      <c r="G77" s="90"/>
      <c r="H77" s="91"/>
      <c r="I77" s="79"/>
      <c r="J77" s="79"/>
    </row>
    <row r="78" spans="1:11" ht="13.15" thickBot="1" x14ac:dyDescent="0.4">
      <c r="A78" s="79"/>
      <c r="B78" s="79"/>
      <c r="C78" s="79"/>
      <c r="D78" s="79"/>
      <c r="E78" s="79"/>
      <c r="F78" s="79"/>
      <c r="G78" s="79"/>
      <c r="H78" s="79"/>
      <c r="I78" s="79"/>
      <c r="J78" s="79"/>
    </row>
    <row r="79" spans="1:11" ht="13.5" x14ac:dyDescent="0.35">
      <c r="A79" s="79"/>
      <c r="B79" s="87"/>
      <c r="C79" s="88"/>
      <c r="D79" s="88"/>
      <c r="E79" s="88"/>
      <c r="F79" s="88"/>
      <c r="G79" s="88"/>
      <c r="H79" s="89"/>
      <c r="I79" s="79"/>
      <c r="J79" s="79"/>
    </row>
    <row r="80" spans="1:11" x14ac:dyDescent="0.35">
      <c r="A80" s="79"/>
      <c r="B80" s="84"/>
      <c r="C80" s="79"/>
      <c r="D80" s="79"/>
      <c r="E80" s="79"/>
      <c r="F80" s="79"/>
      <c r="G80" s="79"/>
      <c r="H80" s="85"/>
      <c r="I80" s="79"/>
      <c r="J80" s="79"/>
    </row>
    <row r="81" spans="1:10" x14ac:dyDescent="0.35">
      <c r="A81" s="79"/>
      <c r="B81" s="84"/>
      <c r="C81" s="79"/>
      <c r="D81" s="79"/>
      <c r="E81" s="79"/>
      <c r="F81" s="79"/>
      <c r="G81" s="79"/>
      <c r="H81" s="85"/>
      <c r="I81" s="79"/>
      <c r="J81" s="79"/>
    </row>
    <row r="82" spans="1:10" x14ac:dyDescent="0.35">
      <c r="A82" s="79"/>
      <c r="B82" s="84"/>
      <c r="C82" s="79"/>
      <c r="D82" s="79"/>
      <c r="E82" s="79"/>
      <c r="F82" s="79"/>
      <c r="G82" s="79"/>
      <c r="H82" s="85"/>
      <c r="I82" s="79"/>
      <c r="J82" s="79"/>
    </row>
    <row r="83" spans="1:10" x14ac:dyDescent="0.35">
      <c r="A83" s="79"/>
      <c r="B83" s="84"/>
      <c r="C83" s="79"/>
      <c r="D83" s="79"/>
      <c r="E83" s="79"/>
      <c r="F83" s="79"/>
      <c r="G83" s="79"/>
      <c r="H83" s="85"/>
      <c r="I83" s="79"/>
      <c r="J83" s="79"/>
    </row>
    <row r="84" spans="1:10" ht="22.5" thickBot="1" x14ac:dyDescent="0.6">
      <c r="A84" s="79"/>
      <c r="B84" s="94" t="s">
        <v>444</v>
      </c>
      <c r="C84" s="90"/>
      <c r="D84" s="90"/>
      <c r="E84" s="90"/>
      <c r="F84" s="95" t="s">
        <v>441</v>
      </c>
      <c r="G84" s="90"/>
      <c r="H84" s="91"/>
      <c r="I84" s="79"/>
      <c r="J84" s="79"/>
    </row>
    <row r="85" spans="1:10" ht="13.15" thickBot="1" x14ac:dyDescent="0.4">
      <c r="A85" s="79"/>
      <c r="B85" s="79"/>
      <c r="C85" s="79"/>
      <c r="D85" s="79"/>
      <c r="E85" s="79"/>
      <c r="F85" s="79"/>
      <c r="G85" s="79"/>
      <c r="H85" s="79"/>
      <c r="I85" s="79"/>
      <c r="J85" s="79"/>
    </row>
    <row r="86" spans="1:10" ht="13.5" x14ac:dyDescent="0.35">
      <c r="A86" s="79"/>
      <c r="B86" s="87"/>
      <c r="C86" s="88"/>
      <c r="D86" s="88"/>
      <c r="E86" s="88"/>
      <c r="F86" s="88"/>
      <c r="G86" s="88"/>
      <c r="H86" s="89"/>
      <c r="I86" s="79"/>
      <c r="J86" s="79"/>
    </row>
    <row r="87" spans="1:10" x14ac:dyDescent="0.35">
      <c r="A87" s="79"/>
      <c r="B87" s="84"/>
      <c r="C87" s="79"/>
      <c r="D87" s="79"/>
      <c r="E87" s="79"/>
      <c r="F87" s="79"/>
      <c r="G87" s="79"/>
      <c r="H87" s="85"/>
      <c r="I87" s="79"/>
      <c r="J87" s="79"/>
    </row>
    <row r="88" spans="1:10" x14ac:dyDescent="0.35">
      <c r="A88" s="79"/>
      <c r="B88" s="84"/>
      <c r="C88" s="79"/>
      <c r="D88" s="79"/>
      <c r="E88" s="79"/>
      <c r="F88" s="79"/>
      <c r="G88" s="79"/>
      <c r="H88" s="85"/>
      <c r="I88" s="79"/>
      <c r="J88" s="79"/>
    </row>
    <row r="89" spans="1:10" x14ac:dyDescent="0.35">
      <c r="A89" s="79"/>
      <c r="B89" s="84"/>
      <c r="C89" s="79"/>
      <c r="D89" s="79"/>
      <c r="E89" s="79"/>
      <c r="F89" s="79"/>
      <c r="G89" s="79"/>
      <c r="H89" s="85"/>
      <c r="I89" s="79"/>
      <c r="J89" s="79"/>
    </row>
    <row r="90" spans="1:10" x14ac:dyDescent="0.35">
      <c r="A90" s="79"/>
      <c r="B90" s="84"/>
      <c r="C90" s="79"/>
      <c r="D90" s="79"/>
      <c r="E90" s="79"/>
      <c r="F90" s="79"/>
      <c r="G90" s="79"/>
      <c r="H90" s="85"/>
      <c r="I90" s="79"/>
      <c r="J90" s="79"/>
    </row>
    <row r="91" spans="1:10" ht="22.5" thickBot="1" x14ac:dyDescent="0.6">
      <c r="A91" s="79"/>
      <c r="B91" s="94" t="s">
        <v>445</v>
      </c>
      <c r="C91" s="90"/>
      <c r="D91" s="90"/>
      <c r="E91" s="90"/>
      <c r="F91" s="95" t="s">
        <v>441</v>
      </c>
      <c r="G91" s="90"/>
      <c r="H91" s="91"/>
      <c r="I91" s="79"/>
      <c r="J91" s="79"/>
    </row>
    <row r="92" spans="1:10" ht="13.15" thickBot="1" x14ac:dyDescent="0.4">
      <c r="A92" s="79"/>
      <c r="B92" s="79"/>
      <c r="C92" s="79"/>
      <c r="D92" s="79"/>
      <c r="E92" s="79"/>
      <c r="F92" s="79"/>
      <c r="G92" s="79"/>
      <c r="H92" s="79"/>
      <c r="I92" s="79"/>
      <c r="J92" s="79"/>
    </row>
    <row r="93" spans="1:10" ht="13.5" x14ac:dyDescent="0.35">
      <c r="A93" s="79"/>
      <c r="B93" s="87"/>
      <c r="C93" s="88"/>
      <c r="D93" s="88"/>
      <c r="E93" s="88"/>
      <c r="F93" s="88"/>
      <c r="G93" s="88"/>
      <c r="H93" s="89"/>
      <c r="I93" s="79"/>
      <c r="J93" s="79"/>
    </row>
    <row r="94" spans="1:10" x14ac:dyDescent="0.35">
      <c r="A94" s="79"/>
      <c r="B94" s="84"/>
      <c r="C94" s="79"/>
      <c r="D94" s="79"/>
      <c r="E94" s="79"/>
      <c r="F94" s="79"/>
      <c r="G94" s="79"/>
      <c r="H94" s="85"/>
      <c r="I94" s="79"/>
      <c r="J94" s="79"/>
    </row>
    <row r="95" spans="1:10" x14ac:dyDescent="0.35">
      <c r="A95" s="79"/>
      <c r="B95" s="84"/>
      <c r="C95" s="79"/>
      <c r="D95" s="79"/>
      <c r="E95" s="79"/>
      <c r="F95" s="79"/>
      <c r="G95" s="79"/>
      <c r="H95" s="85"/>
      <c r="I95" s="79"/>
      <c r="J95" s="79"/>
    </row>
    <row r="96" spans="1:10" x14ac:dyDescent="0.35">
      <c r="A96" s="79"/>
      <c r="B96" s="84"/>
      <c r="C96" s="79"/>
      <c r="D96" s="79"/>
      <c r="E96" s="79"/>
      <c r="F96" s="79"/>
      <c r="G96" s="79"/>
      <c r="H96" s="85"/>
      <c r="I96" s="79"/>
      <c r="J96" s="79"/>
    </row>
    <row r="97" spans="1:10" x14ac:dyDescent="0.35">
      <c r="A97" s="79"/>
      <c r="B97" s="84"/>
      <c r="C97" s="79"/>
      <c r="D97" s="79"/>
      <c r="E97" s="79"/>
      <c r="F97" s="79"/>
      <c r="G97" s="79"/>
      <c r="H97" s="85"/>
      <c r="I97" s="79"/>
      <c r="J97" s="79"/>
    </row>
    <row r="98" spans="1:10" ht="22.5" thickBot="1" x14ac:dyDescent="0.6">
      <c r="A98" s="79"/>
      <c r="B98" s="94" t="s">
        <v>442</v>
      </c>
      <c r="C98" s="90"/>
      <c r="D98" s="90"/>
      <c r="E98" s="90"/>
      <c r="F98" s="95" t="s">
        <v>441</v>
      </c>
      <c r="G98" s="90"/>
      <c r="H98" s="91"/>
      <c r="I98" s="79"/>
      <c r="J98" s="79"/>
    </row>
  </sheetData>
  <mergeCells count="2">
    <mergeCell ref="A1:J1"/>
    <mergeCell ref="A67:J68"/>
  </mergeCells>
  <phoneticPr fontId="0" type="noConversion"/>
  <pageMargins left="0.25" right="0.25" top="0" bottom="0" header="0.3" footer="0.3"/>
  <pageSetup scale="43" orientation="landscape" horizontalDpi="4294967294" verticalDpi="4294967294"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M72"/>
  <sheetViews>
    <sheetView workbookViewId="0">
      <pane xSplit="1" ySplit="1" topLeftCell="X40" activePane="bottomRight" state="frozen"/>
      <selection pane="topRight" activeCell="B1" sqref="B1"/>
      <selection pane="bottomLeft" activeCell="A2" sqref="A2"/>
      <selection pane="bottomRight" activeCell="AM65" sqref="AM65"/>
    </sheetView>
  </sheetViews>
  <sheetFormatPr defaultRowHeight="12.75" x14ac:dyDescent="0.35"/>
  <cols>
    <col min="1" max="1" width="30.265625" bestFit="1" customWidth="1"/>
    <col min="2" max="5" width="17.265625" bestFit="1" customWidth="1"/>
    <col min="6" max="14" width="18.73046875" bestFit="1" customWidth="1"/>
    <col min="15" max="15" width="20.59765625" bestFit="1" customWidth="1"/>
    <col min="16" max="22" width="18.73046875" bestFit="1" customWidth="1"/>
    <col min="23" max="27" width="18.265625" bestFit="1" customWidth="1"/>
    <col min="28" max="28" width="18.265625" style="205" bestFit="1" customWidth="1"/>
    <col min="37" max="37" width="18.265625" customWidth="1"/>
    <col min="39" max="39" width="19.265625" customWidth="1"/>
  </cols>
  <sheetData>
    <row r="1" spans="1:39" ht="15" x14ac:dyDescent="0.4">
      <c r="A1" s="1" t="s">
        <v>67</v>
      </c>
      <c r="B1" s="2">
        <v>1999</v>
      </c>
      <c r="C1" s="2">
        <v>2001</v>
      </c>
      <c r="D1" s="2">
        <v>2002</v>
      </c>
      <c r="E1" s="2">
        <v>2003</v>
      </c>
      <c r="F1" s="2">
        <v>2004</v>
      </c>
      <c r="G1" s="2">
        <v>2005</v>
      </c>
      <c r="H1" s="2">
        <v>2006</v>
      </c>
      <c r="I1" s="2">
        <v>2007</v>
      </c>
      <c r="J1" s="3">
        <v>2008</v>
      </c>
      <c r="K1" s="3">
        <v>2009</v>
      </c>
      <c r="L1" s="3">
        <v>2010</v>
      </c>
      <c r="M1" s="3">
        <v>2011</v>
      </c>
      <c r="N1" s="132">
        <v>2012</v>
      </c>
      <c r="O1" s="144">
        <v>2013</v>
      </c>
      <c r="P1" s="144">
        <v>2014</v>
      </c>
      <c r="Q1" s="144">
        <v>2015</v>
      </c>
      <c r="R1" s="3">
        <v>2016</v>
      </c>
      <c r="S1" s="3">
        <v>2017</v>
      </c>
      <c r="T1" s="3">
        <v>2018</v>
      </c>
      <c r="U1" s="3">
        <v>2019</v>
      </c>
      <c r="V1" s="3">
        <v>2020</v>
      </c>
      <c r="W1" s="3">
        <v>2021</v>
      </c>
      <c r="X1" s="3">
        <v>2022</v>
      </c>
      <c r="Y1" s="3">
        <v>2023</v>
      </c>
      <c r="Z1" s="3">
        <v>2024</v>
      </c>
      <c r="AA1" s="3">
        <v>2025</v>
      </c>
      <c r="AB1" s="209">
        <v>2026</v>
      </c>
    </row>
    <row r="2" spans="1:39" ht="15" x14ac:dyDescent="0.4">
      <c r="A2" s="4" t="s">
        <v>2</v>
      </c>
      <c r="B2" s="5">
        <v>69017922</v>
      </c>
      <c r="C2" s="5">
        <v>100426123</v>
      </c>
      <c r="D2" s="5">
        <v>119960334</v>
      </c>
      <c r="E2" s="5">
        <v>143066181</v>
      </c>
      <c r="F2" s="5">
        <v>160385829</v>
      </c>
      <c r="G2" s="5">
        <v>167864614</v>
      </c>
      <c r="H2" s="5">
        <v>167634539</v>
      </c>
      <c r="I2" s="5">
        <v>170485753</v>
      </c>
      <c r="J2" s="5">
        <v>172827241</v>
      </c>
      <c r="K2" s="151">
        <v>180751150</v>
      </c>
      <c r="L2" s="151">
        <v>180594787</v>
      </c>
      <c r="M2" s="5">
        <v>179981063</v>
      </c>
      <c r="N2" s="155">
        <v>181595874</v>
      </c>
      <c r="O2" s="5">
        <v>172171421</v>
      </c>
      <c r="P2" s="5">
        <v>179202438</v>
      </c>
      <c r="Q2" s="5">
        <v>179553881</v>
      </c>
      <c r="R2" s="151">
        <v>185386570</v>
      </c>
      <c r="S2" s="151">
        <v>186896933</v>
      </c>
      <c r="T2" s="151">
        <v>190495767</v>
      </c>
      <c r="U2" s="151">
        <v>191704256</v>
      </c>
      <c r="V2" s="151">
        <v>197337675</v>
      </c>
      <c r="W2" s="151">
        <v>237741502</v>
      </c>
      <c r="X2" s="151">
        <v>205363901</v>
      </c>
      <c r="Y2" s="151">
        <v>221715771</v>
      </c>
      <c r="Z2" s="151">
        <v>221641371</v>
      </c>
      <c r="AA2" s="151">
        <v>221059640</v>
      </c>
      <c r="AB2" s="210">
        <v>222844923</v>
      </c>
      <c r="AK2" s="210">
        <v>221339586</v>
      </c>
      <c r="AM2" s="8">
        <f>AB2-AK2</f>
        <v>1505337</v>
      </c>
    </row>
    <row r="3" spans="1:39" ht="15" x14ac:dyDescent="0.4">
      <c r="A3" s="4" t="s">
        <v>3</v>
      </c>
      <c r="B3" s="5">
        <v>12247357</v>
      </c>
      <c r="C3" s="5">
        <v>18460830</v>
      </c>
      <c r="D3" s="5">
        <v>22199605</v>
      </c>
      <c r="E3" s="5">
        <v>26501189</v>
      </c>
      <c r="F3" s="5">
        <v>30463423</v>
      </c>
      <c r="G3" s="5">
        <v>32498717</v>
      </c>
      <c r="H3" s="5">
        <v>32451580</v>
      </c>
      <c r="I3" s="5">
        <v>33551635</v>
      </c>
      <c r="J3" s="5">
        <v>34370062</v>
      </c>
      <c r="K3" s="5">
        <v>36229060</v>
      </c>
      <c r="L3" s="5">
        <v>36195499</v>
      </c>
      <c r="M3" s="5">
        <v>36063773</v>
      </c>
      <c r="N3" s="155">
        <v>36476572</v>
      </c>
      <c r="O3" s="5">
        <v>34450025</v>
      </c>
      <c r="P3" s="5">
        <v>36121184</v>
      </c>
      <c r="Q3" s="5">
        <v>36204517</v>
      </c>
      <c r="R3" s="5">
        <v>37587850</v>
      </c>
      <c r="S3" s="5">
        <v>37927670</v>
      </c>
      <c r="T3" s="5">
        <v>38804517</v>
      </c>
      <c r="U3" s="5">
        <v>39092997</v>
      </c>
      <c r="V3" s="5">
        <v>40434479</v>
      </c>
      <c r="W3" s="5">
        <v>49634870</v>
      </c>
      <c r="X3" s="5">
        <v>42433454</v>
      </c>
      <c r="Y3" s="5">
        <v>45286357</v>
      </c>
      <c r="Z3" s="5">
        <v>45313330</v>
      </c>
      <c r="AA3" s="5">
        <v>45228597</v>
      </c>
      <c r="AB3" s="211">
        <v>45682519</v>
      </c>
      <c r="AK3" s="211">
        <v>45324037</v>
      </c>
      <c r="AM3" s="8">
        <f t="shared" ref="AM3:AM62" si="0">AB3-AK3</f>
        <v>358482</v>
      </c>
    </row>
    <row r="4" spans="1:39" ht="15" x14ac:dyDescent="0.4">
      <c r="A4" s="4" t="s">
        <v>4</v>
      </c>
      <c r="B4" s="5">
        <v>61263060</v>
      </c>
      <c r="C4" s="5">
        <v>92343757</v>
      </c>
      <c r="D4" s="5">
        <v>111045656</v>
      </c>
      <c r="E4" s="5">
        <v>132562806</v>
      </c>
      <c r="F4" s="5">
        <v>152382476</v>
      </c>
      <c r="G4" s="5">
        <v>162563312</v>
      </c>
      <c r="H4" s="5">
        <v>162327526</v>
      </c>
      <c r="I4" s="5">
        <v>167830161</v>
      </c>
      <c r="J4" s="5">
        <v>172908742</v>
      </c>
      <c r="K4" s="5">
        <v>184310869</v>
      </c>
      <c r="L4" s="5">
        <v>184138672</v>
      </c>
      <c r="M4" s="5">
        <v>183462799</v>
      </c>
      <c r="N4" s="155">
        <v>188056142</v>
      </c>
      <c r="O4" s="5">
        <v>177430055</v>
      </c>
      <c r="P4" s="5">
        <v>188142357</v>
      </c>
      <c r="Q4" s="5">
        <v>189436817</v>
      </c>
      <c r="R4" s="5">
        <v>199115847</v>
      </c>
      <c r="S4" s="5">
        <v>203992020</v>
      </c>
      <c r="T4" s="5">
        <v>211325866</v>
      </c>
      <c r="U4" s="5">
        <v>215703278</v>
      </c>
      <c r="V4" s="5">
        <v>225997627</v>
      </c>
      <c r="W4" s="5">
        <v>278357322</v>
      </c>
      <c r="X4" s="5">
        <v>236823175</v>
      </c>
      <c r="Y4" s="5">
        <v>250391123</v>
      </c>
      <c r="Z4" s="5">
        <v>250457071</v>
      </c>
      <c r="AA4" s="5">
        <v>249608658</v>
      </c>
      <c r="AB4" s="211">
        <v>255353183</v>
      </c>
      <c r="AK4" s="211">
        <v>251427970</v>
      </c>
      <c r="AM4" s="8">
        <f t="shared" si="0"/>
        <v>3925213</v>
      </c>
    </row>
    <row r="5" spans="1:39" ht="15" x14ac:dyDescent="0.4">
      <c r="A5" s="4" t="s">
        <v>5</v>
      </c>
      <c r="B5" s="5">
        <v>40872926</v>
      </c>
      <c r="C5" s="5">
        <v>59842674</v>
      </c>
      <c r="D5" s="5">
        <v>71962298</v>
      </c>
      <c r="E5" s="5">
        <v>85906324</v>
      </c>
      <c r="F5" s="5">
        <v>98750311</v>
      </c>
      <c r="G5" s="5">
        <v>103546301</v>
      </c>
      <c r="H5" s="5">
        <v>103400423</v>
      </c>
      <c r="I5" s="5">
        <v>105159110</v>
      </c>
      <c r="J5" s="5">
        <v>106603388</v>
      </c>
      <c r="K5" s="5">
        <v>111491018</v>
      </c>
      <c r="L5" s="5">
        <v>111392193</v>
      </c>
      <c r="M5" s="5">
        <v>111004304</v>
      </c>
      <c r="N5" s="155">
        <v>112000109</v>
      </c>
      <c r="O5" s="5">
        <v>106046300</v>
      </c>
      <c r="P5" s="5">
        <v>110376945</v>
      </c>
      <c r="Q5" s="5">
        <v>110593411</v>
      </c>
      <c r="R5" s="5">
        <v>114185965</v>
      </c>
      <c r="S5" s="5">
        <v>115120613</v>
      </c>
      <c r="T5" s="5">
        <v>117332895</v>
      </c>
      <c r="U5" s="5">
        <v>118077245</v>
      </c>
      <c r="V5" s="5">
        <v>121548364</v>
      </c>
      <c r="W5" s="5">
        <v>149679763</v>
      </c>
      <c r="X5" s="5">
        <v>128802168</v>
      </c>
      <c r="Y5" s="5">
        <v>139041972</v>
      </c>
      <c r="Z5" s="5">
        <v>138994081</v>
      </c>
      <c r="AA5" s="5">
        <v>138632623</v>
      </c>
      <c r="AB5" s="211">
        <v>139752224</v>
      </c>
      <c r="AK5" s="211">
        <v>138808185</v>
      </c>
      <c r="AM5" s="8">
        <f t="shared" si="0"/>
        <v>944039</v>
      </c>
    </row>
    <row r="6" spans="1:39" ht="15" x14ac:dyDescent="0.4">
      <c r="A6" s="4" t="s">
        <v>6</v>
      </c>
      <c r="B6" s="5">
        <v>431237374</v>
      </c>
      <c r="C6" s="5">
        <v>650017799</v>
      </c>
      <c r="D6" s="5">
        <v>781662507</v>
      </c>
      <c r="E6" s="5">
        <v>933124077</v>
      </c>
      <c r="F6" s="5">
        <v>1072636899</v>
      </c>
      <c r="G6" s="5">
        <v>1132572659</v>
      </c>
      <c r="H6" s="5">
        <v>1130940237</v>
      </c>
      <c r="I6" s="5">
        <v>1150175848</v>
      </c>
      <c r="J6" s="5">
        <v>1165972611</v>
      </c>
      <c r="K6" s="5">
        <v>1219430973</v>
      </c>
      <c r="L6" s="5">
        <v>1218327952</v>
      </c>
      <c r="M6" s="5">
        <v>1213998590</v>
      </c>
      <c r="N6" s="155">
        <v>1224899017</v>
      </c>
      <c r="O6" s="5">
        <v>1158459615</v>
      </c>
      <c r="P6" s="5">
        <v>1205767987</v>
      </c>
      <c r="Q6" s="5">
        <v>1208132681</v>
      </c>
      <c r="R6" s="5">
        <v>1247378073</v>
      </c>
      <c r="S6" s="5">
        <v>1244686047</v>
      </c>
      <c r="T6" s="5">
        <v>1281755429</v>
      </c>
      <c r="U6" s="5">
        <v>1289886774</v>
      </c>
      <c r="V6" s="5">
        <v>1327802379</v>
      </c>
      <c r="W6" s="5">
        <v>1601416574</v>
      </c>
      <c r="X6" s="5">
        <v>1376833029</v>
      </c>
      <c r="Y6" s="5">
        <v>1474757567</v>
      </c>
      <c r="Z6" s="5">
        <v>1474208303</v>
      </c>
      <c r="AA6" s="5">
        <v>1470487107</v>
      </c>
      <c r="AB6" s="211">
        <v>1482362797</v>
      </c>
      <c r="AK6" s="211">
        <v>1472349308</v>
      </c>
      <c r="AM6" s="8">
        <f t="shared" si="0"/>
        <v>10013489</v>
      </c>
    </row>
    <row r="7" spans="1:39" ht="15" x14ac:dyDescent="0.4">
      <c r="A7" s="4" t="s">
        <v>7</v>
      </c>
      <c r="B7" s="5">
        <v>51886005</v>
      </c>
      <c r="C7" s="5">
        <v>78209425</v>
      </c>
      <c r="D7" s="5">
        <v>94048771</v>
      </c>
      <c r="E7" s="5">
        <v>112272460</v>
      </c>
      <c r="F7" s="5">
        <v>129058489</v>
      </c>
      <c r="G7" s="5">
        <v>137681025</v>
      </c>
      <c r="H7" s="5">
        <v>137481329</v>
      </c>
      <c r="I7" s="5">
        <v>141994060</v>
      </c>
      <c r="J7" s="5">
        <v>144091119</v>
      </c>
      <c r="K7" s="5">
        <v>153592924</v>
      </c>
      <c r="L7" s="5">
        <v>153450592</v>
      </c>
      <c r="M7" s="5">
        <v>152891940</v>
      </c>
      <c r="N7" s="155">
        <v>154269094</v>
      </c>
      <c r="O7" s="5">
        <v>145695034</v>
      </c>
      <c r="P7" s="5">
        <v>154491341</v>
      </c>
      <c r="Q7" s="5">
        <v>154794322</v>
      </c>
      <c r="R7" s="5">
        <v>162525722</v>
      </c>
      <c r="S7" s="5">
        <v>163893453</v>
      </c>
      <c r="T7" s="5">
        <v>167500962</v>
      </c>
      <c r="U7" s="5">
        <v>168563574</v>
      </c>
      <c r="V7" s="5">
        <v>176600415</v>
      </c>
      <c r="W7" s="5">
        <v>217490193</v>
      </c>
      <c r="X7" s="5">
        <v>185743767</v>
      </c>
      <c r="Y7" s="5">
        <v>200510900</v>
      </c>
      <c r="Z7" s="5">
        <v>200426786</v>
      </c>
      <c r="AA7" s="5">
        <v>199842742</v>
      </c>
      <c r="AB7" s="211">
        <v>201456677</v>
      </c>
      <c r="AK7" s="211">
        <v>200095820</v>
      </c>
      <c r="AM7" s="8">
        <f t="shared" si="0"/>
        <v>1360857</v>
      </c>
    </row>
    <row r="8" spans="1:39" ht="15" x14ac:dyDescent="0.4">
      <c r="A8" s="4" t="s">
        <v>8</v>
      </c>
      <c r="B8" s="5">
        <v>53060125</v>
      </c>
      <c r="C8" s="5">
        <v>76114202</v>
      </c>
      <c r="D8" s="5">
        <v>89245788</v>
      </c>
      <c r="E8" s="5">
        <v>103861437</v>
      </c>
      <c r="F8" s="5">
        <v>117261220</v>
      </c>
      <c r="G8" s="5">
        <v>122729106</v>
      </c>
      <c r="H8" s="5">
        <v>122566945</v>
      </c>
      <c r="I8" s="5">
        <v>124651626</v>
      </c>
      <c r="J8" s="5">
        <v>126363618</v>
      </c>
      <c r="K8" s="5">
        <v>132157229</v>
      </c>
      <c r="L8" s="5">
        <v>132046538</v>
      </c>
      <c r="M8" s="5">
        <v>131612076</v>
      </c>
      <c r="N8" s="155">
        <v>132790768</v>
      </c>
      <c r="O8" s="5">
        <v>126117374</v>
      </c>
      <c r="P8" s="5">
        <v>131267668</v>
      </c>
      <c r="Q8" s="5">
        <v>131525104</v>
      </c>
      <c r="R8" s="5">
        <v>135797610</v>
      </c>
      <c r="S8" s="5">
        <v>136886630</v>
      </c>
      <c r="T8" s="5">
        <v>139540151</v>
      </c>
      <c r="U8" s="5">
        <v>140425382</v>
      </c>
      <c r="V8" s="5">
        <v>144547867</v>
      </c>
      <c r="W8" s="5">
        <v>173650825</v>
      </c>
      <c r="X8" s="5">
        <v>150483198</v>
      </c>
      <c r="Y8" s="5">
        <v>159205389</v>
      </c>
      <c r="Z8" s="5">
        <v>159185765</v>
      </c>
      <c r="AA8" s="5">
        <v>158823892</v>
      </c>
      <c r="AB8" s="211">
        <v>160106558</v>
      </c>
      <c r="AK8" s="211">
        <v>159025024</v>
      </c>
      <c r="AM8" s="8">
        <f t="shared" si="0"/>
        <v>1081534</v>
      </c>
    </row>
    <row r="9" spans="1:39" ht="15" x14ac:dyDescent="0.4">
      <c r="A9" s="4" t="s">
        <v>9</v>
      </c>
      <c r="B9" s="5">
        <v>11224669</v>
      </c>
      <c r="C9" s="5">
        <v>16919300</v>
      </c>
      <c r="D9" s="5">
        <v>20345877</v>
      </c>
      <c r="E9" s="5">
        <v>24288267</v>
      </c>
      <c r="F9" s="5">
        <v>27919643</v>
      </c>
      <c r="G9" s="5">
        <v>29784984</v>
      </c>
      <c r="H9" s="5">
        <v>29741783</v>
      </c>
      <c r="I9" s="5">
        <v>30749980</v>
      </c>
      <c r="J9" s="5">
        <v>31680482</v>
      </c>
      <c r="K9" s="5">
        <v>33769589</v>
      </c>
      <c r="L9" s="5">
        <v>33738039</v>
      </c>
      <c r="M9" s="5">
        <v>33614205</v>
      </c>
      <c r="N9" s="155">
        <v>34452287</v>
      </c>
      <c r="O9" s="5">
        <v>32508881</v>
      </c>
      <c r="P9" s="5">
        <v>34471598</v>
      </c>
      <c r="Q9" s="5">
        <v>35063788</v>
      </c>
      <c r="R9" s="5">
        <v>36565162</v>
      </c>
      <c r="S9" s="5">
        <v>36910272</v>
      </c>
      <c r="T9" s="5">
        <v>37781829</v>
      </c>
      <c r="U9" s="5">
        <v>38070309</v>
      </c>
      <c r="V9" s="5">
        <v>39412835</v>
      </c>
      <c r="W9" s="5">
        <v>48530090</v>
      </c>
      <c r="X9" s="5">
        <v>41355415</v>
      </c>
      <c r="Y9" s="5">
        <v>44305418</v>
      </c>
      <c r="Z9" s="5">
        <v>44304842</v>
      </c>
      <c r="AA9" s="5">
        <v>44206559</v>
      </c>
      <c r="AB9" s="211">
        <v>44659831</v>
      </c>
      <c r="AK9" s="211">
        <v>44301349</v>
      </c>
      <c r="AM9" s="8">
        <f t="shared" si="0"/>
        <v>358482</v>
      </c>
    </row>
    <row r="10" spans="1:39" ht="15" x14ac:dyDescent="0.4">
      <c r="A10" s="4" t="s">
        <v>10</v>
      </c>
      <c r="B10" s="5">
        <v>5643797</v>
      </c>
      <c r="C10" s="5">
        <v>8507074</v>
      </c>
      <c r="D10" s="5">
        <v>10229967</v>
      </c>
      <c r="E10" s="5">
        <v>12212212</v>
      </c>
      <c r="F10" s="5">
        <v>14038079</v>
      </c>
      <c r="G10" s="5">
        <v>14975978</v>
      </c>
      <c r="H10" s="5">
        <v>14954256</v>
      </c>
      <c r="I10" s="5">
        <v>15461181</v>
      </c>
      <c r="J10" s="5">
        <v>15929040</v>
      </c>
      <c r="K10" s="5">
        <v>16979449</v>
      </c>
      <c r="L10" s="5">
        <v>16963586</v>
      </c>
      <c r="M10" s="5">
        <v>16901322</v>
      </c>
      <c r="N10" s="155">
        <v>17323545</v>
      </c>
      <c r="O10" s="5">
        <v>16345562</v>
      </c>
      <c r="P10" s="5">
        <v>17332422</v>
      </c>
      <c r="Q10" s="5">
        <v>17630177</v>
      </c>
      <c r="R10" s="5">
        <v>18530968</v>
      </c>
      <c r="S10" s="5">
        <v>18979061</v>
      </c>
      <c r="T10" s="5">
        <v>19667309</v>
      </c>
      <c r="U10" s="5">
        <v>20100949</v>
      </c>
      <c r="V10" s="5">
        <v>21059261</v>
      </c>
      <c r="W10" s="5">
        <v>25935278</v>
      </c>
      <c r="X10" s="5">
        <v>22045155</v>
      </c>
      <c r="Y10" s="5">
        <v>23776142</v>
      </c>
      <c r="Z10" s="5">
        <v>24143429</v>
      </c>
      <c r="AA10" s="5">
        <v>24075623</v>
      </c>
      <c r="AB10" s="211">
        <v>24652797</v>
      </c>
      <c r="AK10" s="211">
        <v>24470634</v>
      </c>
      <c r="AM10" s="8">
        <f t="shared" si="0"/>
        <v>182163</v>
      </c>
    </row>
    <row r="11" spans="1:39" ht="15" x14ac:dyDescent="0.4">
      <c r="A11" s="4" t="s">
        <v>11</v>
      </c>
      <c r="B11" s="5">
        <v>238676175</v>
      </c>
      <c r="C11" s="5">
        <v>344413144</v>
      </c>
      <c r="D11" s="5">
        <v>405878306</v>
      </c>
      <c r="E11" s="5">
        <v>479524885</v>
      </c>
      <c r="F11" s="5">
        <v>551219391</v>
      </c>
      <c r="G11" s="5">
        <v>581254171</v>
      </c>
      <c r="H11" s="5">
        <v>580456790</v>
      </c>
      <c r="I11" s="5">
        <v>590329496</v>
      </c>
      <c r="J11" s="5">
        <v>598437209</v>
      </c>
      <c r="K11" s="5">
        <v>628343023</v>
      </c>
      <c r="L11" s="5">
        <v>627797712</v>
      </c>
      <c r="M11" s="5">
        <v>625657364</v>
      </c>
      <c r="N11" s="155">
        <v>631279201</v>
      </c>
      <c r="O11" s="5">
        <v>598405153</v>
      </c>
      <c r="P11" s="5">
        <v>634533737</v>
      </c>
      <c r="Q11" s="5">
        <v>635778154</v>
      </c>
      <c r="R11" s="5">
        <v>656430988</v>
      </c>
      <c r="S11" s="5">
        <v>661854291</v>
      </c>
      <c r="T11" s="5">
        <v>674522024</v>
      </c>
      <c r="U11" s="5">
        <v>678801133</v>
      </c>
      <c r="V11" s="5">
        <v>702251560</v>
      </c>
      <c r="W11" s="5">
        <v>864813909</v>
      </c>
      <c r="X11" s="5">
        <v>744781000</v>
      </c>
      <c r="Y11" s="5">
        <v>787541630</v>
      </c>
      <c r="Z11" s="5">
        <v>787872110</v>
      </c>
      <c r="AA11" s="5">
        <v>785596408</v>
      </c>
      <c r="AB11" s="211">
        <v>791940904</v>
      </c>
      <c r="AK11" s="211">
        <v>786591274</v>
      </c>
      <c r="AM11" s="8">
        <f t="shared" si="0"/>
        <v>5349630</v>
      </c>
    </row>
    <row r="12" spans="1:39" ht="15" x14ac:dyDescent="0.4">
      <c r="A12" s="4" t="s">
        <v>12</v>
      </c>
      <c r="B12" s="5">
        <v>107699572</v>
      </c>
      <c r="C12" s="5">
        <v>162338988</v>
      </c>
      <c r="D12" s="5">
        <v>195216655</v>
      </c>
      <c r="E12" s="5">
        <v>233043493</v>
      </c>
      <c r="F12" s="5">
        <v>267886185</v>
      </c>
      <c r="G12" s="5">
        <v>285783948</v>
      </c>
      <c r="H12" s="5">
        <v>285369440</v>
      </c>
      <c r="I12" s="5">
        <v>295042992</v>
      </c>
      <c r="J12" s="5">
        <v>303971064</v>
      </c>
      <c r="K12" s="5">
        <v>324015838</v>
      </c>
      <c r="L12" s="5">
        <v>323713119</v>
      </c>
      <c r="M12" s="5">
        <v>322524945</v>
      </c>
      <c r="N12" s="155">
        <v>328155946</v>
      </c>
      <c r="O12" s="5">
        <v>309689986</v>
      </c>
      <c r="P12" s="5">
        <v>328387453</v>
      </c>
      <c r="Q12" s="5">
        <v>329031471</v>
      </c>
      <c r="R12" s="5">
        <v>345842910</v>
      </c>
      <c r="S12" s="5">
        <v>348783786</v>
      </c>
      <c r="T12" s="5">
        <v>361394907</v>
      </c>
      <c r="U12" s="5">
        <v>363687565</v>
      </c>
      <c r="V12" s="5">
        <v>381030891</v>
      </c>
      <c r="W12" s="5">
        <v>469265850</v>
      </c>
      <c r="X12" s="5">
        <v>399980951</v>
      </c>
      <c r="Y12" s="5">
        <v>422944108</v>
      </c>
      <c r="Z12" s="5">
        <v>423088943</v>
      </c>
      <c r="AA12" s="5">
        <v>421759531</v>
      </c>
      <c r="AB12" s="211">
        <v>425165671</v>
      </c>
      <c r="AK12" s="211">
        <v>422293640</v>
      </c>
      <c r="AM12" s="8">
        <f t="shared" si="0"/>
        <v>2872031</v>
      </c>
    </row>
    <row r="13" spans="1:39" ht="15" x14ac:dyDescent="0.4">
      <c r="A13" s="4" t="s">
        <v>13</v>
      </c>
      <c r="B13" s="5">
        <v>14156512</v>
      </c>
      <c r="C13" s="5">
        <v>21338561</v>
      </c>
      <c r="D13" s="5">
        <v>25660148</v>
      </c>
      <c r="E13" s="5">
        <v>30632276</v>
      </c>
      <c r="F13" s="5">
        <v>35212155</v>
      </c>
      <c r="G13" s="5">
        <v>36854096</v>
      </c>
      <c r="H13" s="5">
        <v>36801265</v>
      </c>
      <c r="I13" s="5">
        <v>37427200</v>
      </c>
      <c r="J13" s="5">
        <v>37941233</v>
      </c>
      <c r="K13" s="5">
        <v>39680790</v>
      </c>
      <c r="L13" s="5">
        <v>39645071</v>
      </c>
      <c r="M13" s="5">
        <v>39504872</v>
      </c>
      <c r="N13" s="155">
        <v>39859680</v>
      </c>
      <c r="O13" s="5">
        <v>37707882</v>
      </c>
      <c r="P13" s="5">
        <v>39247770</v>
      </c>
      <c r="Q13" s="5">
        <v>39324741</v>
      </c>
      <c r="R13" s="5">
        <v>40602179</v>
      </c>
      <c r="S13" s="5">
        <v>40936758</v>
      </c>
      <c r="T13" s="5">
        <v>41721163</v>
      </c>
      <c r="U13" s="5">
        <v>41985838</v>
      </c>
      <c r="V13" s="5">
        <v>43220207</v>
      </c>
      <c r="W13" s="5">
        <v>53223605</v>
      </c>
      <c r="X13" s="5">
        <v>45725633</v>
      </c>
      <c r="Y13" s="5">
        <v>49361705</v>
      </c>
      <c r="Z13" s="5">
        <v>49346394</v>
      </c>
      <c r="AA13" s="5">
        <v>49215851</v>
      </c>
      <c r="AB13" s="211">
        <v>49613319</v>
      </c>
      <c r="AK13" s="211">
        <v>49278177</v>
      </c>
      <c r="AM13" s="8">
        <f t="shared" si="0"/>
        <v>335142</v>
      </c>
    </row>
    <row r="14" spans="1:39" ht="15" x14ac:dyDescent="0.4">
      <c r="A14" s="4" t="s">
        <v>14</v>
      </c>
      <c r="B14" s="5">
        <v>19052135</v>
      </c>
      <c r="C14" s="5">
        <v>28717888</v>
      </c>
      <c r="D14" s="5">
        <v>34533972</v>
      </c>
      <c r="E14" s="5">
        <v>41225568</v>
      </c>
      <c r="F14" s="5">
        <v>47389266</v>
      </c>
      <c r="G14" s="5">
        <v>50108735</v>
      </c>
      <c r="H14" s="5">
        <v>50036448</v>
      </c>
      <c r="I14" s="5">
        <v>50887494</v>
      </c>
      <c r="J14" s="5">
        <v>51586394</v>
      </c>
      <c r="K14" s="5">
        <v>54988157</v>
      </c>
      <c r="L14" s="5">
        <v>54937867</v>
      </c>
      <c r="M14" s="5">
        <v>54740479</v>
      </c>
      <c r="N14" s="155">
        <v>55233275</v>
      </c>
      <c r="O14" s="5">
        <v>52203392</v>
      </c>
      <c r="P14" s="5">
        <v>55355161</v>
      </c>
      <c r="Q14" s="5">
        <v>55463721</v>
      </c>
      <c r="R14" s="5">
        <v>57337553</v>
      </c>
      <c r="S14" s="5">
        <v>57817263</v>
      </c>
      <c r="T14" s="5">
        <v>59266522</v>
      </c>
      <c r="U14" s="5">
        <v>59642504</v>
      </c>
      <c r="V14" s="5">
        <v>62486324</v>
      </c>
      <c r="W14" s="5">
        <v>76955510</v>
      </c>
      <c r="X14" s="5">
        <v>65862888</v>
      </c>
      <c r="Y14" s="5">
        <v>71112494</v>
      </c>
      <c r="Z14" s="5">
        <v>71082417</v>
      </c>
      <c r="AA14" s="5">
        <v>70855334</v>
      </c>
      <c r="AB14" s="211">
        <v>71784530</v>
      </c>
      <c r="AK14" s="211">
        <v>70945064</v>
      </c>
      <c r="AM14" s="8">
        <f t="shared" si="0"/>
        <v>839466</v>
      </c>
    </row>
    <row r="15" spans="1:39" ht="15" x14ac:dyDescent="0.4">
      <c r="A15" s="4" t="s">
        <v>15</v>
      </c>
      <c r="B15" s="5">
        <v>194398440</v>
      </c>
      <c r="C15" s="5">
        <v>283066424</v>
      </c>
      <c r="D15" s="5">
        <v>336446325</v>
      </c>
      <c r="E15" s="5">
        <v>393133924</v>
      </c>
      <c r="F15" s="5">
        <v>446657600</v>
      </c>
      <c r="G15" s="5">
        <v>467485228</v>
      </c>
      <c r="H15" s="5">
        <v>466849594</v>
      </c>
      <c r="I15" s="5">
        <v>474790011</v>
      </c>
      <c r="J15" s="5">
        <v>481310879</v>
      </c>
      <c r="K15" s="5">
        <v>503378371</v>
      </c>
      <c r="L15" s="5">
        <v>502945975</v>
      </c>
      <c r="M15" s="5">
        <v>501248821</v>
      </c>
      <c r="N15" s="155">
        <v>505740100</v>
      </c>
      <c r="O15" s="5">
        <v>479681039</v>
      </c>
      <c r="P15" s="5">
        <v>499269921</v>
      </c>
      <c r="Q15" s="5">
        <v>500249065</v>
      </c>
      <c r="R15" s="5">
        <v>516499326</v>
      </c>
      <c r="S15" s="5">
        <v>517934553</v>
      </c>
      <c r="T15" s="5">
        <v>530733888</v>
      </c>
      <c r="U15" s="5">
        <v>534100818</v>
      </c>
      <c r="V15" s="5">
        <v>549779217</v>
      </c>
      <c r="W15" s="5">
        <v>660463598</v>
      </c>
      <c r="X15" s="5">
        <v>570895141</v>
      </c>
      <c r="Y15" s="5">
        <v>604031726</v>
      </c>
      <c r="Z15" s="5">
        <v>603909221</v>
      </c>
      <c r="AA15" s="5">
        <v>602555133</v>
      </c>
      <c r="AB15" s="211">
        <v>607421383</v>
      </c>
      <c r="AK15" s="211">
        <v>603318199</v>
      </c>
      <c r="AM15" s="8">
        <f t="shared" si="0"/>
        <v>4103184</v>
      </c>
    </row>
    <row r="16" spans="1:39" ht="15" x14ac:dyDescent="0.4">
      <c r="A16" s="4" t="s">
        <v>16</v>
      </c>
      <c r="B16" s="5">
        <v>101341485</v>
      </c>
      <c r="C16" s="5">
        <v>145373315</v>
      </c>
      <c r="D16" s="5">
        <v>170853119</v>
      </c>
      <c r="E16" s="5">
        <v>200791461</v>
      </c>
      <c r="F16" s="5">
        <v>225536784</v>
      </c>
      <c r="G16" s="5">
        <v>236053556</v>
      </c>
      <c r="H16" s="5">
        <v>235740001</v>
      </c>
      <c r="I16" s="5">
        <v>239749588</v>
      </c>
      <c r="J16" s="5">
        <v>243042361</v>
      </c>
      <c r="K16" s="5">
        <v>256402295</v>
      </c>
      <c r="L16" s="5">
        <v>256185298</v>
      </c>
      <c r="M16" s="5">
        <v>255333586</v>
      </c>
      <c r="N16" s="155">
        <v>257625843</v>
      </c>
      <c r="O16" s="5">
        <v>244540302</v>
      </c>
      <c r="P16" s="5">
        <v>255246091</v>
      </c>
      <c r="Q16" s="5">
        <v>255746667</v>
      </c>
      <c r="R16" s="5">
        <v>264054429</v>
      </c>
      <c r="S16" s="5">
        <v>266220070</v>
      </c>
      <c r="T16" s="5">
        <v>271331688</v>
      </c>
      <c r="U16" s="5">
        <v>273052993</v>
      </c>
      <c r="V16" s="5">
        <v>281079271</v>
      </c>
      <c r="W16" s="5">
        <v>346130258</v>
      </c>
      <c r="X16" s="5">
        <v>299168395</v>
      </c>
      <c r="Y16" s="5">
        <v>316356506</v>
      </c>
      <c r="Z16" s="5">
        <v>316468699</v>
      </c>
      <c r="AA16" s="5">
        <v>315638302</v>
      </c>
      <c r="AB16" s="211">
        <v>318187405</v>
      </c>
      <c r="AK16" s="211">
        <v>316038021</v>
      </c>
      <c r="AM16" s="8">
        <f t="shared" si="0"/>
        <v>2149384</v>
      </c>
    </row>
    <row r="17" spans="1:39" ht="15" x14ac:dyDescent="0.4">
      <c r="A17" s="4" t="s">
        <v>17</v>
      </c>
      <c r="B17" s="5">
        <v>49065489</v>
      </c>
      <c r="C17" s="5">
        <v>70383938</v>
      </c>
      <c r="D17" s="5">
        <v>82526911</v>
      </c>
      <c r="E17" s="5">
        <v>96042219</v>
      </c>
      <c r="F17" s="5">
        <v>107669127</v>
      </c>
      <c r="G17" s="5">
        <v>112689734</v>
      </c>
      <c r="H17" s="5">
        <v>112541643</v>
      </c>
      <c r="I17" s="5">
        <v>114455809</v>
      </c>
      <c r="J17" s="5">
        <v>116027770</v>
      </c>
      <c r="K17" s="5">
        <v>121347496</v>
      </c>
      <c r="L17" s="5">
        <v>121246342</v>
      </c>
      <c r="M17" s="5">
        <v>120849314</v>
      </c>
      <c r="N17" s="155">
        <v>121931526</v>
      </c>
      <c r="O17" s="5">
        <v>115832687</v>
      </c>
      <c r="P17" s="5">
        <v>120562982</v>
      </c>
      <c r="Q17" s="5">
        <v>120799424</v>
      </c>
      <c r="R17" s="5">
        <v>124723514</v>
      </c>
      <c r="S17" s="5">
        <v>125729096</v>
      </c>
      <c r="T17" s="5">
        <v>128160856</v>
      </c>
      <c r="U17" s="5">
        <v>128973897</v>
      </c>
      <c r="V17" s="5">
        <v>132761794</v>
      </c>
      <c r="W17" s="5">
        <v>159496737</v>
      </c>
      <c r="X17" s="5">
        <v>138299843</v>
      </c>
      <c r="Y17" s="5">
        <v>146330249</v>
      </c>
      <c r="Z17" s="5">
        <v>146297658</v>
      </c>
      <c r="AA17" s="5">
        <v>145940335</v>
      </c>
      <c r="AB17" s="211">
        <v>147118953</v>
      </c>
      <c r="AK17" s="211">
        <v>146125151</v>
      </c>
      <c r="AM17" s="8">
        <f t="shared" si="0"/>
        <v>993802</v>
      </c>
    </row>
    <row r="18" spans="1:39" ht="15" x14ac:dyDescent="0.4">
      <c r="A18" s="4" t="s">
        <v>18</v>
      </c>
      <c r="B18" s="5">
        <v>40399267</v>
      </c>
      <c r="C18" s="5">
        <v>60170732</v>
      </c>
      <c r="D18" s="5">
        <v>70893325</v>
      </c>
      <c r="E18" s="5">
        <v>84072314</v>
      </c>
      <c r="F18" s="5">
        <v>94250141</v>
      </c>
      <c r="G18" s="5">
        <v>98645022</v>
      </c>
      <c r="H18" s="5">
        <v>98509450</v>
      </c>
      <c r="I18" s="5">
        <v>100184949</v>
      </c>
      <c r="J18" s="5">
        <v>101560911</v>
      </c>
      <c r="K18" s="5">
        <v>106217350</v>
      </c>
      <c r="L18" s="5">
        <v>106125242</v>
      </c>
      <c r="M18" s="5">
        <v>105763719</v>
      </c>
      <c r="N18" s="155">
        <v>104506181</v>
      </c>
      <c r="O18" s="5">
        <v>101161269</v>
      </c>
      <c r="P18" s="5">
        <v>105292423</v>
      </c>
      <c r="Q18" s="5">
        <v>105498917</v>
      </c>
      <c r="R18" s="5">
        <v>108925980</v>
      </c>
      <c r="S18" s="5">
        <v>109820678</v>
      </c>
      <c r="T18" s="5">
        <v>111927946</v>
      </c>
      <c r="U18" s="5">
        <v>112638007</v>
      </c>
      <c r="V18" s="5">
        <v>115949325</v>
      </c>
      <c r="W18" s="5">
        <v>142784577</v>
      </c>
      <c r="X18" s="5">
        <v>123140183</v>
      </c>
      <c r="Y18" s="5">
        <v>131812272</v>
      </c>
      <c r="Z18" s="5">
        <v>131779586</v>
      </c>
      <c r="AA18" s="5">
        <v>131438816</v>
      </c>
      <c r="AB18" s="211">
        <v>132500319</v>
      </c>
      <c r="AK18" s="211">
        <v>131605268</v>
      </c>
      <c r="AM18" s="8">
        <f t="shared" si="0"/>
        <v>895051</v>
      </c>
    </row>
    <row r="19" spans="1:39" ht="15" x14ac:dyDescent="0.4">
      <c r="A19" s="4" t="s">
        <v>19</v>
      </c>
      <c r="B19" s="5">
        <v>60830890</v>
      </c>
      <c r="C19" s="5">
        <v>88537364</v>
      </c>
      <c r="D19" s="5">
        <v>104503321</v>
      </c>
      <c r="E19" s="5">
        <v>122827410</v>
      </c>
      <c r="F19" s="5">
        <v>137696944</v>
      </c>
      <c r="G19" s="5">
        <v>145702869</v>
      </c>
      <c r="H19" s="5">
        <v>145505322</v>
      </c>
      <c r="I19" s="5">
        <v>147980151</v>
      </c>
      <c r="J19" s="5">
        <v>150012542</v>
      </c>
      <c r="K19" s="5">
        <v>157177501</v>
      </c>
      <c r="L19" s="5">
        <v>157042671</v>
      </c>
      <c r="M19" s="5">
        <v>156513462</v>
      </c>
      <c r="N19" s="155">
        <v>157918560</v>
      </c>
      <c r="O19" s="5">
        <v>149789878</v>
      </c>
      <c r="P19" s="5">
        <v>155906893</v>
      </c>
      <c r="Q19" s="5">
        <v>156212650</v>
      </c>
      <c r="R19" s="5">
        <v>161287115</v>
      </c>
      <c r="S19" s="5">
        <v>162608348</v>
      </c>
      <c r="T19" s="5">
        <v>165732139</v>
      </c>
      <c r="U19" s="5">
        <v>166783529</v>
      </c>
      <c r="V19" s="5">
        <v>171686431</v>
      </c>
      <c r="W19" s="5">
        <v>211420646</v>
      </c>
      <c r="X19" s="5">
        <v>182530187</v>
      </c>
      <c r="Y19" s="5">
        <v>197060575</v>
      </c>
      <c r="Z19" s="5">
        <v>196982170</v>
      </c>
      <c r="AA19" s="5">
        <v>196467467</v>
      </c>
      <c r="AB19" s="211">
        <v>198054143</v>
      </c>
      <c r="AK19" s="211">
        <v>196716270</v>
      </c>
      <c r="AM19" s="8">
        <f t="shared" si="0"/>
        <v>1337873</v>
      </c>
    </row>
    <row r="20" spans="1:39" ht="15" x14ac:dyDescent="0.4">
      <c r="A20" s="4" t="s">
        <v>20</v>
      </c>
      <c r="B20" s="5">
        <v>65859276</v>
      </c>
      <c r="C20" s="5">
        <v>99271780</v>
      </c>
      <c r="D20" s="5">
        <v>119376775</v>
      </c>
      <c r="E20" s="5">
        <v>142508233</v>
      </c>
      <c r="F20" s="5">
        <v>163814859</v>
      </c>
      <c r="G20" s="5">
        <v>174759505</v>
      </c>
      <c r="H20" s="5">
        <v>174506030</v>
      </c>
      <c r="I20" s="5">
        <v>177474118</v>
      </c>
      <c r="J20" s="5">
        <v>179911586</v>
      </c>
      <c r="K20" s="5">
        <v>188160303</v>
      </c>
      <c r="L20" s="5">
        <v>187989151</v>
      </c>
      <c r="M20" s="5">
        <v>187317380</v>
      </c>
      <c r="N20" s="155">
        <v>188997997</v>
      </c>
      <c r="O20" s="5">
        <v>178691120</v>
      </c>
      <c r="P20" s="5">
        <v>185988384</v>
      </c>
      <c r="Q20" s="5">
        <v>186353136</v>
      </c>
      <c r="R20" s="5">
        <v>192406695</v>
      </c>
      <c r="S20" s="5">
        <v>193978538</v>
      </c>
      <c r="T20" s="5">
        <v>197709365</v>
      </c>
      <c r="U20" s="5">
        <v>198963616</v>
      </c>
      <c r="V20" s="5">
        <v>204811406</v>
      </c>
      <c r="W20" s="5">
        <v>248605484</v>
      </c>
      <c r="X20" s="5">
        <v>213536588</v>
      </c>
      <c r="Y20" s="5">
        <v>225757277</v>
      </c>
      <c r="Z20" s="5">
        <v>225870075</v>
      </c>
      <c r="AA20" s="5">
        <v>225277998</v>
      </c>
      <c r="AB20" s="211">
        <v>227097349</v>
      </c>
      <c r="AK20" s="211">
        <v>225563286</v>
      </c>
      <c r="AM20" s="8">
        <f t="shared" si="0"/>
        <v>1534063</v>
      </c>
    </row>
    <row r="21" spans="1:39" ht="15" x14ac:dyDescent="0.4">
      <c r="A21" s="4" t="s">
        <v>21</v>
      </c>
      <c r="B21" s="5">
        <v>21991584</v>
      </c>
      <c r="C21" s="5">
        <v>31546701</v>
      </c>
      <c r="D21" s="5">
        <v>36989288</v>
      </c>
      <c r="E21" s="5">
        <v>43046968</v>
      </c>
      <c r="F21" s="5">
        <v>48258251</v>
      </c>
      <c r="G21" s="5">
        <v>50508531</v>
      </c>
      <c r="H21" s="5">
        <v>50442155</v>
      </c>
      <c r="I21" s="5">
        <v>51300101</v>
      </c>
      <c r="J21" s="5">
        <v>52004668</v>
      </c>
      <c r="K21" s="5">
        <v>54389016</v>
      </c>
      <c r="L21" s="5">
        <v>54343678</v>
      </c>
      <c r="M21" s="5">
        <v>54165727</v>
      </c>
      <c r="N21" s="155">
        <v>54648822</v>
      </c>
      <c r="O21" s="5">
        <v>51917230</v>
      </c>
      <c r="P21" s="5">
        <v>54037390</v>
      </c>
      <c r="Q21" s="5">
        <v>54143366</v>
      </c>
      <c r="R21" s="5">
        <v>55902177</v>
      </c>
      <c r="S21" s="5">
        <v>56334028</v>
      </c>
      <c r="T21" s="5">
        <v>57442824</v>
      </c>
      <c r="U21" s="5">
        <v>57807236</v>
      </c>
      <c r="V21" s="5">
        <v>59500777</v>
      </c>
      <c r="W21" s="5">
        <v>71470757</v>
      </c>
      <c r="X21" s="5">
        <v>61939291</v>
      </c>
      <c r="Y21" s="5">
        <v>65530180</v>
      </c>
      <c r="Z21" s="5">
        <v>65522445</v>
      </c>
      <c r="AA21" s="5">
        <v>65411743</v>
      </c>
      <c r="AB21" s="211">
        <v>65940010</v>
      </c>
      <c r="AK21" s="211">
        <v>65494579</v>
      </c>
      <c r="AM21" s="8">
        <f t="shared" si="0"/>
        <v>445431</v>
      </c>
    </row>
    <row r="22" spans="1:39" ht="15" x14ac:dyDescent="0.4">
      <c r="A22" s="4" t="s">
        <v>22</v>
      </c>
      <c r="B22" s="5">
        <v>77229155</v>
      </c>
      <c r="C22" s="5">
        <v>111365477</v>
      </c>
      <c r="D22" s="5">
        <v>131443233</v>
      </c>
      <c r="E22" s="5">
        <v>153621502</v>
      </c>
      <c r="F22" s="5">
        <v>176589690</v>
      </c>
      <c r="G22" s="5">
        <v>184824061</v>
      </c>
      <c r="H22" s="5">
        <v>184573624</v>
      </c>
      <c r="I22" s="5">
        <v>187712947</v>
      </c>
      <c r="J22" s="5">
        <v>190291037</v>
      </c>
      <c r="K22" s="5">
        <v>199015639</v>
      </c>
      <c r="L22" s="5">
        <v>198845207</v>
      </c>
      <c r="M22" s="5">
        <v>198176263</v>
      </c>
      <c r="N22" s="155">
        <v>199953655</v>
      </c>
      <c r="O22" s="5">
        <v>189680055</v>
      </c>
      <c r="P22" s="5">
        <v>197426078</v>
      </c>
      <c r="Q22" s="5">
        <v>197813261</v>
      </c>
      <c r="R22" s="5">
        <v>204239094</v>
      </c>
      <c r="S22" s="5">
        <v>205906045</v>
      </c>
      <c r="T22" s="5">
        <v>209867861</v>
      </c>
      <c r="U22" s="5">
        <v>211199244</v>
      </c>
      <c r="V22" s="5">
        <v>217405830</v>
      </c>
      <c r="W22" s="5">
        <v>267072809</v>
      </c>
      <c r="X22" s="5">
        <v>230642032</v>
      </c>
      <c r="Y22" s="5">
        <v>248983021</v>
      </c>
      <c r="Z22" s="5">
        <v>248902727</v>
      </c>
      <c r="AA22" s="5">
        <v>248268696</v>
      </c>
      <c r="AB22" s="211">
        <v>250273720</v>
      </c>
      <c r="AK22" s="211">
        <v>248583099</v>
      </c>
      <c r="AM22" s="8">
        <f t="shared" si="0"/>
        <v>1690621</v>
      </c>
    </row>
    <row r="23" spans="1:39" ht="15" x14ac:dyDescent="0.4">
      <c r="A23" s="4" t="s">
        <v>23</v>
      </c>
      <c r="B23" s="5">
        <v>114086702</v>
      </c>
      <c r="C23" s="5">
        <v>163656198</v>
      </c>
      <c r="D23" s="5">
        <v>191890947</v>
      </c>
      <c r="E23" s="5">
        <v>223316639</v>
      </c>
      <c r="F23" s="5">
        <v>250351438</v>
      </c>
      <c r="G23" s="5">
        <v>262025316</v>
      </c>
      <c r="H23" s="5">
        <v>261680975</v>
      </c>
      <c r="I23" s="5">
        <v>266131779</v>
      </c>
      <c r="J23" s="5">
        <v>269786890</v>
      </c>
      <c r="K23" s="5">
        <v>282156276</v>
      </c>
      <c r="L23" s="5">
        <v>281921075</v>
      </c>
      <c r="M23" s="5">
        <v>280997908</v>
      </c>
      <c r="N23" s="155">
        <v>283509259</v>
      </c>
      <c r="O23" s="5">
        <v>269333284</v>
      </c>
      <c r="P23" s="5">
        <v>280332130</v>
      </c>
      <c r="Q23" s="5">
        <v>280881904</v>
      </c>
      <c r="R23" s="5">
        <v>290006167</v>
      </c>
      <c r="S23" s="5">
        <v>292303385</v>
      </c>
      <c r="T23" s="5">
        <v>297998648</v>
      </c>
      <c r="U23" s="5">
        <v>299889126</v>
      </c>
      <c r="V23" s="5">
        <v>308687575</v>
      </c>
      <c r="W23" s="5">
        <v>370820513</v>
      </c>
      <c r="X23" s="5">
        <v>321458477</v>
      </c>
      <c r="Y23" s="5">
        <v>339949184</v>
      </c>
      <c r="Z23" s="5">
        <v>340056295</v>
      </c>
      <c r="AA23" s="5">
        <v>339339359</v>
      </c>
      <c r="AB23" s="211">
        <v>342079872</v>
      </c>
      <c r="AK23" s="211">
        <v>339769093</v>
      </c>
      <c r="AM23" s="8">
        <f t="shared" si="0"/>
        <v>2310779</v>
      </c>
    </row>
    <row r="24" spans="1:39" ht="15" x14ac:dyDescent="0.4">
      <c r="A24" s="4" t="s">
        <v>24</v>
      </c>
      <c r="B24" s="5">
        <v>143898146</v>
      </c>
      <c r="C24" s="5">
        <v>216776390</v>
      </c>
      <c r="D24" s="5">
        <v>260135764</v>
      </c>
      <c r="E24" s="5">
        <v>308119146</v>
      </c>
      <c r="F24" s="5">
        <v>353312585</v>
      </c>
      <c r="G24" s="5">
        <v>369787538</v>
      </c>
      <c r="H24" s="5">
        <v>369261760</v>
      </c>
      <c r="I24" s="5">
        <v>375542353</v>
      </c>
      <c r="J24" s="5">
        <v>380700133</v>
      </c>
      <c r="K24" s="5">
        <v>398154750</v>
      </c>
      <c r="L24" s="5">
        <v>397798936</v>
      </c>
      <c r="M24" s="5">
        <v>396402364</v>
      </c>
      <c r="N24" s="155">
        <v>399957612</v>
      </c>
      <c r="O24" s="5">
        <v>378525075</v>
      </c>
      <c r="P24" s="5">
        <v>393983020</v>
      </c>
      <c r="Q24" s="5">
        <v>394755681</v>
      </c>
      <c r="R24" s="5">
        <v>407579059</v>
      </c>
      <c r="S24" s="5">
        <v>410878257</v>
      </c>
      <c r="T24" s="5">
        <v>418811813</v>
      </c>
      <c r="U24" s="5">
        <v>421468719</v>
      </c>
      <c r="V24" s="5">
        <v>433847196</v>
      </c>
      <c r="W24" s="5">
        <v>521210447</v>
      </c>
      <c r="X24" s="5">
        <v>448732737</v>
      </c>
      <c r="Y24" s="5">
        <v>474497149</v>
      </c>
      <c r="Z24" s="5">
        <v>474682995</v>
      </c>
      <c r="AA24" s="5">
        <v>473533818</v>
      </c>
      <c r="AB24" s="211">
        <v>477358089</v>
      </c>
      <c r="AK24" s="211">
        <v>474133493</v>
      </c>
      <c r="AM24" s="8">
        <f t="shared" si="0"/>
        <v>3224596</v>
      </c>
    </row>
    <row r="25" spans="1:39" ht="15" x14ac:dyDescent="0.4">
      <c r="A25" s="4" t="s">
        <v>25</v>
      </c>
      <c r="B25" s="5">
        <v>73409463</v>
      </c>
      <c r="C25" s="5">
        <v>109440436</v>
      </c>
      <c r="D25" s="5">
        <v>128321623</v>
      </c>
      <c r="E25" s="5">
        <v>149336662</v>
      </c>
      <c r="F25" s="5">
        <v>167415417</v>
      </c>
      <c r="G25" s="5">
        <v>175221992</v>
      </c>
      <c r="H25" s="5">
        <v>174985014</v>
      </c>
      <c r="I25" s="5">
        <v>177961249</v>
      </c>
      <c r="J25" s="5">
        <v>180405407</v>
      </c>
      <c r="K25" s="5">
        <v>188676766</v>
      </c>
      <c r="L25" s="5">
        <v>188515458</v>
      </c>
      <c r="M25" s="5">
        <v>187882322</v>
      </c>
      <c r="N25" s="155">
        <v>189567524</v>
      </c>
      <c r="O25" s="5">
        <v>179843443</v>
      </c>
      <c r="P25" s="5">
        <v>187187765</v>
      </c>
      <c r="Q25" s="5">
        <v>187554869</v>
      </c>
      <c r="R25" s="5">
        <v>193647465</v>
      </c>
      <c r="S25" s="5">
        <v>195226495</v>
      </c>
      <c r="T25" s="5">
        <v>198984329</v>
      </c>
      <c r="U25" s="5">
        <v>200246668</v>
      </c>
      <c r="V25" s="5">
        <v>206132896</v>
      </c>
      <c r="W25" s="5">
        <v>253839639</v>
      </c>
      <c r="X25" s="5">
        <v>219225415</v>
      </c>
      <c r="Y25" s="5">
        <v>233603544</v>
      </c>
      <c r="Z25" s="5">
        <v>233557694</v>
      </c>
      <c r="AA25" s="5">
        <v>232947616</v>
      </c>
      <c r="AB25" s="211">
        <v>234828907</v>
      </c>
      <c r="AK25" s="211">
        <v>233242617</v>
      </c>
      <c r="AM25" s="8">
        <f t="shared" si="0"/>
        <v>1586290</v>
      </c>
    </row>
    <row r="26" spans="1:39" ht="15" x14ac:dyDescent="0.4">
      <c r="A26" s="4" t="s">
        <v>26</v>
      </c>
      <c r="B26" s="5">
        <v>42676977</v>
      </c>
      <c r="C26" s="5">
        <v>64197563</v>
      </c>
      <c r="D26" s="5">
        <v>77199160</v>
      </c>
      <c r="E26" s="5">
        <v>92157925</v>
      </c>
      <c r="F26" s="5">
        <v>104964427</v>
      </c>
      <c r="G26" s="5">
        <v>109858914</v>
      </c>
      <c r="H26" s="5">
        <v>109702542</v>
      </c>
      <c r="I26" s="5">
        <v>111568419</v>
      </c>
      <c r="J26" s="5">
        <v>113100724</v>
      </c>
      <c r="K26" s="5">
        <v>119464792</v>
      </c>
      <c r="L26" s="5">
        <v>119357333</v>
      </c>
      <c r="M26" s="5">
        <v>118935556</v>
      </c>
      <c r="N26" s="155">
        <v>120003197</v>
      </c>
      <c r="O26" s="5">
        <v>113530160</v>
      </c>
      <c r="P26" s="5">
        <v>118166426</v>
      </c>
      <c r="Q26" s="5">
        <v>118398168</v>
      </c>
      <c r="R26" s="5">
        <v>122244254</v>
      </c>
      <c r="S26" s="5">
        <v>123243806</v>
      </c>
      <c r="T26" s="5">
        <v>125613268</v>
      </c>
      <c r="U26" s="5">
        <v>126410148</v>
      </c>
      <c r="V26" s="5">
        <v>130125428</v>
      </c>
      <c r="W26" s="5">
        <v>156424155</v>
      </c>
      <c r="X26" s="5">
        <v>134593667</v>
      </c>
      <c r="Y26" s="5">
        <v>145303206</v>
      </c>
      <c r="Z26" s="5">
        <v>145236238</v>
      </c>
      <c r="AA26" s="5">
        <v>144872088</v>
      </c>
      <c r="AB26" s="211">
        <v>146042079</v>
      </c>
      <c r="AK26" s="211">
        <v>145055552</v>
      </c>
      <c r="AM26" s="8">
        <f t="shared" si="0"/>
        <v>986527</v>
      </c>
    </row>
    <row r="27" spans="1:39" ht="15" x14ac:dyDescent="0.4">
      <c r="A27" s="4" t="s">
        <v>27</v>
      </c>
      <c r="B27" s="5">
        <v>90973549</v>
      </c>
      <c r="C27" s="5">
        <v>130959742</v>
      </c>
      <c r="D27" s="5">
        <v>153553541</v>
      </c>
      <c r="E27" s="5">
        <v>178700774</v>
      </c>
      <c r="F27" s="5">
        <v>200334359</v>
      </c>
      <c r="G27" s="5">
        <v>209675943</v>
      </c>
      <c r="H27" s="5">
        <v>209399652</v>
      </c>
      <c r="I27" s="5">
        <v>212961229</v>
      </c>
      <c r="J27" s="5">
        <v>215886084</v>
      </c>
      <c r="K27" s="5">
        <v>225784186</v>
      </c>
      <c r="L27" s="5">
        <v>225595528</v>
      </c>
      <c r="M27" s="5">
        <v>224855045</v>
      </c>
      <c r="N27" s="155">
        <v>226870954</v>
      </c>
      <c r="O27" s="5">
        <v>215494388</v>
      </c>
      <c r="P27" s="5">
        <v>224294599</v>
      </c>
      <c r="Q27" s="5">
        <v>224734475</v>
      </c>
      <c r="R27" s="5">
        <v>232034826</v>
      </c>
      <c r="S27" s="5">
        <v>233913239</v>
      </c>
      <c r="T27" s="5">
        <v>238429634</v>
      </c>
      <c r="U27" s="5">
        <v>239942211</v>
      </c>
      <c r="V27" s="5">
        <v>246990805</v>
      </c>
      <c r="W27" s="5">
        <v>296729353</v>
      </c>
      <c r="X27" s="5">
        <v>257238445</v>
      </c>
      <c r="Y27" s="5">
        <v>273888689</v>
      </c>
      <c r="Z27" s="5">
        <v>273823231</v>
      </c>
      <c r="AA27" s="5">
        <v>273149625</v>
      </c>
      <c r="AB27" s="211">
        <v>275355588</v>
      </c>
      <c r="AK27" s="211">
        <v>273495537</v>
      </c>
      <c r="AM27" s="8">
        <f t="shared" si="0"/>
        <v>1860051</v>
      </c>
    </row>
    <row r="28" spans="1:39" ht="15" x14ac:dyDescent="0.4">
      <c r="A28" s="4" t="s">
        <v>28</v>
      </c>
      <c r="B28" s="5">
        <v>12997604</v>
      </c>
      <c r="C28" s="5">
        <v>19591702</v>
      </c>
      <c r="D28" s="5">
        <v>23559507</v>
      </c>
      <c r="E28" s="5">
        <v>28124597</v>
      </c>
      <c r="F28" s="5">
        <v>32188959</v>
      </c>
      <c r="G28" s="5">
        <v>33927757</v>
      </c>
      <c r="H28" s="5">
        <v>33879040</v>
      </c>
      <c r="I28" s="5">
        <v>34571807</v>
      </c>
      <c r="J28" s="5">
        <v>35120309</v>
      </c>
      <c r="K28" s="5">
        <v>36979307</v>
      </c>
      <c r="L28" s="5">
        <v>36945746</v>
      </c>
      <c r="M28" s="5">
        <v>36814020</v>
      </c>
      <c r="N28" s="155">
        <v>37226987</v>
      </c>
      <c r="O28" s="5">
        <v>35200272</v>
      </c>
      <c r="P28" s="5">
        <v>36871431</v>
      </c>
      <c r="Q28" s="5">
        <v>36954764</v>
      </c>
      <c r="R28" s="5">
        <v>38338097</v>
      </c>
      <c r="S28" s="5">
        <v>38680095</v>
      </c>
      <c r="T28" s="5">
        <v>39554764</v>
      </c>
      <c r="U28" s="5">
        <v>39843244</v>
      </c>
      <c r="V28" s="5">
        <v>41185428</v>
      </c>
      <c r="W28" s="5">
        <v>50390354</v>
      </c>
      <c r="X28" s="5">
        <v>43199227</v>
      </c>
      <c r="Y28" s="5">
        <v>46076539</v>
      </c>
      <c r="Z28" s="5">
        <v>46079040</v>
      </c>
      <c r="AA28" s="5">
        <v>45978367</v>
      </c>
      <c r="AB28" s="211">
        <v>46432766</v>
      </c>
      <c r="AK28" s="211">
        <v>46074284</v>
      </c>
      <c r="AM28" s="8">
        <f t="shared" si="0"/>
        <v>358482</v>
      </c>
    </row>
    <row r="29" spans="1:39" ht="15" x14ac:dyDescent="0.4">
      <c r="A29" s="4" t="s">
        <v>29</v>
      </c>
      <c r="B29" s="5">
        <v>30009897</v>
      </c>
      <c r="C29" s="5">
        <v>43048888</v>
      </c>
      <c r="D29" s="5">
        <v>50475888</v>
      </c>
      <c r="E29" s="5">
        <v>58742248</v>
      </c>
      <c r="F29" s="5">
        <v>65853607</v>
      </c>
      <c r="G29" s="5">
        <v>68924358</v>
      </c>
      <c r="H29" s="5">
        <v>68833781</v>
      </c>
      <c r="I29" s="5">
        <v>70004541</v>
      </c>
      <c r="J29" s="5">
        <v>70965998</v>
      </c>
      <c r="K29" s="5">
        <v>74219699</v>
      </c>
      <c r="L29" s="5">
        <v>74157831</v>
      </c>
      <c r="M29" s="5">
        <v>73914997</v>
      </c>
      <c r="N29" s="155">
        <v>74576894</v>
      </c>
      <c r="O29" s="5">
        <v>70846680</v>
      </c>
      <c r="P29" s="5">
        <v>73739868</v>
      </c>
      <c r="Q29" s="5">
        <v>73884483</v>
      </c>
      <c r="R29" s="5">
        <v>76284572</v>
      </c>
      <c r="S29" s="5">
        <v>76901385</v>
      </c>
      <c r="T29" s="5">
        <v>78386951</v>
      </c>
      <c r="U29" s="5">
        <v>78884231</v>
      </c>
      <c r="V29" s="5">
        <v>81201978</v>
      </c>
      <c r="W29" s="5">
        <v>97621979</v>
      </c>
      <c r="X29" s="5">
        <v>84647683</v>
      </c>
      <c r="Y29" s="5">
        <v>91164329</v>
      </c>
      <c r="Z29" s="5">
        <v>91145177</v>
      </c>
      <c r="AA29" s="5">
        <v>90915942</v>
      </c>
      <c r="AB29" s="211">
        <v>91650181</v>
      </c>
      <c r="AK29" s="211">
        <v>91031076</v>
      </c>
      <c r="AM29" s="8">
        <f t="shared" si="0"/>
        <v>619105</v>
      </c>
    </row>
    <row r="30" spans="1:39" ht="15" x14ac:dyDescent="0.4">
      <c r="A30" s="4" t="s">
        <v>30</v>
      </c>
      <c r="B30" s="5">
        <v>23039165</v>
      </c>
      <c r="C30" s="5">
        <v>34727666</v>
      </c>
      <c r="D30" s="5">
        <v>41760879</v>
      </c>
      <c r="E30" s="5">
        <v>49852822</v>
      </c>
      <c r="F30" s="5">
        <v>57306394</v>
      </c>
      <c r="G30" s="5">
        <v>61135096</v>
      </c>
      <c r="H30" s="5">
        <v>61046424</v>
      </c>
      <c r="I30" s="5">
        <v>63115797</v>
      </c>
      <c r="J30" s="5">
        <v>65025696</v>
      </c>
      <c r="K30" s="5">
        <v>69313688</v>
      </c>
      <c r="L30" s="5">
        <v>69248930</v>
      </c>
      <c r="M30" s="5">
        <v>68994755</v>
      </c>
      <c r="N30" s="155">
        <v>70722819</v>
      </c>
      <c r="O30" s="5">
        <v>66726024</v>
      </c>
      <c r="P30" s="5">
        <v>70754593</v>
      </c>
      <c r="Q30" s="5">
        <v>71970090</v>
      </c>
      <c r="R30" s="5">
        <v>75647309</v>
      </c>
      <c r="S30" s="5">
        <v>77503123</v>
      </c>
      <c r="T30" s="5">
        <v>80286091</v>
      </c>
      <c r="U30" s="5">
        <v>82056302</v>
      </c>
      <c r="V30" s="5">
        <v>85973429</v>
      </c>
      <c r="W30" s="5">
        <v>105896920</v>
      </c>
      <c r="X30" s="5">
        <v>90057084</v>
      </c>
      <c r="Y30" s="5">
        <v>97140510</v>
      </c>
      <c r="Z30" s="5">
        <v>97171184</v>
      </c>
      <c r="AA30" s="5">
        <v>96817708</v>
      </c>
      <c r="AB30" s="211">
        <v>99138754</v>
      </c>
      <c r="AK30" s="211">
        <v>98406205</v>
      </c>
      <c r="AM30" s="8">
        <f t="shared" si="0"/>
        <v>732549</v>
      </c>
    </row>
    <row r="31" spans="1:39" ht="15" x14ac:dyDescent="0.4">
      <c r="A31" s="4" t="s">
        <v>31</v>
      </c>
      <c r="B31" s="5">
        <v>19016870</v>
      </c>
      <c r="C31" s="5">
        <v>27359981</v>
      </c>
      <c r="D31" s="5">
        <v>32080256</v>
      </c>
      <c r="E31" s="5">
        <v>37333991</v>
      </c>
      <c r="F31" s="5">
        <v>41853659</v>
      </c>
      <c r="G31" s="5">
        <v>43805294</v>
      </c>
      <c r="H31" s="5">
        <v>43747597</v>
      </c>
      <c r="I31" s="5">
        <v>44491679</v>
      </c>
      <c r="J31" s="5">
        <v>45102737</v>
      </c>
      <c r="K31" s="5">
        <v>47170640</v>
      </c>
      <c r="L31" s="5">
        <v>47131241</v>
      </c>
      <c r="M31" s="5">
        <v>46976599</v>
      </c>
      <c r="N31" s="155">
        <v>47397121</v>
      </c>
      <c r="O31" s="5">
        <v>45021871</v>
      </c>
      <c r="P31" s="5">
        <v>46860443</v>
      </c>
      <c r="Q31" s="5">
        <v>46952343</v>
      </c>
      <c r="R31" s="5">
        <v>48477559</v>
      </c>
      <c r="S31" s="5">
        <v>48863286</v>
      </c>
      <c r="T31" s="5">
        <v>49813585</v>
      </c>
      <c r="U31" s="5">
        <v>50129598</v>
      </c>
      <c r="V31" s="5">
        <v>51600636</v>
      </c>
      <c r="W31" s="5">
        <v>61987042</v>
      </c>
      <c r="X31" s="5">
        <v>53725669</v>
      </c>
      <c r="Y31" s="5">
        <v>56837469</v>
      </c>
      <c r="Z31" s="5">
        <v>56831337</v>
      </c>
      <c r="AA31" s="5">
        <v>56713037</v>
      </c>
      <c r="AB31" s="211">
        <v>57171053</v>
      </c>
      <c r="AK31" s="211">
        <v>56784857</v>
      </c>
      <c r="AM31" s="8">
        <f t="shared" si="0"/>
        <v>386196</v>
      </c>
    </row>
    <row r="32" spans="1:39" ht="15" x14ac:dyDescent="0.4">
      <c r="A32" s="4" t="s">
        <v>32</v>
      </c>
      <c r="B32" s="5">
        <v>145270027</v>
      </c>
      <c r="C32" s="5">
        <v>208388355</v>
      </c>
      <c r="D32" s="5">
        <v>244340509</v>
      </c>
      <c r="E32" s="5">
        <v>284355787</v>
      </c>
      <c r="F32" s="5">
        <v>318780009</v>
      </c>
      <c r="G32" s="5">
        <v>333644709</v>
      </c>
      <c r="H32" s="5">
        <v>333206250</v>
      </c>
      <c r="I32" s="5">
        <v>338873593</v>
      </c>
      <c r="J32" s="5">
        <v>343527756</v>
      </c>
      <c r="K32" s="5">
        <v>359278067</v>
      </c>
      <c r="L32" s="5">
        <v>358978578</v>
      </c>
      <c r="M32" s="5">
        <v>357803082</v>
      </c>
      <c r="N32" s="155">
        <v>361001158</v>
      </c>
      <c r="O32" s="5">
        <v>342950167</v>
      </c>
      <c r="P32" s="5">
        <v>356955329</v>
      </c>
      <c r="Q32" s="5">
        <v>357655373</v>
      </c>
      <c r="R32" s="5">
        <v>369273572</v>
      </c>
      <c r="S32" s="5">
        <v>372198671</v>
      </c>
      <c r="T32" s="5">
        <v>379450638</v>
      </c>
      <c r="U32" s="5">
        <v>381857840</v>
      </c>
      <c r="V32" s="5">
        <v>393060421</v>
      </c>
      <c r="W32" s="5">
        <v>458567303</v>
      </c>
      <c r="X32" s="5">
        <v>409321022</v>
      </c>
      <c r="Y32" s="5">
        <v>433111818</v>
      </c>
      <c r="Z32" s="5">
        <v>433037784</v>
      </c>
      <c r="AA32" s="5">
        <v>432091008</v>
      </c>
      <c r="AB32" s="211">
        <v>435580586</v>
      </c>
      <c r="AK32" s="211">
        <v>432638201</v>
      </c>
      <c r="AM32" s="8">
        <f t="shared" si="0"/>
        <v>2942385</v>
      </c>
    </row>
    <row r="33" spans="1:39" ht="15" x14ac:dyDescent="0.4">
      <c r="A33" s="4" t="s">
        <v>33</v>
      </c>
      <c r="B33" s="5">
        <v>36034694</v>
      </c>
      <c r="C33" s="5">
        <v>52531899</v>
      </c>
      <c r="D33" s="5">
        <v>61594953</v>
      </c>
      <c r="E33" s="5">
        <v>71699432</v>
      </c>
      <c r="F33" s="5">
        <v>80379393</v>
      </c>
      <c r="G33" s="5">
        <v>84127481</v>
      </c>
      <c r="H33" s="5">
        <v>84015541</v>
      </c>
      <c r="I33" s="5">
        <v>85444520</v>
      </c>
      <c r="J33" s="5">
        <v>86618033</v>
      </c>
      <c r="K33" s="5">
        <v>90589360</v>
      </c>
      <c r="L33" s="5">
        <v>90513015</v>
      </c>
      <c r="M33" s="5">
        <v>90213359</v>
      </c>
      <c r="N33" s="155">
        <v>91022262</v>
      </c>
      <c r="O33" s="5">
        <v>86419043</v>
      </c>
      <c r="P33" s="5">
        <v>89948164</v>
      </c>
      <c r="Q33" s="5">
        <v>90124566</v>
      </c>
      <c r="R33" s="5">
        <v>93052203</v>
      </c>
      <c r="S33" s="5">
        <v>93805811</v>
      </c>
      <c r="T33" s="5">
        <v>95616693</v>
      </c>
      <c r="U33" s="5">
        <v>96223277</v>
      </c>
      <c r="V33" s="5">
        <v>99049884</v>
      </c>
      <c r="W33" s="5">
        <v>118995042</v>
      </c>
      <c r="X33" s="5">
        <v>103068305</v>
      </c>
      <c r="Y33" s="5">
        <v>108973168</v>
      </c>
      <c r="Z33" s="5">
        <v>109028430</v>
      </c>
      <c r="AA33" s="5">
        <v>108763942</v>
      </c>
      <c r="AB33" s="211">
        <v>109642322</v>
      </c>
      <c r="AK33" s="211">
        <v>108901679</v>
      </c>
      <c r="AM33" s="8">
        <f t="shared" si="0"/>
        <v>740643</v>
      </c>
    </row>
    <row r="34" spans="1:39" ht="15" x14ac:dyDescent="0.4">
      <c r="A34" s="4" t="s">
        <v>34</v>
      </c>
      <c r="B34" s="5">
        <v>298798306</v>
      </c>
      <c r="C34" s="5">
        <v>429667970</v>
      </c>
      <c r="D34" s="5">
        <v>509305853</v>
      </c>
      <c r="E34" s="5">
        <v>597207574</v>
      </c>
      <c r="F34" s="5">
        <v>669505756</v>
      </c>
      <c r="G34" s="5">
        <v>700724785</v>
      </c>
      <c r="H34" s="5">
        <v>699789265</v>
      </c>
      <c r="I34" s="5">
        <v>711691639</v>
      </c>
      <c r="J34" s="5">
        <v>721466166</v>
      </c>
      <c r="K34" s="5">
        <v>754544472</v>
      </c>
      <c r="L34" s="5">
        <v>753906687</v>
      </c>
      <c r="M34" s="5">
        <v>751403381</v>
      </c>
      <c r="N34" s="155">
        <v>758128754</v>
      </c>
      <c r="O34" s="5">
        <v>719687933</v>
      </c>
      <c r="P34" s="5">
        <v>749078051</v>
      </c>
      <c r="Q34" s="5">
        <v>750547107</v>
      </c>
      <c r="R34" s="5">
        <v>774928134</v>
      </c>
      <c r="S34" s="5">
        <v>781121902</v>
      </c>
      <c r="T34" s="5">
        <v>796284914</v>
      </c>
      <c r="U34" s="5">
        <v>801336476</v>
      </c>
      <c r="V34" s="5">
        <v>824853540</v>
      </c>
      <c r="W34" s="5">
        <v>990900505</v>
      </c>
      <c r="X34" s="5">
        <v>857863238</v>
      </c>
      <c r="Y34" s="5">
        <v>907743620</v>
      </c>
      <c r="Z34" s="5">
        <v>907542158</v>
      </c>
      <c r="AA34" s="5">
        <v>905507664</v>
      </c>
      <c r="AB34" s="211">
        <v>912820566</v>
      </c>
      <c r="AK34" s="211">
        <v>906654384</v>
      </c>
      <c r="AM34" s="8">
        <f t="shared" si="0"/>
        <v>6166182</v>
      </c>
    </row>
    <row r="35" spans="1:39" ht="15" x14ac:dyDescent="0.4">
      <c r="A35" s="4" t="s">
        <v>35</v>
      </c>
      <c r="B35" s="5">
        <v>114312121</v>
      </c>
      <c r="C35" s="5">
        <v>169440174</v>
      </c>
      <c r="D35" s="5">
        <v>202724229</v>
      </c>
      <c r="E35" s="5">
        <v>235924071</v>
      </c>
      <c r="F35" s="5">
        <v>271197443</v>
      </c>
      <c r="G35" s="5">
        <v>288837273</v>
      </c>
      <c r="H35" s="5">
        <v>288431050</v>
      </c>
      <c r="I35" s="5">
        <v>298208386</v>
      </c>
      <c r="J35" s="5">
        <v>304602437</v>
      </c>
      <c r="K35" s="5">
        <v>324688845</v>
      </c>
      <c r="L35" s="5">
        <v>324394438</v>
      </c>
      <c r="M35" s="5">
        <v>323238888</v>
      </c>
      <c r="N35" s="155">
        <v>326149459</v>
      </c>
      <c r="O35" s="5">
        <v>308408627</v>
      </c>
      <c r="P35" s="5">
        <v>327028732</v>
      </c>
      <c r="Q35" s="5">
        <v>327670085</v>
      </c>
      <c r="R35" s="5">
        <v>343834233</v>
      </c>
      <c r="S35" s="5">
        <v>346717377</v>
      </c>
      <c r="T35" s="5">
        <v>353310198</v>
      </c>
      <c r="U35" s="5">
        <v>355551567</v>
      </c>
      <c r="V35" s="5">
        <v>372501049</v>
      </c>
      <c r="W35" s="5">
        <v>458744760</v>
      </c>
      <c r="X35" s="5">
        <v>392724284</v>
      </c>
      <c r="Y35" s="5">
        <v>415241692</v>
      </c>
      <c r="Z35" s="5">
        <v>415410616</v>
      </c>
      <c r="AA35" s="5">
        <v>414178532</v>
      </c>
      <c r="AB35" s="211">
        <v>417523448</v>
      </c>
      <c r="AK35" s="211">
        <v>414703041</v>
      </c>
      <c r="AM35" s="8">
        <f t="shared" si="0"/>
        <v>2820407</v>
      </c>
    </row>
    <row r="36" spans="1:39" ht="15" x14ac:dyDescent="0.4">
      <c r="A36" s="4" t="s">
        <v>36</v>
      </c>
      <c r="B36" s="5">
        <v>9114296</v>
      </c>
      <c r="C36" s="5">
        <v>13738268</v>
      </c>
      <c r="D36" s="5">
        <v>16520608</v>
      </c>
      <c r="E36" s="5">
        <v>19721781</v>
      </c>
      <c r="F36" s="5">
        <v>22670415</v>
      </c>
      <c r="G36" s="5">
        <v>24185050</v>
      </c>
      <c r="H36" s="5">
        <v>24149971</v>
      </c>
      <c r="I36" s="5">
        <v>24968615</v>
      </c>
      <c r="J36" s="5">
        <v>25724171</v>
      </c>
      <c r="K36" s="5">
        <v>27420501</v>
      </c>
      <c r="L36" s="5">
        <v>27394883</v>
      </c>
      <c r="M36" s="5">
        <v>27294331</v>
      </c>
      <c r="N36" s="155">
        <v>27974355</v>
      </c>
      <c r="O36" s="5">
        <v>26396821</v>
      </c>
      <c r="P36" s="5">
        <v>27990523</v>
      </c>
      <c r="Q36" s="5">
        <v>28471374</v>
      </c>
      <c r="R36" s="5">
        <v>29926082</v>
      </c>
      <c r="S36" s="5">
        <v>30636808</v>
      </c>
      <c r="T36" s="5">
        <v>31761185</v>
      </c>
      <c r="U36" s="5">
        <v>32461481</v>
      </c>
      <c r="V36" s="5">
        <v>34006119</v>
      </c>
      <c r="W36" s="5">
        <v>41872297</v>
      </c>
      <c r="X36" s="5">
        <v>35570035</v>
      </c>
      <c r="Y36" s="5">
        <v>38391273</v>
      </c>
      <c r="Z36" s="5">
        <v>38970645</v>
      </c>
      <c r="AA36" s="5">
        <v>38880274</v>
      </c>
      <c r="AB36" s="211">
        <v>39812365</v>
      </c>
      <c r="AK36" s="211">
        <v>39518186</v>
      </c>
      <c r="AM36" s="8">
        <f t="shared" si="0"/>
        <v>294179</v>
      </c>
    </row>
    <row r="37" spans="1:39" ht="15" x14ac:dyDescent="0.4">
      <c r="A37" s="4" t="s">
        <v>37</v>
      </c>
      <c r="B37" s="5">
        <v>159145801</v>
      </c>
      <c r="C37" s="5">
        <v>239885523</v>
      </c>
      <c r="D37" s="5">
        <v>288468284</v>
      </c>
      <c r="E37" s="5">
        <v>344364350</v>
      </c>
      <c r="F37" s="5">
        <v>386053232</v>
      </c>
      <c r="G37" s="5">
        <v>404054880</v>
      </c>
      <c r="H37" s="5">
        <v>403484832</v>
      </c>
      <c r="I37" s="5">
        <v>410347509</v>
      </c>
      <c r="J37" s="5">
        <v>415983310</v>
      </c>
      <c r="K37" s="5">
        <v>435055616</v>
      </c>
      <c r="L37" s="5">
        <v>434669500</v>
      </c>
      <c r="M37" s="5">
        <v>433153992</v>
      </c>
      <c r="N37" s="155">
        <v>437042644</v>
      </c>
      <c r="O37" s="5">
        <v>413778315</v>
      </c>
      <c r="P37" s="5">
        <v>430675908</v>
      </c>
      <c r="Q37" s="5">
        <v>431520529</v>
      </c>
      <c r="R37" s="5">
        <v>445538188</v>
      </c>
      <c r="S37" s="5">
        <v>449176803</v>
      </c>
      <c r="T37" s="5">
        <v>457817083</v>
      </c>
      <c r="U37" s="5">
        <v>460721435</v>
      </c>
      <c r="V37" s="5">
        <v>474261504</v>
      </c>
      <c r="W37" s="5">
        <v>572901396</v>
      </c>
      <c r="X37" s="5">
        <v>493497272</v>
      </c>
      <c r="Y37" s="5">
        <v>521832875</v>
      </c>
      <c r="Z37" s="5">
        <v>522032502</v>
      </c>
      <c r="AA37" s="5">
        <v>520667408</v>
      </c>
      <c r="AB37" s="211">
        <v>524872331</v>
      </c>
      <c r="AK37" s="211">
        <v>521326773</v>
      </c>
      <c r="AM37" s="8">
        <f t="shared" si="0"/>
        <v>3545558</v>
      </c>
    </row>
    <row r="38" spans="1:39" ht="15" x14ac:dyDescent="0.4">
      <c r="A38" s="4" t="s">
        <v>38</v>
      </c>
      <c r="B38" s="5">
        <v>55517617</v>
      </c>
      <c r="C38" s="5">
        <v>81913464</v>
      </c>
      <c r="D38" s="5">
        <v>98502970</v>
      </c>
      <c r="E38" s="5">
        <v>116368189</v>
      </c>
      <c r="F38" s="5">
        <v>130455767</v>
      </c>
      <c r="G38" s="5">
        <v>136538915</v>
      </c>
      <c r="H38" s="5">
        <v>136350331</v>
      </c>
      <c r="I38" s="5">
        <v>138669447</v>
      </c>
      <c r="J38" s="5">
        <v>140573963</v>
      </c>
      <c r="K38" s="5">
        <v>147019100</v>
      </c>
      <c r="L38" s="5">
        <v>146891050</v>
      </c>
      <c r="M38" s="5">
        <v>146388454</v>
      </c>
      <c r="N38" s="155">
        <v>147703001</v>
      </c>
      <c r="O38" s="5">
        <v>139984843</v>
      </c>
      <c r="P38" s="5">
        <v>146448894</v>
      </c>
      <c r="Q38" s="5">
        <v>146736103</v>
      </c>
      <c r="R38" s="5">
        <v>151502728</v>
      </c>
      <c r="S38" s="5">
        <v>152753076</v>
      </c>
      <c r="T38" s="5">
        <v>155678097</v>
      </c>
      <c r="U38" s="5">
        <v>156665705</v>
      </c>
      <c r="V38" s="5">
        <v>161932580</v>
      </c>
      <c r="W38" s="5">
        <v>199418424</v>
      </c>
      <c r="X38" s="5">
        <v>171831887</v>
      </c>
      <c r="Y38" s="5">
        <v>181690015</v>
      </c>
      <c r="Z38" s="5">
        <v>181770478</v>
      </c>
      <c r="AA38" s="5">
        <v>181250221</v>
      </c>
      <c r="AB38" s="211">
        <v>182714002</v>
      </c>
      <c r="AK38" s="211">
        <v>181479753</v>
      </c>
      <c r="AM38" s="8">
        <f t="shared" si="0"/>
        <v>1234249</v>
      </c>
    </row>
    <row r="39" spans="1:39" ht="15" x14ac:dyDescent="0.4">
      <c r="A39" s="4" t="s">
        <v>39</v>
      </c>
      <c r="B39" s="5">
        <v>48323540</v>
      </c>
      <c r="C39" s="5">
        <v>72297813</v>
      </c>
      <c r="D39" s="5">
        <v>86394113</v>
      </c>
      <c r="E39" s="5">
        <v>100990582</v>
      </c>
      <c r="F39" s="5">
        <v>113747843</v>
      </c>
      <c r="G39" s="5">
        <v>119051901</v>
      </c>
      <c r="H39" s="5">
        <v>118887274</v>
      </c>
      <c r="I39" s="5">
        <v>120909370</v>
      </c>
      <c r="J39" s="5">
        <v>122569965</v>
      </c>
      <c r="K39" s="5">
        <v>128189642</v>
      </c>
      <c r="L39" s="5">
        <v>128077875</v>
      </c>
      <c r="M39" s="5">
        <v>127639189</v>
      </c>
      <c r="N39" s="155">
        <v>128785518</v>
      </c>
      <c r="O39" s="5">
        <v>122048783</v>
      </c>
      <c r="P39" s="5">
        <v>127032927</v>
      </c>
      <c r="Q39" s="5">
        <v>127282058</v>
      </c>
      <c r="R39" s="5">
        <v>131416732</v>
      </c>
      <c r="S39" s="5">
        <v>132497376</v>
      </c>
      <c r="T39" s="5">
        <v>135038537</v>
      </c>
      <c r="U39" s="5">
        <v>135895210</v>
      </c>
      <c r="V39" s="5">
        <v>136478752</v>
      </c>
      <c r="W39" s="5">
        <v>172268524</v>
      </c>
      <c r="X39" s="5">
        <v>148491349</v>
      </c>
      <c r="Y39" s="5">
        <v>160287417</v>
      </c>
      <c r="Z39" s="5">
        <v>160235236</v>
      </c>
      <c r="AA39" s="5">
        <v>159821386</v>
      </c>
      <c r="AB39" s="211">
        <v>161112107</v>
      </c>
      <c r="AK39" s="211">
        <v>160023781</v>
      </c>
      <c r="AM39" s="8">
        <f t="shared" si="0"/>
        <v>1088326</v>
      </c>
    </row>
    <row r="40" spans="1:39" ht="15" x14ac:dyDescent="0.4">
      <c r="A40" s="4" t="s">
        <v>40</v>
      </c>
      <c r="B40" s="5">
        <v>156534110</v>
      </c>
      <c r="C40" s="5">
        <v>235280772</v>
      </c>
      <c r="D40" s="5">
        <v>281508625</v>
      </c>
      <c r="E40" s="5">
        <v>336056128</v>
      </c>
      <c r="F40" s="5">
        <v>376739214</v>
      </c>
      <c r="G40" s="5">
        <v>394306550</v>
      </c>
      <c r="H40" s="5">
        <v>393753113</v>
      </c>
      <c r="I40" s="5">
        <v>400450268</v>
      </c>
      <c r="J40" s="5">
        <v>405950138</v>
      </c>
      <c r="K40" s="5">
        <v>424562436</v>
      </c>
      <c r="L40" s="5">
        <v>424187349</v>
      </c>
      <c r="M40" s="5">
        <v>422715133</v>
      </c>
      <c r="N40" s="155">
        <v>426508528</v>
      </c>
      <c r="O40" s="5">
        <v>403908503</v>
      </c>
      <c r="P40" s="5">
        <v>420403039</v>
      </c>
      <c r="Q40" s="5">
        <v>421227513</v>
      </c>
      <c r="R40" s="5">
        <v>434910811</v>
      </c>
      <c r="S40" s="5">
        <v>438457173</v>
      </c>
      <c r="T40" s="5">
        <v>446896819</v>
      </c>
      <c r="U40" s="5">
        <v>449731894</v>
      </c>
      <c r="V40" s="5">
        <v>462947596</v>
      </c>
      <c r="W40" s="5">
        <v>559436639</v>
      </c>
      <c r="X40" s="5">
        <v>482113285</v>
      </c>
      <c r="Y40" s="5">
        <v>520433565</v>
      </c>
      <c r="Z40" s="5">
        <v>520266863</v>
      </c>
      <c r="AA40" s="5">
        <v>518944156</v>
      </c>
      <c r="AB40" s="211">
        <v>523135162</v>
      </c>
      <c r="AK40" s="211">
        <v>519601338</v>
      </c>
      <c r="AM40" s="8">
        <f t="shared" si="0"/>
        <v>3533824</v>
      </c>
    </row>
    <row r="41" spans="1:39" ht="15" x14ac:dyDescent="0.4">
      <c r="A41" s="4" t="s">
        <v>41</v>
      </c>
      <c r="B41" s="5">
        <v>17575151</v>
      </c>
      <c r="C41" s="5">
        <v>25211373</v>
      </c>
      <c r="D41" s="5">
        <v>29560959</v>
      </c>
      <c r="E41" s="5">
        <v>34402113</v>
      </c>
      <c r="F41" s="5">
        <v>38566846</v>
      </c>
      <c r="G41" s="5">
        <v>40365217</v>
      </c>
      <c r="H41" s="5">
        <v>40312171</v>
      </c>
      <c r="I41" s="5">
        <v>40997821</v>
      </c>
      <c r="J41" s="5">
        <v>41560894</v>
      </c>
      <c r="K41" s="5">
        <v>43466408</v>
      </c>
      <c r="L41" s="5">
        <v>43430175</v>
      </c>
      <c r="M41" s="5">
        <v>43287960</v>
      </c>
      <c r="N41" s="155">
        <v>43674918</v>
      </c>
      <c r="O41" s="5">
        <v>41491016</v>
      </c>
      <c r="P41" s="5">
        <v>43185397</v>
      </c>
      <c r="Q41" s="5">
        <v>43270090</v>
      </c>
      <c r="R41" s="5">
        <v>44675690</v>
      </c>
      <c r="S41" s="5">
        <v>45028020</v>
      </c>
      <c r="T41" s="5">
        <v>45906938</v>
      </c>
      <c r="U41" s="5">
        <v>46198168</v>
      </c>
      <c r="V41" s="5">
        <v>47553062</v>
      </c>
      <c r="W41" s="5">
        <v>57122885</v>
      </c>
      <c r="X41" s="5">
        <v>49513817</v>
      </c>
      <c r="Y41" s="5">
        <v>52387739</v>
      </c>
      <c r="Z41" s="5">
        <v>52378545</v>
      </c>
      <c r="AA41" s="5">
        <v>52275509</v>
      </c>
      <c r="AB41" s="211">
        <v>52697687</v>
      </c>
      <c r="AK41" s="211">
        <v>52341710</v>
      </c>
      <c r="AM41" s="8">
        <f t="shared" si="0"/>
        <v>355977</v>
      </c>
    </row>
    <row r="42" spans="1:39" ht="15" x14ac:dyDescent="0.4">
      <c r="A42" s="4" t="s">
        <v>42</v>
      </c>
      <c r="B42" s="5">
        <v>68478573</v>
      </c>
      <c r="C42" s="5">
        <v>98231807</v>
      </c>
      <c r="D42" s="5">
        <v>115429949</v>
      </c>
      <c r="E42" s="5">
        <v>137796637</v>
      </c>
      <c r="F42" s="5">
        <v>154478352</v>
      </c>
      <c r="G42" s="5">
        <v>161681672</v>
      </c>
      <c r="H42" s="5">
        <v>161464733</v>
      </c>
      <c r="I42" s="5">
        <v>164211008</v>
      </c>
      <c r="J42" s="5">
        <v>166466317</v>
      </c>
      <c r="K42" s="5">
        <v>176030072</v>
      </c>
      <c r="L42" s="5">
        <v>175879561</v>
      </c>
      <c r="M42" s="5">
        <v>175288806</v>
      </c>
      <c r="N42" s="155">
        <v>176861071</v>
      </c>
      <c r="O42" s="5">
        <v>167787900</v>
      </c>
      <c r="P42" s="5">
        <v>174639906</v>
      </c>
      <c r="Q42" s="5">
        <v>174982401</v>
      </c>
      <c r="R42" s="5">
        <v>180666589</v>
      </c>
      <c r="S42" s="5">
        <v>182138660</v>
      </c>
      <c r="T42" s="5">
        <v>185645704</v>
      </c>
      <c r="U42" s="5">
        <v>186823424</v>
      </c>
      <c r="V42" s="5">
        <v>192315162</v>
      </c>
      <c r="W42" s="5">
        <v>236821186</v>
      </c>
      <c r="X42" s="5">
        <v>204524498</v>
      </c>
      <c r="Y42" s="5">
        <v>220793149</v>
      </c>
      <c r="Z42" s="5">
        <v>220716928</v>
      </c>
      <c r="AA42" s="5">
        <v>220145020</v>
      </c>
      <c r="AB42" s="211">
        <v>221922917</v>
      </c>
      <c r="AK42" s="211">
        <v>220423808</v>
      </c>
      <c r="AM42" s="8">
        <f t="shared" si="0"/>
        <v>1499109</v>
      </c>
    </row>
    <row r="43" spans="1:39" ht="15" x14ac:dyDescent="0.4">
      <c r="A43" s="4" t="s">
        <v>43</v>
      </c>
      <c r="B43" s="5">
        <v>10857498</v>
      </c>
      <c r="C43" s="5">
        <v>16365852</v>
      </c>
      <c r="D43" s="5">
        <v>19680342</v>
      </c>
      <c r="E43" s="5">
        <v>23493772</v>
      </c>
      <c r="F43" s="5">
        <v>27006362</v>
      </c>
      <c r="G43" s="5">
        <v>28810686</v>
      </c>
      <c r="H43" s="5">
        <v>28768898</v>
      </c>
      <c r="I43" s="5">
        <v>29744116</v>
      </c>
      <c r="J43" s="5">
        <v>30644180</v>
      </c>
      <c r="K43" s="5">
        <v>32664950</v>
      </c>
      <c r="L43" s="5">
        <v>32634432</v>
      </c>
      <c r="M43" s="5">
        <v>32514649</v>
      </c>
      <c r="N43" s="155">
        <v>33325283</v>
      </c>
      <c r="O43" s="5">
        <v>31445481</v>
      </c>
      <c r="P43" s="5">
        <v>33343995</v>
      </c>
      <c r="Q43" s="5">
        <v>33916813</v>
      </c>
      <c r="R43" s="5">
        <v>35649749</v>
      </c>
      <c r="S43" s="5">
        <v>36497087</v>
      </c>
      <c r="T43" s="5">
        <v>37414658</v>
      </c>
      <c r="U43" s="5">
        <v>37703138</v>
      </c>
      <c r="V43" s="5">
        <v>39046113</v>
      </c>
      <c r="W43" s="5">
        <v>48079554</v>
      </c>
      <c r="X43" s="5">
        <v>40923932</v>
      </c>
      <c r="Y43" s="5">
        <v>43943542</v>
      </c>
      <c r="Z43" s="5">
        <v>43942745</v>
      </c>
      <c r="AA43" s="5">
        <v>43839622</v>
      </c>
      <c r="AB43" s="211">
        <v>44292660</v>
      </c>
      <c r="AK43" s="211">
        <v>43934178</v>
      </c>
      <c r="AM43" s="8">
        <f t="shared" si="0"/>
        <v>358482</v>
      </c>
    </row>
    <row r="44" spans="1:39" ht="15" x14ac:dyDescent="0.4">
      <c r="A44" s="4" t="s">
        <v>44</v>
      </c>
      <c r="B44" s="5">
        <v>88697223</v>
      </c>
      <c r="C44" s="5">
        <v>128733463</v>
      </c>
      <c r="D44" s="5">
        <v>154805179</v>
      </c>
      <c r="E44" s="5">
        <v>181996487</v>
      </c>
      <c r="F44" s="5">
        <v>205685894</v>
      </c>
      <c r="G44" s="5">
        <v>215277020</v>
      </c>
      <c r="H44" s="5">
        <v>214982394</v>
      </c>
      <c r="I44" s="5">
        <v>218638925</v>
      </c>
      <c r="J44" s="5">
        <v>221641759</v>
      </c>
      <c r="K44" s="5">
        <v>235422260</v>
      </c>
      <c r="L44" s="5">
        <v>235216929</v>
      </c>
      <c r="M44" s="5">
        <v>234411003</v>
      </c>
      <c r="N44" s="155">
        <v>236516628</v>
      </c>
      <c r="O44" s="5">
        <v>224140015</v>
      </c>
      <c r="P44" s="5">
        <v>234531578</v>
      </c>
      <c r="Q44" s="5">
        <v>234991530</v>
      </c>
      <c r="R44" s="5">
        <v>242625075</v>
      </c>
      <c r="S44" s="5">
        <v>244624689</v>
      </c>
      <c r="T44" s="5">
        <v>249311747</v>
      </c>
      <c r="U44" s="5">
        <v>250893359</v>
      </c>
      <c r="V44" s="5">
        <v>258271849</v>
      </c>
      <c r="W44" s="5">
        <v>318052869</v>
      </c>
      <c r="X44" s="5">
        <v>274069055</v>
      </c>
      <c r="Y44" s="5">
        <v>289801888</v>
      </c>
      <c r="Z44" s="5">
        <v>289921473</v>
      </c>
      <c r="AA44" s="5">
        <v>289114308</v>
      </c>
      <c r="AB44" s="211">
        <v>291449202</v>
      </c>
      <c r="AK44" s="211">
        <v>289480438</v>
      </c>
      <c r="AM44" s="8">
        <f t="shared" si="0"/>
        <v>1968764</v>
      </c>
    </row>
    <row r="45" spans="1:39" ht="15" x14ac:dyDescent="0.4">
      <c r="A45" s="4" t="s">
        <v>45</v>
      </c>
      <c r="B45" s="5">
        <v>336565139</v>
      </c>
      <c r="C45" s="5">
        <v>505688457</v>
      </c>
      <c r="D45" s="5">
        <v>608102898</v>
      </c>
      <c r="E45" s="5">
        <v>725934083</v>
      </c>
      <c r="F45" s="5">
        <v>834469609</v>
      </c>
      <c r="G45" s="5">
        <v>889556166</v>
      </c>
      <c r="H45" s="5">
        <v>888269029</v>
      </c>
      <c r="I45" s="5">
        <v>903726489</v>
      </c>
      <c r="J45" s="5">
        <v>916138464</v>
      </c>
      <c r="K45" s="5">
        <v>976551412</v>
      </c>
      <c r="L45" s="5">
        <v>975655796</v>
      </c>
      <c r="M45" s="5">
        <v>972140502</v>
      </c>
      <c r="N45" s="155">
        <v>980891885</v>
      </c>
      <c r="O45" s="5">
        <v>926935392</v>
      </c>
      <c r="P45" s="5">
        <v>982898919</v>
      </c>
      <c r="Q45" s="5">
        <v>984826533</v>
      </c>
      <c r="R45" s="5">
        <v>1029139939</v>
      </c>
      <c r="S45" s="5">
        <v>1037781783</v>
      </c>
      <c r="T45" s="5">
        <v>1068318575</v>
      </c>
      <c r="U45" s="5">
        <v>1075095895</v>
      </c>
      <c r="V45" s="5">
        <v>1126359383</v>
      </c>
      <c r="W45" s="5">
        <v>1387178689</v>
      </c>
      <c r="X45" s="5">
        <v>1148648094</v>
      </c>
      <c r="Y45" s="5">
        <v>1208117902</v>
      </c>
      <c r="Z45" s="5">
        <v>1217469323</v>
      </c>
      <c r="AA45" s="5">
        <v>1250501548</v>
      </c>
      <c r="AB45" s="211">
        <v>1267878259</v>
      </c>
      <c r="AK45" s="211">
        <v>1252085163</v>
      </c>
      <c r="AM45" s="8">
        <f t="shared" si="0"/>
        <v>15793096</v>
      </c>
    </row>
    <row r="46" spans="1:39" ht="15" x14ac:dyDescent="0.4">
      <c r="A46" s="4" t="s">
        <v>46</v>
      </c>
      <c r="B46" s="5">
        <v>37843586</v>
      </c>
      <c r="C46" s="5">
        <v>57042839</v>
      </c>
      <c r="D46" s="5">
        <v>68595427</v>
      </c>
      <c r="E46" s="5">
        <v>81887060</v>
      </c>
      <c r="F46" s="5">
        <v>93688425</v>
      </c>
      <c r="G46" s="5">
        <v>98467773</v>
      </c>
      <c r="H46" s="5">
        <v>98326665</v>
      </c>
      <c r="I46" s="5">
        <v>100055068</v>
      </c>
      <c r="J46" s="5">
        <v>102248650</v>
      </c>
      <c r="K46" s="5">
        <v>108991236</v>
      </c>
      <c r="L46" s="5">
        <v>108891670</v>
      </c>
      <c r="M46" s="5">
        <v>108500873</v>
      </c>
      <c r="N46" s="155">
        <v>109478880</v>
      </c>
      <c r="O46" s="5">
        <v>103478836</v>
      </c>
      <c r="P46" s="5">
        <v>109726349</v>
      </c>
      <c r="Q46" s="5">
        <v>109941539</v>
      </c>
      <c r="R46" s="5">
        <v>115558860</v>
      </c>
      <c r="S46" s="5">
        <v>116538710</v>
      </c>
      <c r="T46" s="5">
        <v>120755355</v>
      </c>
      <c r="U46" s="5">
        <v>121521416</v>
      </c>
      <c r="V46" s="5">
        <v>127316486</v>
      </c>
      <c r="W46" s="5">
        <v>156804995</v>
      </c>
      <c r="X46" s="5">
        <v>134026539</v>
      </c>
      <c r="Y46" s="5">
        <v>143316375</v>
      </c>
      <c r="Z46" s="5">
        <v>143329690</v>
      </c>
      <c r="AA46" s="5">
        <v>142871872</v>
      </c>
      <c r="AB46" s="211">
        <v>144810233</v>
      </c>
      <c r="AK46" s="211">
        <v>143052803</v>
      </c>
      <c r="AM46" s="8">
        <f t="shared" si="0"/>
        <v>1757430</v>
      </c>
    </row>
    <row r="47" spans="1:39" ht="15" x14ac:dyDescent="0.4">
      <c r="A47" s="4" t="s">
        <v>47</v>
      </c>
      <c r="B47" s="5">
        <v>8787921</v>
      </c>
      <c r="C47" s="5">
        <v>13246313</v>
      </c>
      <c r="D47" s="5">
        <v>15929020</v>
      </c>
      <c r="E47" s="5">
        <v>19015562</v>
      </c>
      <c r="F47" s="5">
        <v>21858608</v>
      </c>
      <c r="G47" s="5">
        <v>23319005</v>
      </c>
      <c r="H47" s="5">
        <v>23285183</v>
      </c>
      <c r="I47" s="5">
        <v>24074512</v>
      </c>
      <c r="J47" s="5">
        <v>24803013</v>
      </c>
      <c r="K47" s="5">
        <v>26438599</v>
      </c>
      <c r="L47" s="5">
        <v>26413898</v>
      </c>
      <c r="M47" s="5">
        <v>26316947</v>
      </c>
      <c r="N47" s="155">
        <v>26972581</v>
      </c>
      <c r="O47" s="5">
        <v>25451576</v>
      </c>
      <c r="P47" s="5">
        <v>26988209</v>
      </c>
      <c r="Q47" s="5">
        <v>27451841</v>
      </c>
      <c r="R47" s="5">
        <v>28854457</v>
      </c>
      <c r="S47" s="5">
        <v>29534047</v>
      </c>
      <c r="T47" s="5">
        <v>30623846</v>
      </c>
      <c r="U47" s="5">
        <v>31299065</v>
      </c>
      <c r="V47" s="5">
        <v>32787162</v>
      </c>
      <c r="W47" s="5">
        <v>40366964</v>
      </c>
      <c r="X47" s="5">
        <v>34278414</v>
      </c>
      <c r="Y47" s="5">
        <v>36985191</v>
      </c>
      <c r="Z47" s="5">
        <v>37553494</v>
      </c>
      <c r="AA47" s="5">
        <v>37488006</v>
      </c>
      <c r="AB47" s="211">
        <v>38386720</v>
      </c>
      <c r="AK47" s="211">
        <v>38103075</v>
      </c>
      <c r="AM47" s="8">
        <f t="shared" si="0"/>
        <v>283645</v>
      </c>
    </row>
    <row r="48" spans="1:39" ht="15" x14ac:dyDescent="0.4">
      <c r="A48" s="4" t="s">
        <v>48</v>
      </c>
      <c r="B48" s="5">
        <v>106290352</v>
      </c>
      <c r="C48" s="5">
        <v>153996278</v>
      </c>
      <c r="D48" s="5">
        <v>181253563</v>
      </c>
      <c r="E48" s="5">
        <v>214098545</v>
      </c>
      <c r="F48" s="5">
        <v>246108749</v>
      </c>
      <c r="G48" s="5">
        <v>259999139</v>
      </c>
      <c r="H48" s="5">
        <v>259641368</v>
      </c>
      <c r="I48" s="5">
        <v>264057481</v>
      </c>
      <c r="J48" s="5">
        <v>267684103</v>
      </c>
      <c r="K48" s="5">
        <v>280223978</v>
      </c>
      <c r="L48" s="5">
        <v>279980570</v>
      </c>
      <c r="M48" s="5">
        <v>279025194</v>
      </c>
      <c r="N48" s="155">
        <v>281531321</v>
      </c>
      <c r="O48" s="5">
        <v>266858779</v>
      </c>
      <c r="P48" s="5">
        <v>280427239</v>
      </c>
      <c r="Q48" s="5">
        <v>280977199</v>
      </c>
      <c r="R48" s="5">
        <v>290104558</v>
      </c>
      <c r="S48" s="5">
        <v>292497089</v>
      </c>
      <c r="T48" s="5">
        <v>298099751</v>
      </c>
      <c r="U48" s="5">
        <v>299990870</v>
      </c>
      <c r="V48" s="5">
        <v>308813311</v>
      </c>
      <c r="W48" s="5">
        <v>380292318</v>
      </c>
      <c r="X48" s="5">
        <v>327747822</v>
      </c>
      <c r="Y48" s="5">
        <v>346604260</v>
      </c>
      <c r="Z48" s="5">
        <v>346708347</v>
      </c>
      <c r="AA48" s="5">
        <v>345739785</v>
      </c>
      <c r="AB48" s="211">
        <v>348531988</v>
      </c>
      <c r="AK48" s="211">
        <v>346177624</v>
      </c>
      <c r="AM48" s="8">
        <f t="shared" si="0"/>
        <v>2354364</v>
      </c>
    </row>
    <row r="49" spans="1:39" ht="15" x14ac:dyDescent="0.4">
      <c r="A49" s="4" t="s">
        <v>49</v>
      </c>
      <c r="B49" s="5">
        <v>78927411</v>
      </c>
      <c r="C49" s="5">
        <v>118603146</v>
      </c>
      <c r="D49" s="5">
        <v>142623221</v>
      </c>
      <c r="E49" s="5">
        <v>170259108</v>
      </c>
      <c r="F49" s="5">
        <v>195225582</v>
      </c>
      <c r="G49" s="5">
        <v>204328944</v>
      </c>
      <c r="H49" s="5">
        <v>204037061</v>
      </c>
      <c r="I49" s="5">
        <v>207507428</v>
      </c>
      <c r="J49" s="5">
        <v>210357380</v>
      </c>
      <c r="K49" s="5">
        <v>220001998</v>
      </c>
      <c r="L49" s="5">
        <v>219804574</v>
      </c>
      <c r="M49" s="5">
        <v>219029685</v>
      </c>
      <c r="N49" s="155">
        <v>220997879</v>
      </c>
      <c r="O49" s="5">
        <v>209103086</v>
      </c>
      <c r="P49" s="5">
        <v>217694346</v>
      </c>
      <c r="Q49" s="5">
        <v>218121278</v>
      </c>
      <c r="R49" s="5">
        <v>225206804</v>
      </c>
      <c r="S49" s="5">
        <v>227074062</v>
      </c>
      <c r="T49" s="5">
        <v>231413434</v>
      </c>
      <c r="U49" s="5">
        <v>232881501</v>
      </c>
      <c r="V49" s="5">
        <v>241300104</v>
      </c>
      <c r="W49" s="5">
        <v>297162183</v>
      </c>
      <c r="X49" s="5">
        <v>255327572</v>
      </c>
      <c r="Y49" s="5">
        <v>275619551</v>
      </c>
      <c r="Z49" s="5">
        <v>275516895</v>
      </c>
      <c r="AA49" s="5">
        <v>274745913</v>
      </c>
      <c r="AB49" s="211">
        <v>276964768</v>
      </c>
      <c r="AK49" s="211">
        <v>275093847</v>
      </c>
      <c r="AM49" s="8">
        <f t="shared" si="0"/>
        <v>1870921</v>
      </c>
    </row>
    <row r="50" spans="1:39" ht="15" x14ac:dyDescent="0.4">
      <c r="A50" s="4" t="s">
        <v>50</v>
      </c>
      <c r="B50" s="5">
        <v>30522278</v>
      </c>
      <c r="C50" s="5">
        <v>43783893</v>
      </c>
      <c r="D50" s="5">
        <v>51337699</v>
      </c>
      <c r="E50" s="5">
        <v>59745197</v>
      </c>
      <c r="F50" s="5">
        <v>66977974</v>
      </c>
      <c r="G50" s="5">
        <v>70101154</v>
      </c>
      <c r="H50" s="5">
        <v>70009031</v>
      </c>
      <c r="I50" s="5">
        <v>71199780</v>
      </c>
      <c r="J50" s="5">
        <v>72177653</v>
      </c>
      <c r="K50" s="5">
        <v>75486907</v>
      </c>
      <c r="L50" s="5">
        <v>75423982</v>
      </c>
      <c r="M50" s="5">
        <v>75177002</v>
      </c>
      <c r="N50" s="155">
        <v>75848901</v>
      </c>
      <c r="O50" s="5">
        <v>72056298</v>
      </c>
      <c r="P50" s="5">
        <v>74998883</v>
      </c>
      <c r="Q50" s="5">
        <v>75145967</v>
      </c>
      <c r="R50" s="5">
        <v>77587034</v>
      </c>
      <c r="S50" s="5">
        <v>77413986</v>
      </c>
      <c r="T50" s="5">
        <v>79725309</v>
      </c>
      <c r="U50" s="5">
        <v>80231079</v>
      </c>
      <c r="V50" s="5">
        <v>82584682</v>
      </c>
      <c r="W50" s="5">
        <v>99204658</v>
      </c>
      <c r="X50" s="5">
        <v>85993211</v>
      </c>
      <c r="Y50" s="5">
        <v>90983635</v>
      </c>
      <c r="Z50" s="5">
        <v>90973987</v>
      </c>
      <c r="AA50" s="5">
        <v>90785429</v>
      </c>
      <c r="AB50" s="211">
        <v>91518614</v>
      </c>
      <c r="AK50" s="211">
        <v>90900398</v>
      </c>
      <c r="AM50" s="8">
        <f t="shared" si="0"/>
        <v>618216</v>
      </c>
    </row>
    <row r="51" spans="1:39" ht="15" x14ac:dyDescent="0.4">
      <c r="A51" s="4" t="s">
        <v>51</v>
      </c>
      <c r="B51" s="5">
        <v>80406470</v>
      </c>
      <c r="C51" s="5">
        <v>117131369</v>
      </c>
      <c r="D51" s="5">
        <v>140599055</v>
      </c>
      <c r="E51" s="5">
        <v>163780418</v>
      </c>
      <c r="F51" s="5">
        <v>183607739</v>
      </c>
      <c r="G51" s="5">
        <v>192169361</v>
      </c>
      <c r="H51" s="5">
        <v>191909223</v>
      </c>
      <c r="I51" s="5">
        <v>195173313</v>
      </c>
      <c r="J51" s="5">
        <v>197853865</v>
      </c>
      <c r="K51" s="5">
        <v>206925213</v>
      </c>
      <c r="L51" s="5">
        <v>206748159</v>
      </c>
      <c r="M51" s="5">
        <v>206053221</v>
      </c>
      <c r="N51" s="155">
        <v>207901057</v>
      </c>
      <c r="O51" s="5">
        <v>197228296</v>
      </c>
      <c r="P51" s="5">
        <v>205282569</v>
      </c>
      <c r="Q51" s="5">
        <v>205685159</v>
      </c>
      <c r="R51" s="5">
        <v>212366706</v>
      </c>
      <c r="S51" s="5">
        <v>214086706</v>
      </c>
      <c r="T51" s="5">
        <v>218219467</v>
      </c>
      <c r="U51" s="5">
        <v>219603832</v>
      </c>
      <c r="V51" s="5">
        <v>226055137</v>
      </c>
      <c r="W51" s="5">
        <v>271578209</v>
      </c>
      <c r="X51" s="5">
        <v>234878637</v>
      </c>
      <c r="Y51" s="5">
        <v>250307158</v>
      </c>
      <c r="Z51" s="5">
        <v>250231958</v>
      </c>
      <c r="AA51" s="5">
        <v>249617277</v>
      </c>
      <c r="AB51" s="211">
        <v>251633192</v>
      </c>
      <c r="AK51" s="211">
        <v>249933388</v>
      </c>
      <c r="AM51" s="8">
        <f t="shared" si="0"/>
        <v>1699804</v>
      </c>
    </row>
    <row r="52" spans="1:39" ht="15" x14ac:dyDescent="0.4">
      <c r="A52" s="4" t="s">
        <v>52</v>
      </c>
      <c r="B52" s="5">
        <v>9219400</v>
      </c>
      <c r="C52" s="5">
        <v>13896695</v>
      </c>
      <c r="D52" s="5">
        <v>16711120</v>
      </c>
      <c r="E52" s="5">
        <v>19949209</v>
      </c>
      <c r="F52" s="5">
        <v>22931846</v>
      </c>
      <c r="G52" s="5">
        <v>24463947</v>
      </c>
      <c r="H52" s="5">
        <v>24428464</v>
      </c>
      <c r="I52" s="5">
        <v>25256549</v>
      </c>
      <c r="J52" s="5">
        <v>26020818</v>
      </c>
      <c r="K52" s="5">
        <v>27736710</v>
      </c>
      <c r="L52" s="5">
        <v>27710796</v>
      </c>
      <c r="M52" s="5">
        <v>27609085</v>
      </c>
      <c r="N52" s="155">
        <v>28296346</v>
      </c>
      <c r="O52" s="5">
        <v>26701225</v>
      </c>
      <c r="P52" s="5">
        <v>28313306</v>
      </c>
      <c r="Q52" s="5">
        <v>28799702</v>
      </c>
      <c r="R52" s="5">
        <v>30271186</v>
      </c>
      <c r="S52" s="5">
        <v>30981649</v>
      </c>
      <c r="T52" s="5">
        <v>32127451</v>
      </c>
      <c r="U52" s="5">
        <v>32835822</v>
      </c>
      <c r="V52" s="5">
        <v>34396519</v>
      </c>
      <c r="W52" s="5">
        <v>42347082</v>
      </c>
      <c r="X52" s="5">
        <v>35956920</v>
      </c>
      <c r="Y52" s="5">
        <v>38803230</v>
      </c>
      <c r="Z52" s="5">
        <v>39392186</v>
      </c>
      <c r="AA52" s="5">
        <v>39328635</v>
      </c>
      <c r="AB52" s="211">
        <v>40271475</v>
      </c>
      <c r="AK52" s="211">
        <v>39973904</v>
      </c>
      <c r="AM52" s="8">
        <f t="shared" si="0"/>
        <v>297571</v>
      </c>
    </row>
    <row r="53" spans="1:39" ht="15" x14ac:dyDescent="0.4">
      <c r="A53" s="4" t="s">
        <v>53</v>
      </c>
      <c r="B53" s="5">
        <v>4832745</v>
      </c>
      <c r="C53" s="5">
        <v>5127424</v>
      </c>
      <c r="D53" s="5">
        <v>5705650</v>
      </c>
      <c r="E53" s="5">
        <v>5816515</v>
      </c>
      <c r="F53" s="5">
        <v>5935219</v>
      </c>
      <c r="G53" s="5">
        <v>6124504</v>
      </c>
      <c r="H53" s="5">
        <v>6122495</v>
      </c>
      <c r="I53" s="5">
        <v>6202408</v>
      </c>
      <c r="J53" s="5">
        <v>6297058</v>
      </c>
      <c r="K53" s="5">
        <v>6297058</v>
      </c>
      <c r="L53" s="5">
        <v>6297058</v>
      </c>
      <c r="M53" s="5">
        <v>6297058</v>
      </c>
      <c r="N53" s="155">
        <v>6358510</v>
      </c>
      <c r="O53" s="5">
        <v>6297058</v>
      </c>
      <c r="P53" s="5">
        <v>6357737</v>
      </c>
      <c r="Q53" s="5">
        <v>6357737</v>
      </c>
      <c r="R53" s="5">
        <v>6368582</v>
      </c>
      <c r="S53" s="5">
        <v>6333697</v>
      </c>
      <c r="T53" s="5">
        <v>6368582</v>
      </c>
      <c r="U53" s="5">
        <v>7130299</v>
      </c>
      <c r="V53" s="5">
        <v>7141124</v>
      </c>
      <c r="W53" s="5">
        <v>8355328</v>
      </c>
      <c r="X53" s="5">
        <v>7035807</v>
      </c>
      <c r="Y53" s="5">
        <v>8257741</v>
      </c>
      <c r="Z53" s="5">
        <v>8269376</v>
      </c>
      <c r="AA53" s="5">
        <v>8269376</v>
      </c>
      <c r="AB53" s="211">
        <v>7976702</v>
      </c>
      <c r="AK53" s="211">
        <v>7946109</v>
      </c>
      <c r="AM53" s="8">
        <f t="shared" si="0"/>
        <v>30593</v>
      </c>
    </row>
    <row r="54" spans="1:39" ht="15" x14ac:dyDescent="0.4">
      <c r="A54" s="4" t="s">
        <v>54</v>
      </c>
      <c r="B54" s="5">
        <v>11675837</v>
      </c>
      <c r="C54" s="5">
        <v>12387778</v>
      </c>
      <c r="D54" s="5">
        <v>12629887</v>
      </c>
      <c r="E54" s="5">
        <v>12896899</v>
      </c>
      <c r="F54" s="5">
        <v>13160101</v>
      </c>
      <c r="G54" s="5">
        <v>13579801</v>
      </c>
      <c r="H54" s="5">
        <v>13575347</v>
      </c>
      <c r="I54" s="5">
        <v>13752535</v>
      </c>
      <c r="J54" s="5">
        <v>13962402</v>
      </c>
      <c r="K54" s="5">
        <v>13962402</v>
      </c>
      <c r="L54" s="5">
        <v>13962402</v>
      </c>
      <c r="M54" s="5">
        <v>13962402</v>
      </c>
      <c r="N54" s="155">
        <v>14098659</v>
      </c>
      <c r="O54" s="5">
        <v>13962402</v>
      </c>
      <c r="P54" s="5">
        <v>14096945</v>
      </c>
      <c r="Q54" s="5">
        <v>14096945</v>
      </c>
      <c r="R54" s="5">
        <v>14120991</v>
      </c>
      <c r="S54" s="5">
        <v>14120991</v>
      </c>
      <c r="T54" s="5">
        <v>14120991</v>
      </c>
      <c r="U54" s="5">
        <v>16817987</v>
      </c>
      <c r="V54" s="5">
        <v>16876737</v>
      </c>
      <c r="W54" s="5">
        <v>20346198</v>
      </c>
      <c r="X54" s="5">
        <v>17234421</v>
      </c>
      <c r="Y54" s="5">
        <v>18773585</v>
      </c>
      <c r="Z54" s="5">
        <v>18800038</v>
      </c>
      <c r="AA54" s="5">
        <v>18800038</v>
      </c>
      <c r="AB54" s="211">
        <v>19146401</v>
      </c>
      <c r="AK54" s="211">
        <v>19072968</v>
      </c>
      <c r="AM54" s="8">
        <f t="shared" si="0"/>
        <v>73433</v>
      </c>
    </row>
    <row r="55" spans="1:39" ht="15" x14ac:dyDescent="0.4">
      <c r="A55" s="4" t="s">
        <v>55</v>
      </c>
      <c r="B55" s="5">
        <v>2980233</v>
      </c>
      <c r="C55" s="5">
        <v>3161954</v>
      </c>
      <c r="D55" s="5">
        <v>4372921</v>
      </c>
      <c r="E55" s="5">
        <v>4419970</v>
      </c>
      <c r="F55" s="5">
        <v>4510173</v>
      </c>
      <c r="G55" s="5">
        <v>4654011</v>
      </c>
      <c r="H55" s="5">
        <v>4652485</v>
      </c>
      <c r="I55" s="5">
        <v>4713210</v>
      </c>
      <c r="J55" s="5">
        <v>4785135</v>
      </c>
      <c r="K55" s="5">
        <v>4785135</v>
      </c>
      <c r="L55" s="5">
        <v>4785135</v>
      </c>
      <c r="M55" s="5">
        <v>4785135</v>
      </c>
      <c r="N55" s="155">
        <v>4831832</v>
      </c>
      <c r="O55" s="5">
        <v>4785135</v>
      </c>
      <c r="P55" s="5">
        <v>4831245</v>
      </c>
      <c r="Q55" s="5">
        <v>4831245</v>
      </c>
      <c r="R55" s="5">
        <v>4839486</v>
      </c>
      <c r="S55" s="5">
        <v>4839486</v>
      </c>
      <c r="T55" s="5">
        <v>4839486</v>
      </c>
      <c r="U55" s="5">
        <v>5088893</v>
      </c>
      <c r="V55" s="5">
        <v>5049732</v>
      </c>
      <c r="W55" s="5">
        <v>6343956</v>
      </c>
      <c r="X55" s="5">
        <v>5342083</v>
      </c>
      <c r="Y55" s="5">
        <v>6290518</v>
      </c>
      <c r="Z55" s="5">
        <v>6142095</v>
      </c>
      <c r="AA55" s="5">
        <v>6299381</v>
      </c>
      <c r="AB55" s="211">
        <v>6136815</v>
      </c>
      <c r="AK55" s="211">
        <v>6113279</v>
      </c>
      <c r="AM55" s="8">
        <f t="shared" si="0"/>
        <v>23536</v>
      </c>
    </row>
    <row r="56" spans="1:39" ht="15" x14ac:dyDescent="0.4">
      <c r="A56" s="4" t="s">
        <v>56</v>
      </c>
      <c r="B56" s="5">
        <v>37448755</v>
      </c>
      <c r="C56" s="5">
        <v>56447698</v>
      </c>
      <c r="D56" s="5">
        <v>67879755</v>
      </c>
      <c r="E56" s="5">
        <v>81032713</v>
      </c>
      <c r="F56" s="5">
        <v>93148039</v>
      </c>
      <c r="G56" s="5">
        <v>99371359</v>
      </c>
      <c r="H56" s="5">
        <v>99227228</v>
      </c>
      <c r="I56" s="5">
        <v>102590867</v>
      </c>
      <c r="J56" s="5">
        <v>105695291</v>
      </c>
      <c r="K56" s="5">
        <v>112665159</v>
      </c>
      <c r="L56" s="5">
        <v>112559899</v>
      </c>
      <c r="M56" s="5">
        <v>112146753</v>
      </c>
      <c r="N56" s="155">
        <v>114957397</v>
      </c>
      <c r="O56" s="5">
        <v>108459070</v>
      </c>
      <c r="P56" s="5">
        <v>115007263</v>
      </c>
      <c r="Q56" s="5">
        <v>115232810</v>
      </c>
      <c r="R56" s="5">
        <v>121120482</v>
      </c>
      <c r="S56" s="5">
        <v>123392698</v>
      </c>
      <c r="T56" s="5">
        <v>127835370</v>
      </c>
      <c r="U56" s="5">
        <v>128646346</v>
      </c>
      <c r="V56" s="5">
        <v>132432528</v>
      </c>
      <c r="W56" s="5">
        <v>163095042</v>
      </c>
      <c r="X56" s="5">
        <v>138986097</v>
      </c>
      <c r="Y56" s="5">
        <v>150154148</v>
      </c>
      <c r="Z56" s="5">
        <v>149961858</v>
      </c>
      <c r="AA56" s="5">
        <v>149556625</v>
      </c>
      <c r="AB56" s="211">
        <v>150764448</v>
      </c>
      <c r="AK56" s="211">
        <v>149746021</v>
      </c>
      <c r="AM56" s="8">
        <f t="shared" si="0"/>
        <v>1018427</v>
      </c>
    </row>
    <row r="57" spans="1:39" ht="15" x14ac:dyDescent="0.4">
      <c r="A57" s="4" t="s">
        <v>57</v>
      </c>
      <c r="B57" s="5">
        <v>8852007</v>
      </c>
      <c r="C57" s="5">
        <v>9391764</v>
      </c>
      <c r="D57" s="5">
        <v>7999858</v>
      </c>
      <c r="E57" s="5">
        <v>8197048</v>
      </c>
      <c r="F57" s="5">
        <v>8364335</v>
      </c>
      <c r="G57" s="5">
        <v>8631089</v>
      </c>
      <c r="H57" s="5">
        <v>8628258</v>
      </c>
      <c r="I57" s="5">
        <v>8740876</v>
      </c>
      <c r="J57" s="5">
        <v>8874264</v>
      </c>
      <c r="K57" s="5">
        <v>8874264</v>
      </c>
      <c r="L57" s="5">
        <v>8874264</v>
      </c>
      <c r="M57" s="5">
        <v>8874264</v>
      </c>
      <c r="N57" s="155">
        <v>8960866</v>
      </c>
      <c r="O57" s="5">
        <v>8874264</v>
      </c>
      <c r="P57" s="5">
        <v>8959778</v>
      </c>
      <c r="Q57" s="5">
        <v>8959778</v>
      </c>
      <c r="R57" s="5">
        <v>8975061</v>
      </c>
      <c r="S57" s="5">
        <v>8975061</v>
      </c>
      <c r="T57" s="5">
        <v>8975061</v>
      </c>
      <c r="U57" s="5">
        <v>8975061</v>
      </c>
      <c r="V57" s="5">
        <v>8944647</v>
      </c>
      <c r="W57" s="5">
        <v>10554518</v>
      </c>
      <c r="X57" s="5">
        <v>8887689</v>
      </c>
      <c r="Y57" s="5">
        <v>7630624</v>
      </c>
      <c r="Z57" s="5">
        <v>7641376</v>
      </c>
      <c r="AA57" s="5">
        <v>7641376</v>
      </c>
      <c r="AB57" s="211">
        <v>7750254</v>
      </c>
      <c r="AK57" s="211">
        <v>7720530</v>
      </c>
      <c r="AM57" s="8">
        <f t="shared" si="0"/>
        <v>29724</v>
      </c>
    </row>
    <row r="58" spans="1:39" ht="15" x14ac:dyDescent="0.4">
      <c r="A58" s="4" t="s">
        <v>58</v>
      </c>
      <c r="B58" s="5">
        <v>7243368</v>
      </c>
      <c r="C58" s="5">
        <v>0</v>
      </c>
      <c r="D58" s="5">
        <v>0</v>
      </c>
      <c r="E58" s="5">
        <v>0</v>
      </c>
      <c r="F58" s="5">
        <v>0</v>
      </c>
      <c r="G58" s="5">
        <v>6579306</v>
      </c>
      <c r="H58" s="5">
        <v>6579306</v>
      </c>
      <c r="I58" s="5">
        <v>6579306</v>
      </c>
      <c r="J58" s="5">
        <v>6579306</v>
      </c>
      <c r="K58" s="5">
        <v>6579306</v>
      </c>
      <c r="L58" s="5">
        <v>6579306</v>
      </c>
      <c r="M58" s="156">
        <v>6579306</v>
      </c>
      <c r="N58" s="156">
        <v>6579306</v>
      </c>
      <c r="O58" s="5">
        <v>6579306</v>
      </c>
      <c r="P58" s="5">
        <v>6579306</v>
      </c>
      <c r="Q58" s="5">
        <v>6579306</v>
      </c>
      <c r="R58" s="5">
        <v>6579306</v>
      </c>
      <c r="S58" s="5">
        <v>6579306</v>
      </c>
      <c r="T58" s="5">
        <v>6579306</v>
      </c>
      <c r="U58" s="5">
        <v>6579306</v>
      </c>
      <c r="V58" s="5">
        <v>6579306</v>
      </c>
      <c r="W58" s="5">
        <v>6579306</v>
      </c>
      <c r="X58" s="5">
        <v>6579306</v>
      </c>
      <c r="Y58" s="5">
        <v>6579306</v>
      </c>
      <c r="Z58" s="5">
        <v>7895168</v>
      </c>
      <c r="AA58" s="5">
        <v>7895168</v>
      </c>
      <c r="AB58" s="211">
        <v>7895168</v>
      </c>
      <c r="AK58" s="211">
        <v>7895168</v>
      </c>
      <c r="AM58" s="8">
        <f t="shared" si="0"/>
        <v>0</v>
      </c>
    </row>
    <row r="59" spans="1:39" ht="15" x14ac:dyDescent="0.4">
      <c r="A59" s="4" t="s">
        <v>59</v>
      </c>
      <c r="B59" s="5">
        <v>52849182</v>
      </c>
      <c r="C59" s="5">
        <v>77724538</v>
      </c>
      <c r="D59" s="5">
        <v>79377301</v>
      </c>
      <c r="E59" s="5">
        <v>80458990</v>
      </c>
      <c r="F59" s="5">
        <v>81616614</v>
      </c>
      <c r="G59" s="5">
        <v>83545766</v>
      </c>
      <c r="H59" s="5">
        <v>86306409</v>
      </c>
      <c r="I59" s="5">
        <v>87432898</v>
      </c>
      <c r="J59" s="5">
        <v>88767145</v>
      </c>
      <c r="K59" s="5">
        <v>92011750</v>
      </c>
      <c r="L59" s="5">
        <v>92011750</v>
      </c>
      <c r="M59" s="5">
        <v>92011750</v>
      </c>
      <c r="N59" s="155">
        <v>92909676</v>
      </c>
      <c r="O59" s="5">
        <v>92909676</v>
      </c>
      <c r="P59" s="5">
        <v>93804965</v>
      </c>
      <c r="Q59" s="5">
        <v>94009371</v>
      </c>
      <c r="R59" s="5">
        <v>94169727</v>
      </c>
      <c r="S59" s="5">
        <v>94881167</v>
      </c>
      <c r="T59" s="5">
        <v>96817814</v>
      </c>
      <c r="U59" s="5">
        <v>97500263</v>
      </c>
      <c r="V59" s="5">
        <v>99028205</v>
      </c>
      <c r="W59" s="5">
        <v>100005611</v>
      </c>
      <c r="X59" s="5">
        <v>100005611</v>
      </c>
      <c r="Y59" s="5">
        <v>106376014</v>
      </c>
      <c r="Z59" s="5">
        <v>106525906</v>
      </c>
      <c r="AA59" s="5">
        <v>106525906</v>
      </c>
      <c r="AB59" s="211">
        <v>107481801</v>
      </c>
      <c r="AK59" s="211">
        <v>106675798</v>
      </c>
      <c r="AM59" s="8">
        <f t="shared" si="0"/>
        <v>806003</v>
      </c>
    </row>
    <row r="60" spans="1:39" ht="15" x14ac:dyDescent="0.4">
      <c r="A60" s="4" t="s">
        <v>60</v>
      </c>
      <c r="B60" s="5">
        <v>9700000</v>
      </c>
      <c r="C60" s="5">
        <v>23244059</v>
      </c>
      <c r="D60" s="5">
        <v>22579306</v>
      </c>
      <c r="E60" s="5">
        <v>22579306</v>
      </c>
      <c r="F60" s="5">
        <v>22579306</v>
      </c>
      <c r="G60" s="5">
        <v>10000000</v>
      </c>
      <c r="H60" s="5">
        <v>15000000</v>
      </c>
      <c r="I60" s="5">
        <v>15000000</v>
      </c>
      <c r="J60" s="5">
        <v>15000000</v>
      </c>
      <c r="K60" s="5">
        <v>15000000</v>
      </c>
      <c r="L60" s="5">
        <v>25000000</v>
      </c>
      <c r="M60" s="156">
        <v>25000000</v>
      </c>
      <c r="N60" s="156">
        <v>25000000</v>
      </c>
      <c r="O60" s="5">
        <v>23692500</v>
      </c>
      <c r="P60" s="5">
        <v>15000000</v>
      </c>
      <c r="Q60" s="5">
        <v>13000000</v>
      </c>
      <c r="R60" s="5">
        <v>20000000</v>
      </c>
      <c r="S60" s="5">
        <v>21400000</v>
      </c>
      <c r="T60" s="5">
        <v>21000000</v>
      </c>
      <c r="U60" s="5">
        <v>20000000</v>
      </c>
      <c r="V60" s="5">
        <v>10000000</v>
      </c>
      <c r="W60" s="5">
        <v>25000000</v>
      </c>
      <c r="X60" s="5">
        <v>20000000</v>
      </c>
      <c r="Y60" s="5">
        <v>20000000</v>
      </c>
      <c r="Z60" s="5">
        <v>27500000</v>
      </c>
      <c r="AA60" s="5">
        <v>27500000</v>
      </c>
      <c r="AB60" s="211">
        <v>24500000</v>
      </c>
      <c r="AK60" s="211">
        <v>24500000</v>
      </c>
      <c r="AM60" s="8">
        <f t="shared" si="0"/>
        <v>0</v>
      </c>
    </row>
    <row r="61" spans="1:39" ht="15" x14ac:dyDescent="0.4">
      <c r="A61" s="4" t="s">
        <v>61</v>
      </c>
      <c r="B61" s="5">
        <v>634080</v>
      </c>
      <c r="C61" s="5">
        <v>0</v>
      </c>
      <c r="D61" s="5">
        <v>0</v>
      </c>
      <c r="E61" s="5">
        <v>0</v>
      </c>
      <c r="F61" s="5">
        <v>0</v>
      </c>
      <c r="G61" s="5">
        <v>0</v>
      </c>
      <c r="H61" s="5">
        <v>0</v>
      </c>
      <c r="I61" s="5">
        <v>0</v>
      </c>
      <c r="J61" s="5">
        <v>0</v>
      </c>
      <c r="K61" s="5">
        <v>0</v>
      </c>
      <c r="L61" s="5">
        <v>0</v>
      </c>
      <c r="M61" s="156">
        <v>0</v>
      </c>
      <c r="N61" s="156"/>
      <c r="O61" s="5">
        <v>0</v>
      </c>
      <c r="P61" s="5">
        <v>0</v>
      </c>
      <c r="Q61" s="5">
        <v>0</v>
      </c>
      <c r="R61" s="5">
        <v>0</v>
      </c>
      <c r="S61" s="152">
        <v>34885</v>
      </c>
      <c r="T61" s="152">
        <v>0</v>
      </c>
      <c r="U61" s="152">
        <v>0</v>
      </c>
      <c r="V61" s="152">
        <v>0</v>
      </c>
      <c r="W61" s="152">
        <v>0</v>
      </c>
      <c r="X61" s="152">
        <v>0</v>
      </c>
      <c r="Y61" s="152">
        <v>0</v>
      </c>
      <c r="Z61" s="152">
        <v>157286</v>
      </c>
      <c r="AA61" s="152">
        <v>0</v>
      </c>
      <c r="AB61" s="212">
        <v>0</v>
      </c>
      <c r="AK61" s="212">
        <v>0</v>
      </c>
      <c r="AM61" s="8">
        <f t="shared" si="0"/>
        <v>0</v>
      </c>
    </row>
    <row r="62" spans="1:39" ht="15" x14ac:dyDescent="0.4">
      <c r="A62" s="6" t="s">
        <v>68</v>
      </c>
      <c r="B62" s="7">
        <f>SUM(B2:B61)+B63</f>
        <v>4310700000</v>
      </c>
      <c r="C62" s="7">
        <f t="shared" ref="C62:O62" si="1">SUM(C2:C61)</f>
        <v>6339685000</v>
      </c>
      <c r="D62" s="7">
        <f t="shared" si="1"/>
        <v>7528533000</v>
      </c>
      <c r="E62" s="7">
        <f t="shared" si="1"/>
        <v>8874397536</v>
      </c>
      <c r="F62" s="7">
        <f t="shared" si="1"/>
        <v>10068106452</v>
      </c>
      <c r="G62" s="7">
        <f t="shared" si="1"/>
        <v>10589745824</v>
      </c>
      <c r="H62" s="7">
        <f t="shared" si="1"/>
        <v>10582960540</v>
      </c>
      <c r="I62" s="7">
        <f t="shared" si="1"/>
        <v>10782961000</v>
      </c>
      <c r="J62" s="7">
        <f t="shared" si="1"/>
        <v>10947511571</v>
      </c>
      <c r="K62" s="7">
        <f t="shared" si="1"/>
        <v>11505211000</v>
      </c>
      <c r="L62" s="7">
        <f t="shared" si="1"/>
        <v>11505211000</v>
      </c>
      <c r="M62" s="7">
        <f t="shared" si="1"/>
        <v>11465960974</v>
      </c>
      <c r="N62" s="7">
        <f t="shared" si="1"/>
        <v>11577855236</v>
      </c>
      <c r="O62" s="7">
        <f t="shared" si="1"/>
        <v>10974865803</v>
      </c>
      <c r="P62" s="7">
        <f>SUM(P2:P60)</f>
        <v>11472848000</v>
      </c>
      <c r="Q62" s="7">
        <f t="shared" ref="Q62:X62" si="2">SUM(Q2:Q61)</f>
        <v>11497848000</v>
      </c>
      <c r="R62" s="7">
        <f t="shared" si="2"/>
        <v>11912848000</v>
      </c>
      <c r="S62" s="7">
        <f t="shared" si="2"/>
        <v>12002848000</v>
      </c>
      <c r="T62" s="7">
        <f t="shared" si="2"/>
        <v>12277848000</v>
      </c>
      <c r="U62" s="7">
        <f t="shared" si="2"/>
        <v>12364392000</v>
      </c>
      <c r="V62" s="7">
        <f t="shared" si="2"/>
        <v>12764392000</v>
      </c>
      <c r="W62" s="7">
        <f t="shared" si="2"/>
        <v>15517457000</v>
      </c>
      <c r="X62" s="7">
        <f t="shared" si="2"/>
        <v>13343704000</v>
      </c>
      <c r="Y62" s="7">
        <v>14193704000</v>
      </c>
      <c r="Z62" s="7">
        <f>SUM(Z2:Z61)</f>
        <v>14213704000</v>
      </c>
      <c r="AA62" s="7">
        <f>SUM(AA2:AA61)</f>
        <v>14213704000</v>
      </c>
      <c r="AB62" s="213">
        <f>SUM(AB2:AB61)</f>
        <v>14341248697</v>
      </c>
      <c r="AK62" s="213">
        <f>SUM(AK2:AK61)</f>
        <v>14233704000</v>
      </c>
      <c r="AM62" s="8">
        <f t="shared" si="0"/>
        <v>107544697</v>
      </c>
    </row>
    <row r="63" spans="1:39" ht="15" x14ac:dyDescent="0.4">
      <c r="A63" s="4" t="s">
        <v>69</v>
      </c>
      <c r="B63">
        <v>691</v>
      </c>
    </row>
    <row r="64" spans="1:39" ht="15" x14ac:dyDescent="0.4">
      <c r="A64" s="4" t="s">
        <v>70</v>
      </c>
      <c r="B64" s="12"/>
      <c r="C64" s="12">
        <f t="shared" ref="C64:J64" si="3">(C55-B55)/B55</f>
        <v>6.09754337999747E-2</v>
      </c>
      <c r="D64" s="12">
        <f t="shared" si="3"/>
        <v>0.38298058732037216</v>
      </c>
      <c r="E64" s="12">
        <f t="shared" si="3"/>
        <v>1.0759169900393811E-2</v>
      </c>
      <c r="F64" s="12">
        <f t="shared" si="3"/>
        <v>2.0408057068260644E-2</v>
      </c>
      <c r="G64" s="12">
        <f t="shared" si="3"/>
        <v>3.1891903037865731E-2</v>
      </c>
      <c r="H64" s="12">
        <f t="shared" si="3"/>
        <v>-3.2788921212261851E-4</v>
      </c>
      <c r="I64" s="12">
        <f t="shared" si="3"/>
        <v>1.3052164595909499E-2</v>
      </c>
      <c r="J64" s="71">
        <f t="shared" si="3"/>
        <v>1.5260300304887751E-2</v>
      </c>
      <c r="K64" s="12">
        <f t="shared" ref="K64:P64" si="4">(K55-J55)/J55</f>
        <v>0</v>
      </c>
      <c r="L64" s="98">
        <f t="shared" si="4"/>
        <v>0</v>
      </c>
      <c r="M64" s="98">
        <f t="shared" si="4"/>
        <v>0</v>
      </c>
      <c r="N64" s="98">
        <f t="shared" si="4"/>
        <v>9.7587633368755537E-3</v>
      </c>
      <c r="O64" s="145">
        <f t="shared" si="4"/>
        <v>-9.6644502540651246E-3</v>
      </c>
      <c r="P64" s="145">
        <f t="shared" si="4"/>
        <v>9.636091771705501E-3</v>
      </c>
      <c r="Q64" s="145">
        <f t="shared" ref="Q64:AB64" si="5">(Q55-P55)/P55</f>
        <v>0</v>
      </c>
      <c r="R64" s="98">
        <f t="shared" si="5"/>
        <v>1.7057714936833052E-3</v>
      </c>
      <c r="S64" s="98">
        <f t="shared" si="5"/>
        <v>0</v>
      </c>
      <c r="T64" s="98">
        <f t="shared" si="5"/>
        <v>0</v>
      </c>
      <c r="U64" s="98">
        <f t="shared" si="5"/>
        <v>5.1535844922373987E-2</v>
      </c>
      <c r="V64" s="98">
        <f t="shared" si="5"/>
        <v>-7.6953867963032432E-3</v>
      </c>
      <c r="W64" s="98">
        <f t="shared" si="5"/>
        <v>0.25629558162690613</v>
      </c>
      <c r="X64" s="98">
        <f t="shared" si="5"/>
        <v>-0.1579255909088903</v>
      </c>
      <c r="Y64" s="98">
        <f t="shared" si="5"/>
        <v>0.17754029654724571</v>
      </c>
      <c r="Z64" s="98">
        <f t="shared" si="5"/>
        <v>-2.3594718272803607E-2</v>
      </c>
      <c r="AA64" s="98">
        <f t="shared" si="5"/>
        <v>2.5607874837494372E-2</v>
      </c>
      <c r="AB64" s="214">
        <f t="shared" si="5"/>
        <v>-2.5806662591133955E-2</v>
      </c>
    </row>
    <row r="65" spans="1:28" ht="15" x14ac:dyDescent="0.4">
      <c r="A65" s="4" t="s">
        <v>71</v>
      </c>
      <c r="B65" s="12"/>
      <c r="C65" s="12">
        <f t="shared" ref="C65:J65" si="6">(C62-B62)/B62</f>
        <v>0.47068573549539516</v>
      </c>
      <c r="D65" s="12">
        <f t="shared" si="6"/>
        <v>0.18752477449589372</v>
      </c>
      <c r="E65" s="12">
        <f t="shared" si="6"/>
        <v>0.17876849792648847</v>
      </c>
      <c r="F65" s="12">
        <f t="shared" si="6"/>
        <v>0.13451154415357036</v>
      </c>
      <c r="G65" s="12">
        <f t="shared" si="6"/>
        <v>5.1811070382194645E-2</v>
      </c>
      <c r="H65" s="12">
        <f t="shared" si="6"/>
        <v>-6.4074096893073837E-4</v>
      </c>
      <c r="I65" s="12">
        <f t="shared" si="6"/>
        <v>1.8898346945929366E-2</v>
      </c>
      <c r="J65" s="71">
        <f t="shared" si="6"/>
        <v>1.5260239835792784E-2</v>
      </c>
      <c r="K65" s="12">
        <f t="shared" ref="K65:Q65" si="7">(K62-J62)/J62</f>
        <v>5.0943031700221984E-2</v>
      </c>
      <c r="L65" s="98">
        <f t="shared" si="7"/>
        <v>0</v>
      </c>
      <c r="M65" s="98">
        <f t="shared" si="7"/>
        <v>-3.4114998847044179E-3</v>
      </c>
      <c r="N65" s="98">
        <f t="shared" si="7"/>
        <v>9.7588211100429652E-3</v>
      </c>
      <c r="O65" s="145">
        <f t="shared" si="7"/>
        <v>-5.2081272455806342E-2</v>
      </c>
      <c r="P65" s="145">
        <f t="shared" si="7"/>
        <v>4.5374786893874877E-2</v>
      </c>
      <c r="Q65" s="145">
        <f t="shared" si="7"/>
        <v>2.1790578939074236E-3</v>
      </c>
      <c r="R65" s="98">
        <f t="shared" ref="R65:AB65" si="8">(R62-Q62)/Q62</f>
        <v>3.6093710753525354E-2</v>
      </c>
      <c r="S65" s="98">
        <f t="shared" si="8"/>
        <v>7.5548684915647379E-3</v>
      </c>
      <c r="T65" s="98">
        <f t="shared" si="8"/>
        <v>2.2911229068301123E-2</v>
      </c>
      <c r="U65" s="98">
        <f t="shared" si="8"/>
        <v>7.0487922639211695E-3</v>
      </c>
      <c r="V65" s="98">
        <f t="shared" si="8"/>
        <v>3.2350963961673168E-2</v>
      </c>
      <c r="W65" s="98">
        <f t="shared" si="8"/>
        <v>0.21568320684604483</v>
      </c>
      <c r="X65" s="98">
        <f t="shared" si="8"/>
        <v>-0.14008435789446685</v>
      </c>
      <c r="Y65" s="98">
        <f t="shared" si="8"/>
        <v>6.3700453787044434E-2</v>
      </c>
      <c r="Z65" s="98">
        <f t="shared" si="8"/>
        <v>1.4090754604999512E-3</v>
      </c>
      <c r="AA65" s="98">
        <f t="shared" si="8"/>
        <v>0</v>
      </c>
      <c r="AB65" s="214">
        <f t="shared" si="8"/>
        <v>8.9733609902105747E-3</v>
      </c>
    </row>
    <row r="66" spans="1:28" ht="15" x14ac:dyDescent="0.4">
      <c r="A66" s="4" t="s">
        <v>72</v>
      </c>
      <c r="D66" s="12"/>
      <c r="E66" s="12"/>
      <c r="F66" s="12"/>
      <c r="G66" s="12"/>
      <c r="H66" s="12"/>
      <c r="I66" s="12">
        <f t="shared" ref="I66:N66" si="9">VLOOKUP("FY Inflation",FY_Inflation,MATCH(I1-1,FY_Inflation_year_row,0),0)</f>
        <v>1.3052208835341481E-2</v>
      </c>
      <c r="J66" s="71">
        <f t="shared" si="9"/>
        <v>3.5361744301288384E-2</v>
      </c>
      <c r="K66" s="12">
        <f t="shared" si="9"/>
        <v>3.6551862771374968E-2</v>
      </c>
      <c r="L66" s="98">
        <f t="shared" si="9"/>
        <v>-1.8284827748612014E-3</v>
      </c>
      <c r="M66" s="98">
        <f t="shared" si="9"/>
        <v>1.1721876055269618E-2</v>
      </c>
      <c r="N66" s="98">
        <f t="shared" si="9"/>
        <v>3.5251999213573984E-2</v>
      </c>
      <c r="O66" s="145">
        <f t="shared" ref="O66:T66" si="10">VLOOKUP("FY Inflation",FY_Inflation,MATCH(O1-1,FY_Inflation_year_row,0),0)</f>
        <v>2.1623435988711363E-2</v>
      </c>
      <c r="P66" s="145">
        <f t="shared" si="10"/>
        <v>9.6361270464340489E-3</v>
      </c>
      <c r="Q66" s="145">
        <f t="shared" si="10"/>
        <v>1.6643402156320385E-2</v>
      </c>
      <c r="R66" s="98">
        <f t="shared" si="10"/>
        <v>1.7057443573555535E-3</v>
      </c>
      <c r="S66" s="98">
        <f t="shared" si="10"/>
        <v>1.6359875209176075E-2</v>
      </c>
      <c r="T66" s="98">
        <f t="shared" si="10"/>
        <v>2.041128701976179E-2</v>
      </c>
      <c r="U66" s="98">
        <f t="shared" ref="U66:AB66" si="11">VLOOKUP("FY Inflation",FY_Inflation,MATCH(U1-1,FY_Inflation_year_row,0),0)</f>
        <v>2.5224699286070386E-2</v>
      </c>
      <c r="V66" s="98">
        <f t="shared" si="11"/>
        <v>1.7640429444213825E-2</v>
      </c>
      <c r="W66" s="98">
        <f t="shared" si="11"/>
        <v>1.1820661677274849E-2</v>
      </c>
      <c r="X66" s="98">
        <f t="shared" si="11"/>
        <v>6.2218689033288872E-2</v>
      </c>
      <c r="Y66" s="98">
        <f t="shared" si="11"/>
        <v>7.7454273308049132E-2</v>
      </c>
      <c r="Z66" s="98">
        <f t="shared" si="11"/>
        <v>3.2411446518932095E-2</v>
      </c>
      <c r="AA66" s="98">
        <f t="shared" si="11"/>
        <v>2.5979049049146639E-2</v>
      </c>
      <c r="AB66" s="214">
        <f t="shared" si="11"/>
        <v>2.6949541284403685E-2</v>
      </c>
    </row>
    <row r="67" spans="1:28" x14ac:dyDescent="0.35">
      <c r="K67" s="12"/>
    </row>
    <row r="68" spans="1:28" ht="15" x14ac:dyDescent="0.4">
      <c r="A68" s="4" t="s">
        <v>450</v>
      </c>
      <c r="J68" s="72"/>
      <c r="K68" s="12"/>
      <c r="N68" s="8"/>
      <c r="U68" s="8">
        <f t="shared" ref="U68:AB68" si="12">SUM(U56,U2:U52)</f>
        <v>12202300191</v>
      </c>
      <c r="V68" s="8">
        <f t="shared" si="12"/>
        <v>12610772249</v>
      </c>
      <c r="W68" s="8">
        <f t="shared" si="12"/>
        <v>15340272083</v>
      </c>
      <c r="X68" s="8">
        <f t="shared" si="12"/>
        <v>13178619083</v>
      </c>
      <c r="Y68" s="8">
        <f t="shared" si="12"/>
        <v>14019796212</v>
      </c>
      <c r="Z68" s="8">
        <f t="shared" si="12"/>
        <v>14030772755</v>
      </c>
      <c r="AA68" s="8">
        <f t="shared" si="12"/>
        <v>14030772755</v>
      </c>
      <c r="AB68" s="215">
        <f t="shared" si="12"/>
        <v>14160361556</v>
      </c>
    </row>
    <row r="69" spans="1:28" ht="15" x14ac:dyDescent="0.4">
      <c r="A69" s="4" t="s">
        <v>451</v>
      </c>
      <c r="B69" s="8">
        <f>SUM(B61,B64,B63)</f>
        <v>634771</v>
      </c>
      <c r="K69" s="51"/>
      <c r="U69" s="8">
        <f t="shared" ref="U69:AB69" si="13">SUM(U53,U54,U55,U57)</f>
        <v>38012240</v>
      </c>
      <c r="V69" s="8">
        <f t="shared" si="13"/>
        <v>38012240</v>
      </c>
      <c r="W69" s="8">
        <f t="shared" si="13"/>
        <v>45600000</v>
      </c>
      <c r="X69" s="8">
        <f t="shared" si="13"/>
        <v>38500000</v>
      </c>
      <c r="Y69" s="8">
        <f t="shared" si="13"/>
        <v>40952468</v>
      </c>
      <c r="Z69" s="8">
        <f t="shared" si="13"/>
        <v>40852885</v>
      </c>
      <c r="AA69" s="8">
        <f t="shared" si="13"/>
        <v>41010171</v>
      </c>
      <c r="AB69" s="215">
        <f t="shared" si="13"/>
        <v>41010172</v>
      </c>
    </row>
    <row r="70" spans="1:28" ht="15" x14ac:dyDescent="0.4">
      <c r="A70" s="4" t="s">
        <v>452</v>
      </c>
      <c r="U70" s="8">
        <f t="shared" ref="U70:AB71" si="14">U58</f>
        <v>6579306</v>
      </c>
      <c r="V70" s="8">
        <f t="shared" si="14"/>
        <v>6579306</v>
      </c>
      <c r="W70" s="8">
        <f t="shared" si="14"/>
        <v>6579306</v>
      </c>
      <c r="X70" s="8">
        <f t="shared" si="14"/>
        <v>6579306</v>
      </c>
      <c r="Y70" s="8">
        <f t="shared" si="14"/>
        <v>6579306</v>
      </c>
      <c r="Z70" s="8">
        <f>Z58</f>
        <v>7895168</v>
      </c>
      <c r="AA70" s="8">
        <f t="shared" si="14"/>
        <v>7895168</v>
      </c>
      <c r="AB70" s="215">
        <f t="shared" si="14"/>
        <v>7895168</v>
      </c>
    </row>
    <row r="71" spans="1:28" ht="15" x14ac:dyDescent="0.4">
      <c r="A71" s="4" t="s">
        <v>453</v>
      </c>
      <c r="U71" s="204">
        <f t="shared" si="14"/>
        <v>97500263</v>
      </c>
      <c r="V71" s="204">
        <f t="shared" si="14"/>
        <v>99028205</v>
      </c>
      <c r="W71" s="204">
        <f t="shared" si="14"/>
        <v>100005611</v>
      </c>
      <c r="X71" s="204">
        <f t="shared" si="14"/>
        <v>100005611</v>
      </c>
      <c r="Y71" s="204">
        <f t="shared" si="14"/>
        <v>106376014</v>
      </c>
      <c r="Z71" s="204">
        <f t="shared" si="14"/>
        <v>106525906</v>
      </c>
      <c r="AA71" s="204">
        <f t="shared" si="14"/>
        <v>106525906</v>
      </c>
      <c r="AB71" s="216">
        <f t="shared" si="14"/>
        <v>107481801</v>
      </c>
    </row>
    <row r="72" spans="1:28" x14ac:dyDescent="0.35">
      <c r="U72" s="8">
        <f t="shared" ref="U72:AB72" si="15">SUM(U68:U71)</f>
        <v>12344392000</v>
      </c>
      <c r="V72" s="8">
        <f t="shared" si="15"/>
        <v>12754392000</v>
      </c>
      <c r="W72" s="8">
        <f t="shared" si="15"/>
        <v>15492457000</v>
      </c>
      <c r="X72" s="8">
        <f t="shared" si="15"/>
        <v>13323704000</v>
      </c>
      <c r="Y72" s="8">
        <f t="shared" si="15"/>
        <v>14173704000</v>
      </c>
      <c r="Z72" s="8">
        <f t="shared" si="15"/>
        <v>14186046714</v>
      </c>
      <c r="AA72" s="8">
        <f t="shared" si="15"/>
        <v>14186204000</v>
      </c>
      <c r="AB72" s="215">
        <f t="shared" si="15"/>
        <v>14316748697</v>
      </c>
    </row>
  </sheetData>
  <phoneticPr fontId="0" type="noConversion"/>
  <conditionalFormatting sqref="N2:N52 N56">
    <cfRule type="expression" dxfId="2" priority="2" stopIfTrue="1">
      <formula>ROUND(N2,0)=ROUND(Z2,0)</formula>
    </cfRule>
  </conditionalFormatting>
  <pageMargins left="0.75" right="0.75" top="1" bottom="1" header="0.5" footer="0.5"/>
  <pageSetup orientation="portrait" horizontalDpi="1200" verticalDpi="12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AC61"/>
  <sheetViews>
    <sheetView topLeftCell="W39" zoomScale="165" zoomScaleNormal="115" workbookViewId="0">
      <selection activeCell="AA9" sqref="AA9"/>
    </sheetView>
  </sheetViews>
  <sheetFormatPr defaultRowHeight="12.75" x14ac:dyDescent="0.35"/>
  <cols>
    <col min="1" max="1" width="26.73046875" bestFit="1" customWidth="1"/>
    <col min="2" max="7" width="6.3984375" bestFit="1" customWidth="1"/>
    <col min="8" max="13" width="6.59765625" bestFit="1" customWidth="1"/>
    <col min="14" max="14" width="14.3984375" bestFit="1" customWidth="1"/>
    <col min="15" max="18" width="7.3984375" bestFit="1" customWidth="1"/>
    <col min="19" max="19" width="15.73046875" bestFit="1" customWidth="1"/>
    <col min="20" max="20" width="7.3984375" bestFit="1" customWidth="1"/>
    <col min="21" max="21" width="13.86328125" bestFit="1" customWidth="1"/>
    <col min="22" max="22" width="14.265625" bestFit="1" customWidth="1"/>
    <col min="23" max="26" width="15.59765625" bestFit="1" customWidth="1"/>
    <col min="27" max="27" width="16.86328125" customWidth="1"/>
    <col min="28" max="29" width="17" customWidth="1"/>
  </cols>
  <sheetData>
    <row r="1" spans="1:29" ht="15" x14ac:dyDescent="0.4">
      <c r="A1" s="1" t="s">
        <v>73</v>
      </c>
      <c r="B1" s="2">
        <v>1999</v>
      </c>
      <c r="C1" s="2">
        <v>2001</v>
      </c>
      <c r="D1" s="2">
        <v>2002</v>
      </c>
      <c r="E1" s="2">
        <v>2003</v>
      </c>
      <c r="F1" s="2">
        <v>2004</v>
      </c>
      <c r="G1" s="2">
        <v>2005</v>
      </c>
      <c r="H1" s="2">
        <v>2006</v>
      </c>
      <c r="I1" s="2">
        <v>2007</v>
      </c>
      <c r="J1" s="3">
        <v>2008</v>
      </c>
      <c r="K1" s="3">
        <v>2009</v>
      </c>
      <c r="L1" s="3">
        <v>2010</v>
      </c>
      <c r="M1" s="3">
        <v>2011</v>
      </c>
      <c r="N1" s="3">
        <v>2012</v>
      </c>
      <c r="O1" s="3">
        <v>2013</v>
      </c>
      <c r="P1" s="3">
        <v>2014</v>
      </c>
      <c r="Q1" s="3">
        <v>2015</v>
      </c>
      <c r="R1" s="3">
        <v>2016</v>
      </c>
      <c r="S1" s="3">
        <v>2017</v>
      </c>
      <c r="T1" s="3">
        <v>2018</v>
      </c>
      <c r="U1" s="3">
        <v>2019</v>
      </c>
      <c r="V1" s="76">
        <v>2020</v>
      </c>
      <c r="W1" s="144">
        <v>2021</v>
      </c>
      <c r="X1" s="144">
        <v>2022</v>
      </c>
      <c r="Y1" s="144">
        <v>2023</v>
      </c>
      <c r="Z1" s="144">
        <v>2024</v>
      </c>
      <c r="AA1" s="144">
        <v>2025</v>
      </c>
      <c r="AB1" s="144">
        <v>2026</v>
      </c>
      <c r="AC1" s="144">
        <v>2027</v>
      </c>
    </row>
    <row r="2" spans="1:29" ht="15" x14ac:dyDescent="0.4">
      <c r="A2" s="4" t="s">
        <v>2</v>
      </c>
      <c r="B2" s="5"/>
      <c r="C2" s="5"/>
      <c r="D2" s="5"/>
      <c r="E2" s="5"/>
      <c r="F2" s="5"/>
      <c r="G2" s="5"/>
      <c r="H2" s="5"/>
      <c r="I2" s="5"/>
      <c r="J2" s="5"/>
      <c r="K2" s="151"/>
      <c r="L2" s="151"/>
      <c r="M2" s="151"/>
      <c r="N2" s="157">
        <v>-34048</v>
      </c>
      <c r="O2" s="157"/>
      <c r="P2" s="157"/>
      <c r="Q2" s="157"/>
      <c r="R2" s="157"/>
      <c r="S2" s="157">
        <v>-249849</v>
      </c>
      <c r="T2" s="151"/>
      <c r="U2" s="157"/>
      <c r="V2" s="198">
        <v>-51783</v>
      </c>
      <c r="W2" s="198">
        <v>-205111</v>
      </c>
      <c r="X2" s="198">
        <v>-561812</v>
      </c>
      <c r="Y2" s="198">
        <v>-795665</v>
      </c>
      <c r="Z2" s="198">
        <v>-581731</v>
      </c>
      <c r="AA2" s="198"/>
      <c r="AB2" s="198"/>
      <c r="AC2" s="198"/>
    </row>
    <row r="3" spans="1:29" ht="15" x14ac:dyDescent="0.4">
      <c r="A3" s="4" t="s">
        <v>3</v>
      </c>
      <c r="B3" s="5"/>
      <c r="C3" s="5"/>
      <c r="D3" s="5"/>
      <c r="E3" s="5"/>
      <c r="F3" s="5"/>
      <c r="G3" s="5"/>
      <c r="H3" s="5"/>
      <c r="I3" s="5"/>
      <c r="J3" s="5"/>
      <c r="K3" s="5"/>
      <c r="L3" s="5"/>
      <c r="M3" s="5"/>
      <c r="N3" s="146">
        <v>-5364</v>
      </c>
      <c r="O3" s="146"/>
      <c r="P3" s="146"/>
      <c r="Q3" s="146"/>
      <c r="R3" s="146"/>
      <c r="S3" s="146">
        <v>-39820</v>
      </c>
      <c r="T3" s="5"/>
      <c r="U3" s="146"/>
      <c r="V3" s="199">
        <v>-8149</v>
      </c>
      <c r="W3" s="199">
        <v>-31656</v>
      </c>
      <c r="X3" s="199">
        <v>-86524</v>
      </c>
      <c r="Y3" s="199">
        <v>-95653</v>
      </c>
      <c r="Z3" s="199">
        <v>-84733</v>
      </c>
      <c r="AA3" s="199"/>
      <c r="AB3" s="199"/>
      <c r="AC3" s="199"/>
    </row>
    <row r="4" spans="1:29" ht="15" x14ac:dyDescent="0.4">
      <c r="A4" s="4" t="s">
        <v>4</v>
      </c>
      <c r="B4" s="5"/>
      <c r="C4" s="5"/>
      <c r="D4" s="5"/>
      <c r="E4" s="5"/>
      <c r="F4" s="5"/>
      <c r="G4" s="5"/>
      <c r="H4" s="5"/>
      <c r="I4" s="5"/>
      <c r="J4" s="5"/>
      <c r="K4" s="5"/>
      <c r="L4" s="5"/>
      <c r="M4" s="5"/>
      <c r="N4" s="146">
        <v>-51020</v>
      </c>
      <c r="O4" s="146"/>
      <c r="P4" s="146"/>
      <c r="Q4" s="146"/>
      <c r="R4" s="146"/>
      <c r="S4" s="146">
        <v>-385141</v>
      </c>
      <c r="T4" s="5"/>
      <c r="U4" s="146"/>
      <c r="V4" s="199">
        <v>-80591</v>
      </c>
      <c r="W4" s="199">
        <v>-325020</v>
      </c>
      <c r="X4" s="199">
        <v>-897771</v>
      </c>
      <c r="Y4" s="199">
        <v>-940019</v>
      </c>
      <c r="Z4" s="199">
        <v>-848413</v>
      </c>
      <c r="AA4" s="199"/>
      <c r="AB4" s="199"/>
      <c r="AC4" s="199"/>
    </row>
    <row r="5" spans="1:29" ht="15" x14ac:dyDescent="0.4">
      <c r="A5" s="4" t="s">
        <v>5</v>
      </c>
      <c r="B5" s="5"/>
      <c r="C5" s="5"/>
      <c r="D5" s="5"/>
      <c r="E5" s="5"/>
      <c r="F5" s="5"/>
      <c r="G5" s="5"/>
      <c r="H5" s="5"/>
      <c r="I5" s="5"/>
      <c r="J5" s="5"/>
      <c r="K5" s="5"/>
      <c r="L5" s="5"/>
      <c r="M5" s="5"/>
      <c r="N5" s="146">
        <v>-20861</v>
      </c>
      <c r="O5" s="146"/>
      <c r="P5" s="146"/>
      <c r="Q5" s="146"/>
      <c r="R5" s="146"/>
      <c r="S5" s="146">
        <v>-158254</v>
      </c>
      <c r="T5" s="5"/>
      <c r="U5" s="146"/>
      <c r="V5" s="199">
        <v>-33198</v>
      </c>
      <c r="W5" s="199">
        <v>-133089</v>
      </c>
      <c r="X5" s="199">
        <v>-365105</v>
      </c>
      <c r="Y5" s="199">
        <v>-496854</v>
      </c>
      <c r="Z5" s="199">
        <v>-361458</v>
      </c>
      <c r="AA5" s="199"/>
      <c r="AB5" s="199"/>
      <c r="AC5" s="199"/>
    </row>
    <row r="6" spans="1:29" ht="15" x14ac:dyDescent="0.4">
      <c r="A6" s="4" t="s">
        <v>6</v>
      </c>
      <c r="B6" s="5"/>
      <c r="C6" s="5"/>
      <c r="D6" s="5"/>
      <c r="E6" s="5"/>
      <c r="F6" s="5"/>
      <c r="G6" s="5"/>
      <c r="H6" s="5"/>
      <c r="I6" s="5"/>
      <c r="J6" s="5"/>
      <c r="K6" s="5"/>
      <c r="L6" s="5"/>
      <c r="M6" s="5"/>
      <c r="N6" s="146">
        <v>-237951</v>
      </c>
      <c r="O6" s="146"/>
      <c r="P6" s="146"/>
      <c r="Q6" s="146"/>
      <c r="R6" s="146"/>
      <c r="S6" s="146">
        <v>11173426</v>
      </c>
      <c r="T6" s="5"/>
      <c r="U6" s="146"/>
      <c r="V6" s="199">
        <v>-359433</v>
      </c>
      <c r="W6" s="199">
        <v>-1422930</v>
      </c>
      <c r="X6" s="199">
        <v>-3867445</v>
      </c>
      <c r="Y6" s="199">
        <v>-5198635</v>
      </c>
      <c r="Z6" s="199">
        <v>-3721196</v>
      </c>
      <c r="AA6" s="199"/>
      <c r="AB6" s="199"/>
      <c r="AC6" s="199"/>
    </row>
    <row r="7" spans="1:29" ht="15" x14ac:dyDescent="0.4">
      <c r="A7" s="4" t="s">
        <v>7</v>
      </c>
      <c r="B7" s="5"/>
      <c r="C7" s="5"/>
      <c r="D7" s="5"/>
      <c r="E7" s="5"/>
      <c r="F7" s="5"/>
      <c r="G7" s="5"/>
      <c r="H7" s="5"/>
      <c r="I7" s="5"/>
      <c r="J7" s="5"/>
      <c r="K7" s="5"/>
      <c r="L7" s="5"/>
      <c r="M7" s="5"/>
      <c r="N7" s="146">
        <v>-34313</v>
      </c>
      <c r="O7" s="146"/>
      <c r="P7" s="146"/>
      <c r="Q7" s="146"/>
      <c r="R7" s="146"/>
      <c r="S7" s="146">
        <v>-262657</v>
      </c>
      <c r="T7" s="5"/>
      <c r="U7" s="146"/>
      <c r="V7" s="199">
        <v>-55193</v>
      </c>
      <c r="W7" s="199">
        <v>-218953</v>
      </c>
      <c r="X7" s="199">
        <v>-598206</v>
      </c>
      <c r="Y7" s="199">
        <v>-794299</v>
      </c>
      <c r="Z7" s="199">
        <v>-584044</v>
      </c>
      <c r="AA7" s="199"/>
      <c r="AB7" s="199"/>
      <c r="AC7" s="199"/>
    </row>
    <row r="8" spans="1:29" ht="15" x14ac:dyDescent="0.4">
      <c r="A8" s="4" t="s">
        <v>8</v>
      </c>
      <c r="B8" s="5"/>
      <c r="C8" s="5"/>
      <c r="D8" s="5"/>
      <c r="E8" s="5"/>
      <c r="F8" s="5"/>
      <c r="G8" s="5"/>
      <c r="H8" s="5"/>
      <c r="I8" s="5"/>
      <c r="J8" s="5"/>
      <c r="K8" s="5"/>
      <c r="L8" s="5"/>
      <c r="M8" s="5"/>
      <c r="N8" s="146">
        <v>-22751</v>
      </c>
      <c r="O8" s="146"/>
      <c r="P8" s="146"/>
      <c r="Q8" s="146"/>
      <c r="R8" s="146"/>
      <c r="S8" s="146">
        <v>-165680</v>
      </c>
      <c r="T8" s="5"/>
      <c r="U8" s="146"/>
      <c r="V8" s="199">
        <v>-33878</v>
      </c>
      <c r="W8" s="199">
        <v>-135305</v>
      </c>
      <c r="X8" s="199">
        <v>-365845</v>
      </c>
      <c r="Y8" s="199">
        <v>-481747</v>
      </c>
      <c r="Z8" s="199">
        <v>-361873</v>
      </c>
      <c r="AA8" s="199"/>
      <c r="AB8" s="199"/>
      <c r="AC8" s="199"/>
    </row>
    <row r="9" spans="1:29" ht="15" x14ac:dyDescent="0.4">
      <c r="A9" s="4" t="s">
        <v>9</v>
      </c>
      <c r="B9" s="5"/>
      <c r="C9" s="5"/>
      <c r="D9" s="5"/>
      <c r="E9" s="5"/>
      <c r="F9" s="5"/>
      <c r="G9" s="5"/>
      <c r="H9" s="5"/>
      <c r="I9" s="5"/>
      <c r="J9" s="5"/>
      <c r="K9" s="5"/>
      <c r="L9" s="5"/>
      <c r="M9" s="5"/>
      <c r="N9" s="146">
        <v>-5834</v>
      </c>
      <c r="O9" s="146"/>
      <c r="P9" s="146"/>
      <c r="Q9" s="146"/>
      <c r="R9" s="146"/>
      <c r="S9" s="146">
        <v>-45110</v>
      </c>
      <c r="T9" s="5"/>
      <c r="U9" s="146"/>
      <c r="V9" s="199">
        <v>-9193</v>
      </c>
      <c r="W9" s="199">
        <v>-36690</v>
      </c>
      <c r="X9" s="199">
        <v>-101375</v>
      </c>
      <c r="Y9" s="199">
        <v>-137402</v>
      </c>
      <c r="Z9" s="199">
        <v>-98283</v>
      </c>
      <c r="AA9" s="199"/>
      <c r="AB9" s="199"/>
      <c r="AC9" s="199"/>
    </row>
    <row r="10" spans="1:29" ht="15" x14ac:dyDescent="0.4">
      <c r="A10" s="4" t="s">
        <v>10</v>
      </c>
      <c r="B10" s="5"/>
      <c r="C10" s="5"/>
      <c r="D10" s="5"/>
      <c r="E10" s="5"/>
      <c r="F10" s="5"/>
      <c r="G10" s="5"/>
      <c r="H10" s="5"/>
      <c r="I10" s="5"/>
      <c r="J10" s="5"/>
      <c r="K10" s="5"/>
      <c r="L10" s="5"/>
      <c r="M10" s="5"/>
      <c r="N10" s="146">
        <v>-3766</v>
      </c>
      <c r="O10" s="146"/>
      <c r="P10" s="146"/>
      <c r="Q10" s="146"/>
      <c r="R10" s="146"/>
      <c r="S10" s="146">
        <v>-30129</v>
      </c>
      <c r="T10" s="5"/>
      <c r="U10" s="146"/>
      <c r="V10" s="199">
        <v>-6513</v>
      </c>
      <c r="W10" s="199">
        <v>-26015</v>
      </c>
      <c r="X10" s="199">
        <v>-72409</v>
      </c>
      <c r="Y10" s="199">
        <v>-74131</v>
      </c>
      <c r="Z10" s="199">
        <v>-67806</v>
      </c>
      <c r="AA10" s="199"/>
      <c r="AB10" s="199"/>
      <c r="AC10" s="199"/>
    </row>
    <row r="11" spans="1:29" ht="15" x14ac:dyDescent="0.4">
      <c r="A11" s="4" t="s">
        <v>11</v>
      </c>
      <c r="B11" s="5"/>
      <c r="C11" s="5"/>
      <c r="D11" s="5"/>
      <c r="E11" s="5"/>
      <c r="F11" s="5"/>
      <c r="G11" s="5"/>
      <c r="H11" s="5"/>
      <c r="I11" s="5"/>
      <c r="J11" s="5"/>
      <c r="K11" s="5"/>
      <c r="L11" s="5"/>
      <c r="M11" s="5"/>
      <c r="N11" s="146">
        <v>-126727</v>
      </c>
      <c r="O11" s="146"/>
      <c r="P11" s="146"/>
      <c r="Q11" s="146"/>
      <c r="R11" s="146"/>
      <c r="S11" s="146">
        <v>-959978</v>
      </c>
      <c r="T11" s="5"/>
      <c r="U11" s="146"/>
      <c r="V11" s="199">
        <v>-203936</v>
      </c>
      <c r="W11" s="199">
        <v>-815688</v>
      </c>
      <c r="X11" s="199">
        <v>-2250064</v>
      </c>
      <c r="Y11" s="199">
        <v>-2441092</v>
      </c>
      <c r="Z11" s="199">
        <v>-2275702</v>
      </c>
      <c r="AA11" s="199"/>
      <c r="AB11" s="199"/>
      <c r="AC11" s="199"/>
    </row>
    <row r="12" spans="1:29" ht="15" x14ac:dyDescent="0.4">
      <c r="A12" s="4" t="s">
        <v>12</v>
      </c>
      <c r="B12" s="5"/>
      <c r="C12" s="5"/>
      <c r="D12" s="5"/>
      <c r="E12" s="5"/>
      <c r="F12" s="5"/>
      <c r="G12" s="5"/>
      <c r="H12" s="5"/>
      <c r="I12" s="5"/>
      <c r="J12" s="5"/>
      <c r="K12" s="5"/>
      <c r="L12" s="5"/>
      <c r="M12" s="5"/>
      <c r="N12" s="146">
        <v>-78103</v>
      </c>
      <c r="O12" s="146"/>
      <c r="P12" s="146"/>
      <c r="Q12" s="146"/>
      <c r="R12" s="146"/>
      <c r="S12" s="146">
        <v>-589358</v>
      </c>
      <c r="T12" s="5"/>
      <c r="U12" s="146"/>
      <c r="V12" s="199">
        <v>-122369</v>
      </c>
      <c r="W12" s="199">
        <v>-488129</v>
      </c>
      <c r="X12" s="199">
        <v>-1341781</v>
      </c>
      <c r="Y12" s="199">
        <v>-1450792</v>
      </c>
      <c r="Z12" s="199">
        <v>-1329412</v>
      </c>
      <c r="AA12" s="199"/>
      <c r="AB12" s="199"/>
      <c r="AC12" s="199"/>
    </row>
    <row r="13" spans="1:29" ht="15" x14ac:dyDescent="0.4">
      <c r="A13" s="4" t="s">
        <v>13</v>
      </c>
      <c r="B13" s="5"/>
      <c r="C13" s="5"/>
      <c r="D13" s="5"/>
      <c r="E13" s="5"/>
      <c r="F13" s="5"/>
      <c r="G13" s="5"/>
      <c r="H13" s="5"/>
      <c r="I13" s="5"/>
      <c r="J13" s="5"/>
      <c r="K13" s="5"/>
      <c r="L13" s="5"/>
      <c r="M13" s="5"/>
      <c r="N13" s="146">
        <v>-7839</v>
      </c>
      <c r="O13" s="146"/>
      <c r="P13" s="146"/>
      <c r="Q13" s="146"/>
      <c r="R13" s="146"/>
      <c r="S13" s="146">
        <v>-58509</v>
      </c>
      <c r="T13" s="5"/>
      <c r="U13" s="146"/>
      <c r="V13" s="199">
        <v>-11915</v>
      </c>
      <c r="W13" s="199">
        <v>-47886</v>
      </c>
      <c r="X13" s="199">
        <v>-129300</v>
      </c>
      <c r="Y13" s="199">
        <v>-176920</v>
      </c>
      <c r="Z13" s="199">
        <v>-130543</v>
      </c>
      <c r="AA13" s="199"/>
      <c r="AB13" s="199"/>
      <c r="AC13" s="199"/>
    </row>
    <row r="14" spans="1:29" ht="15" x14ac:dyDescent="0.4">
      <c r="A14" s="4" t="s">
        <v>14</v>
      </c>
      <c r="B14" s="5"/>
      <c r="C14" s="5"/>
      <c r="D14" s="5"/>
      <c r="E14" s="5"/>
      <c r="F14" s="5"/>
      <c r="G14" s="5"/>
      <c r="H14" s="5"/>
      <c r="I14" s="5"/>
      <c r="J14" s="5"/>
      <c r="K14" s="5"/>
      <c r="L14" s="5"/>
      <c r="M14" s="5"/>
      <c r="N14" s="146">
        <v>-12014</v>
      </c>
      <c r="O14" s="146"/>
      <c r="P14" s="146"/>
      <c r="Q14" s="146"/>
      <c r="R14" s="146"/>
      <c r="S14" s="146">
        <v>-89850</v>
      </c>
      <c r="T14" s="5"/>
      <c r="U14" s="146"/>
      <c r="V14" s="199">
        <v>-19690</v>
      </c>
      <c r="W14" s="199">
        <v>-78873</v>
      </c>
      <c r="X14" s="199">
        <v>-218520</v>
      </c>
      <c r="Y14" s="199">
        <v>-301884</v>
      </c>
      <c r="Z14" s="199">
        <v>-227083</v>
      </c>
      <c r="AA14" s="199"/>
      <c r="AB14" s="199"/>
      <c r="AC14" s="199"/>
    </row>
    <row r="15" spans="1:29" ht="15" x14ac:dyDescent="0.4">
      <c r="A15" s="4" t="s">
        <v>15</v>
      </c>
      <c r="B15" s="5"/>
      <c r="C15" s="5"/>
      <c r="D15" s="5"/>
      <c r="E15" s="5"/>
      <c r="F15" s="5"/>
      <c r="G15" s="5"/>
      <c r="H15" s="5"/>
      <c r="I15" s="5"/>
      <c r="J15" s="5"/>
      <c r="K15" s="5"/>
      <c r="L15" s="5"/>
      <c r="M15" s="5"/>
      <c r="N15" s="146">
        <v>-88841</v>
      </c>
      <c r="O15" s="146"/>
      <c r="P15" s="146"/>
      <c r="Q15" s="146"/>
      <c r="R15" s="146"/>
      <c r="S15" s="146">
        <v>2076649</v>
      </c>
      <c r="T15" s="5"/>
      <c r="U15" s="146"/>
      <c r="V15" s="199">
        <v>-127590</v>
      </c>
      <c r="W15" s="199">
        <v>-506120</v>
      </c>
      <c r="X15" s="199">
        <v>-1371373</v>
      </c>
      <c r="Y15" s="199">
        <v>-1856928</v>
      </c>
      <c r="Z15" s="199">
        <v>-1354088</v>
      </c>
      <c r="AA15" s="199"/>
      <c r="AB15" s="199"/>
      <c r="AC15" s="199"/>
    </row>
    <row r="16" spans="1:29" ht="15" x14ac:dyDescent="0.4">
      <c r="A16" s="4" t="s">
        <v>16</v>
      </c>
      <c r="B16" s="5"/>
      <c r="C16" s="5"/>
      <c r="D16" s="5"/>
      <c r="E16" s="5"/>
      <c r="F16" s="5"/>
      <c r="G16" s="5"/>
      <c r="H16" s="5"/>
      <c r="I16" s="5"/>
      <c r="J16" s="5"/>
      <c r="K16" s="5"/>
      <c r="L16" s="5"/>
      <c r="M16" s="5"/>
      <c r="N16" s="146">
        <v>-49678</v>
      </c>
      <c r="O16" s="146"/>
      <c r="P16" s="146"/>
      <c r="Q16" s="146"/>
      <c r="R16" s="146"/>
      <c r="S16" s="146">
        <v>-370234</v>
      </c>
      <c r="T16" s="5"/>
      <c r="U16" s="146"/>
      <c r="V16" s="199">
        <v>-76103</v>
      </c>
      <c r="W16" s="199">
        <v>-304378</v>
      </c>
      <c r="X16" s="199">
        <v>-833014</v>
      </c>
      <c r="Y16" s="199">
        <v>-917436</v>
      </c>
      <c r="Z16" s="199">
        <v>-830397</v>
      </c>
      <c r="AA16" s="199"/>
      <c r="AB16" s="199"/>
      <c r="AC16" s="199"/>
    </row>
    <row r="17" spans="1:29" ht="15" x14ac:dyDescent="0.4">
      <c r="A17" s="4" t="s">
        <v>17</v>
      </c>
      <c r="B17" s="5"/>
      <c r="C17" s="5"/>
      <c r="D17" s="5"/>
      <c r="E17" s="5"/>
      <c r="F17" s="5"/>
      <c r="G17" s="5"/>
      <c r="H17" s="5"/>
      <c r="I17" s="5"/>
      <c r="J17" s="5"/>
      <c r="K17" s="5"/>
      <c r="L17" s="5"/>
      <c r="M17" s="5"/>
      <c r="N17" s="146">
        <v>-20800</v>
      </c>
      <c r="O17" s="146"/>
      <c r="P17" s="146"/>
      <c r="Q17" s="146"/>
      <c r="R17" s="146"/>
      <c r="S17" s="146">
        <v>-157539</v>
      </c>
      <c r="T17" s="5"/>
      <c r="U17" s="146"/>
      <c r="V17" s="199">
        <v>-32710</v>
      </c>
      <c r="W17" s="199">
        <v>-131155</v>
      </c>
      <c r="X17" s="199">
        <v>-359786</v>
      </c>
      <c r="Y17" s="199">
        <v>-482032</v>
      </c>
      <c r="Z17" s="199">
        <v>-357323</v>
      </c>
      <c r="AA17" s="199"/>
      <c r="AB17" s="199"/>
      <c r="AC17" s="199"/>
    </row>
    <row r="18" spans="1:29" ht="15" x14ac:dyDescent="0.4">
      <c r="A18" s="4" t="s">
        <v>18</v>
      </c>
      <c r="B18" s="5"/>
      <c r="C18" s="5"/>
      <c r="D18" s="5"/>
      <c r="E18" s="5"/>
      <c r="F18" s="5"/>
      <c r="G18" s="5"/>
      <c r="H18" s="5"/>
      <c r="I18" s="5"/>
      <c r="J18" s="5"/>
      <c r="K18" s="5"/>
      <c r="L18" s="5"/>
      <c r="M18" s="5">
        <v>0</v>
      </c>
      <c r="N18" s="146">
        <f>2186454</f>
        <v>2186454</v>
      </c>
      <c r="O18" s="146"/>
      <c r="P18" s="146"/>
      <c r="Q18" s="146"/>
      <c r="R18" s="146"/>
      <c r="S18" s="146">
        <v>-154069</v>
      </c>
      <c r="T18" s="5"/>
      <c r="U18" s="146"/>
      <c r="V18" s="199">
        <v>-31765</v>
      </c>
      <c r="W18" s="199">
        <v>-126783</v>
      </c>
      <c r="X18" s="199">
        <v>-345859</v>
      </c>
      <c r="Y18" s="199">
        <v>-456420</v>
      </c>
      <c r="Z18" s="199">
        <v>-340770</v>
      </c>
      <c r="AA18" s="199"/>
      <c r="AB18" s="199"/>
      <c r="AC18" s="199"/>
    </row>
    <row r="19" spans="1:29" ht="15" x14ac:dyDescent="0.4">
      <c r="A19" s="4" t="s">
        <v>19</v>
      </c>
      <c r="B19" s="5"/>
      <c r="C19" s="5"/>
      <c r="D19" s="5"/>
      <c r="E19" s="5"/>
      <c r="F19" s="5"/>
      <c r="G19" s="5"/>
      <c r="H19" s="5"/>
      <c r="I19" s="5"/>
      <c r="J19" s="5"/>
      <c r="K19" s="5"/>
      <c r="L19" s="5"/>
      <c r="M19" s="5"/>
      <c r="N19" s="146">
        <v>-30450</v>
      </c>
      <c r="O19" s="146"/>
      <c r="P19" s="146"/>
      <c r="Q19" s="146"/>
      <c r="R19" s="146"/>
      <c r="S19" s="146">
        <v>-224580</v>
      </c>
      <c r="T19" s="5"/>
      <c r="U19" s="146"/>
      <c r="V19" s="199">
        <v>-46855</v>
      </c>
      <c r="W19" s="199">
        <v>-186702</v>
      </c>
      <c r="X19" s="199">
        <v>-511670</v>
      </c>
      <c r="Y19" s="199">
        <v>-717118</v>
      </c>
      <c r="Z19" s="199">
        <v>-514703</v>
      </c>
      <c r="AA19" s="199"/>
      <c r="AB19" s="199"/>
      <c r="AC19" s="199"/>
    </row>
    <row r="20" spans="1:29" ht="15" x14ac:dyDescent="0.4">
      <c r="A20" s="4" t="s">
        <v>20</v>
      </c>
      <c r="B20" s="5"/>
      <c r="C20" s="5"/>
      <c r="D20" s="5"/>
      <c r="E20" s="5"/>
      <c r="F20" s="5"/>
      <c r="G20" s="5"/>
      <c r="H20" s="5"/>
      <c r="I20" s="5"/>
      <c r="J20" s="5"/>
      <c r="K20" s="5"/>
      <c r="L20" s="5"/>
      <c r="M20" s="5"/>
      <c r="N20" s="146">
        <v>-35420</v>
      </c>
      <c r="O20" s="146"/>
      <c r="P20" s="146"/>
      <c r="Q20" s="146"/>
      <c r="R20" s="146"/>
      <c r="S20" s="146">
        <v>-263596</v>
      </c>
      <c r="T20" s="5"/>
      <c r="U20" s="146"/>
      <c r="V20" s="199">
        <v>-54792</v>
      </c>
      <c r="W20" s="199">
        <v>-222097</v>
      </c>
      <c r="X20" s="199">
        <v>-608065</v>
      </c>
      <c r="Y20" s="199">
        <v>-621475</v>
      </c>
      <c r="Z20" s="199">
        <v>-592077</v>
      </c>
      <c r="AA20" s="199"/>
      <c r="AB20" s="199"/>
      <c r="AC20" s="199"/>
    </row>
    <row r="21" spans="1:29" ht="15" x14ac:dyDescent="0.4">
      <c r="A21" s="4" t="s">
        <v>21</v>
      </c>
      <c r="B21" s="5"/>
      <c r="C21" s="5"/>
      <c r="D21" s="5"/>
      <c r="E21" s="5"/>
      <c r="F21" s="5"/>
      <c r="G21" s="5"/>
      <c r="H21" s="5"/>
      <c r="I21" s="5"/>
      <c r="J21" s="5"/>
      <c r="K21" s="5"/>
      <c r="L21" s="5"/>
      <c r="M21" s="5"/>
      <c r="N21" s="146">
        <v>-7361</v>
      </c>
      <c r="O21" s="146"/>
      <c r="P21" s="146"/>
      <c r="Q21" s="146"/>
      <c r="R21" s="146"/>
      <c r="S21" s="146">
        <v>-51751</v>
      </c>
      <c r="T21" s="5"/>
      <c r="U21" s="146"/>
      <c r="V21" s="199">
        <v>-10433</v>
      </c>
      <c r="W21" s="199">
        <v>-41700</v>
      </c>
      <c r="X21" s="199">
        <v>-113343</v>
      </c>
      <c r="Y21" s="199">
        <v>-159725</v>
      </c>
      <c r="Z21" s="199">
        <v>-110702</v>
      </c>
      <c r="AA21" s="199"/>
      <c r="AB21" s="199"/>
      <c r="AC21" s="199"/>
    </row>
    <row r="22" spans="1:29" ht="15" x14ac:dyDescent="0.4">
      <c r="A22" s="4" t="s">
        <v>22</v>
      </c>
      <c r="B22" s="5"/>
      <c r="C22" s="5"/>
      <c r="D22" s="5"/>
      <c r="E22" s="5"/>
      <c r="F22" s="5"/>
      <c r="G22" s="5"/>
      <c r="H22" s="5"/>
      <c r="I22" s="5"/>
      <c r="J22" s="5"/>
      <c r="K22" s="5"/>
      <c r="L22" s="5"/>
      <c r="M22" s="5"/>
      <c r="N22" s="146">
        <v>-36822</v>
      </c>
      <c r="O22" s="146"/>
      <c r="P22" s="146"/>
      <c r="Q22" s="146"/>
      <c r="R22" s="146"/>
      <c r="S22" s="146">
        <v>-278251</v>
      </c>
      <c r="T22" s="5"/>
      <c r="U22" s="146"/>
      <c r="V22" s="199">
        <v>-57337</v>
      </c>
      <c r="W22" s="199">
        <v>-230904</v>
      </c>
      <c r="X22" s="199">
        <v>-631942</v>
      </c>
      <c r="Y22" s="199">
        <v>-871033</v>
      </c>
      <c r="Z22" s="199">
        <v>-634031</v>
      </c>
      <c r="AA22" s="199"/>
      <c r="AB22" s="199"/>
      <c r="AC22" s="199"/>
    </row>
    <row r="23" spans="1:29" ht="15" x14ac:dyDescent="0.4">
      <c r="A23" s="4" t="s">
        <v>23</v>
      </c>
      <c r="B23" s="5"/>
      <c r="C23" s="5"/>
      <c r="D23" s="5"/>
      <c r="E23" s="5"/>
      <c r="F23" s="5"/>
      <c r="G23" s="5"/>
      <c r="H23" s="5"/>
      <c r="I23" s="5"/>
      <c r="J23" s="5"/>
      <c r="K23" s="5"/>
      <c r="L23" s="5"/>
      <c r="M23" s="5"/>
      <c r="N23" s="146">
        <v>-43364</v>
      </c>
      <c r="O23" s="146"/>
      <c r="P23" s="146"/>
      <c r="Q23" s="146"/>
      <c r="R23" s="146"/>
      <c r="S23" s="146">
        <v>-325355</v>
      </c>
      <c r="T23" s="5"/>
      <c r="U23" s="146"/>
      <c r="V23" s="199">
        <v>-66917</v>
      </c>
      <c r="W23" s="199">
        <v>-264872</v>
      </c>
      <c r="X23" s="199">
        <v>-721303</v>
      </c>
      <c r="Y23" s="199">
        <v>-824017</v>
      </c>
      <c r="Z23" s="199">
        <v>-716936</v>
      </c>
      <c r="AA23" s="199"/>
      <c r="AB23" s="199"/>
      <c r="AC23" s="199"/>
    </row>
    <row r="24" spans="1:29" ht="15" x14ac:dyDescent="0.4">
      <c r="A24" s="4" t="s">
        <v>24</v>
      </c>
      <c r="B24" s="5"/>
      <c r="C24" s="5"/>
      <c r="D24" s="5"/>
      <c r="E24" s="5"/>
      <c r="F24" s="5"/>
      <c r="G24" s="5"/>
      <c r="H24" s="5"/>
      <c r="I24" s="5"/>
      <c r="J24" s="5"/>
      <c r="K24" s="5"/>
      <c r="L24" s="5"/>
      <c r="M24" s="5"/>
      <c r="N24" s="146">
        <v>-73670</v>
      </c>
      <c r="O24" s="146"/>
      <c r="P24" s="146"/>
      <c r="Q24" s="146"/>
      <c r="R24" s="146"/>
      <c r="S24" s="146">
        <v>-527912</v>
      </c>
      <c r="T24" s="5"/>
      <c r="U24" s="146"/>
      <c r="V24" s="199">
        <v>-107050</v>
      </c>
      <c r="W24" s="199">
        <v>-425938</v>
      </c>
      <c r="X24" s="199">
        <v>-1157486</v>
      </c>
      <c r="Y24" s="199">
        <v>-1262226</v>
      </c>
      <c r="Z24" s="199">
        <v>-1149177</v>
      </c>
      <c r="AA24" s="199"/>
      <c r="AB24" s="199"/>
      <c r="AC24" s="199"/>
    </row>
    <row r="25" spans="1:29" ht="15" x14ac:dyDescent="0.4">
      <c r="A25" s="4" t="s">
        <v>25</v>
      </c>
      <c r="B25" s="5"/>
      <c r="C25" s="5"/>
      <c r="D25" s="5"/>
      <c r="E25" s="5"/>
      <c r="F25" s="5"/>
      <c r="G25" s="5"/>
      <c r="H25" s="5"/>
      <c r="I25" s="5"/>
      <c r="J25" s="5"/>
      <c r="K25" s="5"/>
      <c r="L25" s="5"/>
      <c r="M25" s="5"/>
      <c r="N25" s="146">
        <v>-35043</v>
      </c>
      <c r="O25" s="146"/>
      <c r="P25" s="146"/>
      <c r="Q25" s="146"/>
      <c r="R25" s="146"/>
      <c r="S25" s="146">
        <v>-262347</v>
      </c>
      <c r="T25" s="5"/>
      <c r="U25" s="146"/>
      <c r="V25" s="199">
        <v>-55873</v>
      </c>
      <c r="W25" s="199">
        <v>-224107</v>
      </c>
      <c r="X25" s="199">
        <v>-614473</v>
      </c>
      <c r="Y25" s="199">
        <v>-802965</v>
      </c>
      <c r="Z25" s="199">
        <v>-610078</v>
      </c>
      <c r="AA25" s="199"/>
      <c r="AB25" s="199"/>
      <c r="AC25" s="199"/>
    </row>
    <row r="26" spans="1:29" ht="15" x14ac:dyDescent="0.4">
      <c r="A26" s="4" t="s">
        <v>26</v>
      </c>
      <c r="B26" s="5"/>
      <c r="C26" s="5"/>
      <c r="D26" s="5"/>
      <c r="E26" s="5"/>
      <c r="F26" s="5"/>
      <c r="G26" s="5"/>
      <c r="H26" s="5"/>
      <c r="I26" s="5"/>
      <c r="J26" s="5"/>
      <c r="K26" s="5"/>
      <c r="L26" s="5"/>
      <c r="M26" s="5"/>
      <c r="N26" s="146">
        <v>-23037</v>
      </c>
      <c r="O26" s="146"/>
      <c r="P26" s="146"/>
      <c r="Q26" s="146"/>
      <c r="R26" s="146"/>
      <c r="S26" s="146">
        <v>-168367</v>
      </c>
      <c r="T26" s="5"/>
      <c r="U26" s="146"/>
      <c r="V26" s="199">
        <v>-34739</v>
      </c>
      <c r="W26" s="199">
        <v>-138240</v>
      </c>
      <c r="X26" s="199">
        <v>-376012</v>
      </c>
      <c r="Y26" s="199">
        <v>-522561</v>
      </c>
      <c r="Z26" s="199">
        <v>-364150</v>
      </c>
      <c r="AA26" s="199"/>
      <c r="AB26" s="199"/>
      <c r="AC26" s="199"/>
    </row>
    <row r="27" spans="1:29" ht="15" x14ac:dyDescent="0.4">
      <c r="A27" s="4" t="s">
        <v>27</v>
      </c>
      <c r="B27" s="5"/>
      <c r="C27" s="5"/>
      <c r="D27" s="5"/>
      <c r="E27" s="5"/>
      <c r="F27" s="5"/>
      <c r="G27" s="5"/>
      <c r="H27" s="5"/>
      <c r="I27" s="5"/>
      <c r="J27" s="5"/>
      <c r="K27" s="5"/>
      <c r="L27" s="5"/>
      <c r="M27" s="5"/>
      <c r="N27" s="146">
        <v>-41021</v>
      </c>
      <c r="O27" s="146"/>
      <c r="P27" s="146"/>
      <c r="Q27" s="146"/>
      <c r="R27" s="146"/>
      <c r="S27" s="146">
        <v>-300720</v>
      </c>
      <c r="T27" s="5"/>
      <c r="U27" s="146"/>
      <c r="V27" s="199">
        <v>-62468</v>
      </c>
      <c r="W27" s="199">
        <v>-246645</v>
      </c>
      <c r="X27" s="199">
        <v>-675391</v>
      </c>
      <c r="Y27" s="199">
        <v>-911477</v>
      </c>
      <c r="Z27" s="199">
        <v>-673606</v>
      </c>
      <c r="AA27" s="199"/>
      <c r="AB27" s="199"/>
      <c r="AC27" s="199"/>
    </row>
    <row r="28" spans="1:29" ht="15" x14ac:dyDescent="0.4">
      <c r="A28" s="4" t="s">
        <v>28</v>
      </c>
      <c r="B28" s="5"/>
      <c r="C28" s="5"/>
      <c r="D28" s="5"/>
      <c r="E28" s="5"/>
      <c r="F28" s="5"/>
      <c r="G28" s="5"/>
      <c r="H28" s="5"/>
      <c r="I28" s="5"/>
      <c r="J28" s="5"/>
      <c r="K28" s="5"/>
      <c r="L28" s="5"/>
      <c r="M28" s="5"/>
      <c r="N28" s="146">
        <v>-5532</v>
      </c>
      <c r="O28" s="146"/>
      <c r="P28" s="146"/>
      <c r="Q28" s="146"/>
      <c r="R28" s="146"/>
      <c r="S28" s="146">
        <v>-41998</v>
      </c>
      <c r="T28" s="5"/>
      <c r="U28" s="146"/>
      <c r="V28" s="199">
        <v>-8851</v>
      </c>
      <c r="W28" s="199">
        <v>-36893</v>
      </c>
      <c r="X28" s="199">
        <v>-102050</v>
      </c>
      <c r="Y28" s="199">
        <v>-135588</v>
      </c>
      <c r="Z28" s="199">
        <v>-100673</v>
      </c>
      <c r="AA28" s="199"/>
      <c r="AB28" s="199"/>
      <c r="AC28" s="199"/>
    </row>
    <row r="29" spans="1:29" ht="15" x14ac:dyDescent="0.4">
      <c r="A29" s="4" t="s">
        <v>29</v>
      </c>
      <c r="B29" s="5"/>
      <c r="C29" s="5"/>
      <c r="D29" s="5"/>
      <c r="E29" s="5"/>
      <c r="F29" s="5"/>
      <c r="G29" s="5"/>
      <c r="H29" s="5"/>
      <c r="I29" s="5"/>
      <c r="J29" s="5"/>
      <c r="K29" s="5"/>
      <c r="L29" s="5"/>
      <c r="M29" s="5"/>
      <c r="N29" s="146">
        <v>-12706</v>
      </c>
      <c r="O29" s="146"/>
      <c r="P29" s="146"/>
      <c r="Q29" s="146"/>
      <c r="R29" s="146"/>
      <c r="S29" s="146">
        <v>-98125</v>
      </c>
      <c r="T29" s="5"/>
      <c r="U29" s="146"/>
      <c r="V29" s="199">
        <v>-20964</v>
      </c>
      <c r="W29" s="199">
        <v>-82236</v>
      </c>
      <c r="X29" s="199">
        <v>-225448</v>
      </c>
      <c r="Y29" s="199">
        <v>-305773</v>
      </c>
      <c r="Z29" s="199">
        <v>-229235</v>
      </c>
      <c r="AA29" s="199"/>
      <c r="AB29" s="199"/>
      <c r="AC29" s="199"/>
    </row>
    <row r="30" spans="1:29" ht="15" x14ac:dyDescent="0.4">
      <c r="A30" s="4" t="s">
        <v>30</v>
      </c>
      <c r="B30" s="5"/>
      <c r="C30" s="5"/>
      <c r="D30" s="5"/>
      <c r="E30" s="5"/>
      <c r="F30" s="5"/>
      <c r="G30" s="5"/>
      <c r="H30" s="5"/>
      <c r="I30" s="5"/>
      <c r="J30" s="5"/>
      <c r="K30" s="5"/>
      <c r="L30" s="5"/>
      <c r="M30" s="5"/>
      <c r="N30" s="146">
        <v>-19835</v>
      </c>
      <c r="O30" s="146"/>
      <c r="P30" s="146"/>
      <c r="Q30" s="146"/>
      <c r="R30" s="146"/>
      <c r="S30" s="146">
        <v>-149599</v>
      </c>
      <c r="T30" s="5"/>
      <c r="U30" s="146"/>
      <c r="V30" s="199">
        <v>-31682</v>
      </c>
      <c r="W30" s="199">
        <v>-129855</v>
      </c>
      <c r="X30" s="199">
        <v>-359712</v>
      </c>
      <c r="Y30" s="199">
        <v>-383914</v>
      </c>
      <c r="Z30" s="199">
        <v>-353476</v>
      </c>
      <c r="AA30" s="199"/>
      <c r="AB30" s="199"/>
      <c r="AC30" s="199"/>
    </row>
    <row r="31" spans="1:29" ht="15" x14ac:dyDescent="0.4">
      <c r="A31" s="4" t="s">
        <v>31</v>
      </c>
      <c r="B31" s="5"/>
      <c r="C31" s="5"/>
      <c r="D31" s="5"/>
      <c r="E31" s="5"/>
      <c r="F31" s="5"/>
      <c r="G31" s="5"/>
      <c r="H31" s="5"/>
      <c r="I31" s="5"/>
      <c r="J31" s="5"/>
      <c r="K31" s="5"/>
      <c r="L31" s="5"/>
      <c r="M31" s="5"/>
      <c r="N31" s="146">
        <v>-7929</v>
      </c>
      <c r="O31" s="146"/>
      <c r="P31" s="146"/>
      <c r="Q31" s="146"/>
      <c r="R31" s="146"/>
      <c r="S31" s="146">
        <v>-56110</v>
      </c>
      <c r="T31" s="5"/>
      <c r="U31" s="146"/>
      <c r="V31" s="199">
        <v>-11471</v>
      </c>
      <c r="W31" s="199">
        <v>-44798</v>
      </c>
      <c r="X31" s="199">
        <v>-121574</v>
      </c>
      <c r="Y31" s="199">
        <v>-160229</v>
      </c>
      <c r="Z31" s="199">
        <v>-118300</v>
      </c>
      <c r="AA31" s="199"/>
      <c r="AB31" s="199"/>
      <c r="AC31" s="199"/>
    </row>
    <row r="32" spans="1:29" ht="15" x14ac:dyDescent="0.4">
      <c r="A32" s="4" t="s">
        <v>32</v>
      </c>
      <c r="B32" s="5"/>
      <c r="C32" s="5"/>
      <c r="D32" s="5"/>
      <c r="E32" s="5"/>
      <c r="F32" s="5"/>
      <c r="G32" s="5"/>
      <c r="H32" s="5"/>
      <c r="I32" s="5"/>
      <c r="J32" s="5"/>
      <c r="K32" s="5"/>
      <c r="L32" s="5"/>
      <c r="M32" s="5"/>
      <c r="N32" s="146">
        <v>-55513</v>
      </c>
      <c r="O32" s="146"/>
      <c r="P32" s="146"/>
      <c r="Q32" s="146"/>
      <c r="R32" s="146"/>
      <c r="S32" s="146">
        <v>-414267</v>
      </c>
      <c r="T32" s="5"/>
      <c r="U32" s="146"/>
      <c r="V32" s="199">
        <v>-84459</v>
      </c>
      <c r="W32" s="199">
        <v>13272335</v>
      </c>
      <c r="X32" s="199">
        <v>-916736</v>
      </c>
      <c r="Y32" s="199">
        <v>-1293547</v>
      </c>
      <c r="Z32" s="199">
        <v>-946776</v>
      </c>
      <c r="AA32" s="199"/>
      <c r="AB32" s="199"/>
      <c r="AC32" s="199"/>
    </row>
    <row r="33" spans="1:29" ht="15" x14ac:dyDescent="0.4">
      <c r="A33" s="4" t="s">
        <v>33</v>
      </c>
      <c r="B33" s="5"/>
      <c r="C33" s="5"/>
      <c r="D33" s="5"/>
      <c r="E33" s="5"/>
      <c r="F33" s="5"/>
      <c r="G33" s="5"/>
      <c r="H33" s="5"/>
      <c r="I33" s="5"/>
      <c r="J33" s="5"/>
      <c r="K33" s="5"/>
      <c r="L33" s="5"/>
      <c r="M33" s="5"/>
      <c r="N33" s="146">
        <v>-16565</v>
      </c>
      <c r="O33" s="146"/>
      <c r="P33" s="146"/>
      <c r="Q33" s="146"/>
      <c r="R33" s="146"/>
      <c r="S33" s="146">
        <v>-120911</v>
      </c>
      <c r="T33" s="5"/>
      <c r="U33" s="146"/>
      <c r="V33" s="199">
        <v>-24983</v>
      </c>
      <c r="W33" s="199">
        <v>-97506</v>
      </c>
      <c r="X33" s="199">
        <v>-266674</v>
      </c>
      <c r="Y33" s="199">
        <v>-277878</v>
      </c>
      <c r="Z33" s="199">
        <v>-264488</v>
      </c>
      <c r="AA33" s="199"/>
      <c r="AB33" s="199"/>
      <c r="AC33" s="199"/>
    </row>
    <row r="34" spans="1:29" ht="15" x14ac:dyDescent="0.4">
      <c r="A34" s="4" t="s">
        <v>34</v>
      </c>
      <c r="B34" s="5"/>
      <c r="C34" s="5"/>
      <c r="D34" s="5"/>
      <c r="E34" s="5"/>
      <c r="F34" s="5"/>
      <c r="G34" s="5"/>
      <c r="H34" s="5"/>
      <c r="I34" s="5"/>
      <c r="J34" s="5"/>
      <c r="K34" s="5"/>
      <c r="L34" s="5"/>
      <c r="M34" s="5"/>
      <c r="N34" s="146">
        <v>-125843</v>
      </c>
      <c r="O34" s="146"/>
      <c r="P34" s="146"/>
      <c r="Q34" s="146"/>
      <c r="R34" s="146"/>
      <c r="S34" s="146">
        <v>-924736</v>
      </c>
      <c r="T34" s="5"/>
      <c r="U34" s="146"/>
      <c r="V34" s="199">
        <v>-185457</v>
      </c>
      <c r="W34" s="199">
        <v>-735388</v>
      </c>
      <c r="X34" s="199">
        <v>-1994441</v>
      </c>
      <c r="Y34" s="199">
        <v>-2807515</v>
      </c>
      <c r="Z34" s="199">
        <v>-2034494</v>
      </c>
      <c r="AA34" s="199"/>
      <c r="AB34" s="199"/>
      <c r="AC34" s="199"/>
    </row>
    <row r="35" spans="1:29" ht="15" x14ac:dyDescent="0.4">
      <c r="A35" s="4" t="s">
        <v>35</v>
      </c>
      <c r="B35" s="5"/>
      <c r="C35" s="5"/>
      <c r="D35" s="5"/>
      <c r="E35" s="5"/>
      <c r="F35" s="5"/>
      <c r="G35" s="5"/>
      <c r="H35" s="5"/>
      <c r="I35" s="5"/>
      <c r="J35" s="5"/>
      <c r="K35" s="5"/>
      <c r="L35" s="5"/>
      <c r="M35" s="5"/>
      <c r="N35" s="146">
        <v>-71584</v>
      </c>
      <c r="O35" s="146"/>
      <c r="P35" s="146"/>
      <c r="Q35" s="146"/>
      <c r="R35" s="146"/>
      <c r="S35" s="146">
        <v>-545284</v>
      </c>
      <c r="T35" s="5"/>
      <c r="U35" s="146"/>
      <c r="V35" s="199">
        <v>-113773</v>
      </c>
      <c r="W35" s="199">
        <v>-453993</v>
      </c>
      <c r="X35" s="199">
        <v>-1250532</v>
      </c>
      <c r="Y35" s="199">
        <v>-1324590</v>
      </c>
      <c r="Z35" s="199">
        <v>-1232084</v>
      </c>
      <c r="AA35" s="199"/>
      <c r="AB35" s="199"/>
      <c r="AC35" s="199"/>
    </row>
    <row r="36" spans="1:29" ht="15" x14ac:dyDescent="0.4">
      <c r="A36" s="4" t="s">
        <v>36</v>
      </c>
      <c r="B36" s="5"/>
      <c r="C36" s="5"/>
      <c r="D36" s="5"/>
      <c r="E36" s="5"/>
      <c r="F36" s="5"/>
      <c r="G36" s="5"/>
      <c r="H36" s="5"/>
      <c r="I36" s="5"/>
      <c r="J36" s="5"/>
      <c r="K36" s="5"/>
      <c r="L36" s="5"/>
      <c r="M36" s="5"/>
      <c r="N36" s="146">
        <v>-4249</v>
      </c>
      <c r="O36" s="146"/>
      <c r="P36" s="146"/>
      <c r="Q36" s="146"/>
      <c r="R36" s="146"/>
      <c r="S36" s="146">
        <v>-35747</v>
      </c>
      <c r="T36" s="5"/>
      <c r="U36" s="146"/>
      <c r="V36" s="199">
        <v>-7556</v>
      </c>
      <c r="W36" s="199">
        <v>-30836</v>
      </c>
      <c r="X36" s="199">
        <v>-85746</v>
      </c>
      <c r="Y36" s="199">
        <v>-114354</v>
      </c>
      <c r="Z36" s="199">
        <v>-90371</v>
      </c>
      <c r="AA36" s="199"/>
      <c r="AB36" s="199"/>
      <c r="AC36" s="199"/>
    </row>
    <row r="37" spans="1:29" ht="15" x14ac:dyDescent="0.4">
      <c r="A37" s="4" t="s">
        <v>37</v>
      </c>
      <c r="B37" s="5"/>
      <c r="C37" s="5"/>
      <c r="D37" s="5"/>
      <c r="E37" s="5"/>
      <c r="F37" s="5"/>
      <c r="G37" s="5"/>
      <c r="H37" s="5"/>
      <c r="I37" s="5"/>
      <c r="J37" s="5"/>
      <c r="K37" s="5"/>
      <c r="L37" s="5"/>
      <c r="M37" s="5"/>
      <c r="N37" s="146">
        <v>-84287</v>
      </c>
      <c r="O37" s="146"/>
      <c r="P37" s="146"/>
      <c r="Q37" s="146"/>
      <c r="R37" s="146"/>
      <c r="S37" s="146">
        <v>-609231</v>
      </c>
      <c r="T37" s="5"/>
      <c r="U37" s="146"/>
      <c r="V37" s="199">
        <v>-125765</v>
      </c>
      <c r="W37" s="199">
        <v>-503066</v>
      </c>
      <c r="X37" s="199">
        <v>-1372240</v>
      </c>
      <c r="Y37" s="199">
        <v>-1494114</v>
      </c>
      <c r="Z37" s="199">
        <v>-1365094</v>
      </c>
      <c r="AA37" s="199"/>
      <c r="AB37" s="199"/>
      <c r="AC37" s="199"/>
    </row>
    <row r="38" spans="1:29" ht="15" x14ac:dyDescent="0.4">
      <c r="A38" s="4" t="s">
        <v>38</v>
      </c>
      <c r="B38" s="5"/>
      <c r="C38" s="5"/>
      <c r="D38" s="5"/>
      <c r="E38" s="5"/>
      <c r="F38" s="5"/>
      <c r="G38" s="5"/>
      <c r="H38" s="5"/>
      <c r="I38" s="5"/>
      <c r="J38" s="5"/>
      <c r="K38" s="5"/>
      <c r="L38" s="5"/>
      <c r="M38" s="5"/>
      <c r="N38" s="146">
        <v>-28826</v>
      </c>
      <c r="O38" s="146"/>
      <c r="P38" s="146"/>
      <c r="Q38" s="146"/>
      <c r="R38" s="146"/>
      <c r="S38" s="146">
        <v>-220223</v>
      </c>
      <c r="T38" s="5"/>
      <c r="U38" s="146"/>
      <c r="V38" s="199">
        <v>-46813</v>
      </c>
      <c r="W38" s="199">
        <v>-188329</v>
      </c>
      <c r="X38" s="199">
        <v>-517591</v>
      </c>
      <c r="Y38" s="199">
        <v>-554200</v>
      </c>
      <c r="Z38" s="199">
        <v>-520257</v>
      </c>
      <c r="AA38" s="199"/>
      <c r="AB38" s="199"/>
      <c r="AC38" s="199"/>
    </row>
    <row r="39" spans="1:29" ht="15" x14ac:dyDescent="0.4">
      <c r="A39" s="4" t="s">
        <v>39</v>
      </c>
      <c r="B39" s="5"/>
      <c r="C39" s="5"/>
      <c r="D39" s="5"/>
      <c r="E39" s="5"/>
      <c r="F39" s="5"/>
      <c r="G39" s="5"/>
      <c r="H39" s="5"/>
      <c r="I39" s="5"/>
      <c r="J39" s="5"/>
      <c r="K39" s="5"/>
      <c r="L39" s="5"/>
      <c r="M39" s="5">
        <v>0</v>
      </c>
      <c r="N39" s="146">
        <v>-25282</v>
      </c>
      <c r="O39" s="146"/>
      <c r="P39" s="146"/>
      <c r="Q39" s="146"/>
      <c r="R39" s="146"/>
      <c r="S39" s="146">
        <v>-187091</v>
      </c>
      <c r="T39" s="5"/>
      <c r="U39" s="146"/>
      <c r="V39" s="199">
        <v>3373165</v>
      </c>
      <c r="W39" s="199">
        <v>-155118</v>
      </c>
      <c r="X39" s="199">
        <v>-423823</v>
      </c>
      <c r="Y39" s="199">
        <v>-566910</v>
      </c>
      <c r="Z39" s="199">
        <v>-413850</v>
      </c>
      <c r="AA39" s="199"/>
      <c r="AB39" s="199"/>
      <c r="AC39" s="199"/>
    </row>
    <row r="40" spans="1:29" ht="15" x14ac:dyDescent="0.4">
      <c r="A40" s="4" t="s">
        <v>40</v>
      </c>
      <c r="B40" s="5"/>
      <c r="C40" s="5"/>
      <c r="D40" s="5"/>
      <c r="E40" s="5"/>
      <c r="F40" s="5"/>
      <c r="G40" s="5"/>
      <c r="H40" s="5"/>
      <c r="I40" s="5"/>
      <c r="J40" s="5"/>
      <c r="K40" s="5"/>
      <c r="L40" s="5"/>
      <c r="M40" s="5"/>
      <c r="N40" s="146">
        <v>-80714</v>
      </c>
      <c r="O40" s="146"/>
      <c r="P40" s="146"/>
      <c r="Q40" s="146"/>
      <c r="R40" s="146"/>
      <c r="S40" s="146">
        <v>-589237</v>
      </c>
      <c r="T40" s="5"/>
      <c r="U40" s="146"/>
      <c r="V40" s="199">
        <v>-121368</v>
      </c>
      <c r="W40" s="199">
        <v>-489899</v>
      </c>
      <c r="X40" s="199">
        <v>-1334219</v>
      </c>
      <c r="Y40" s="199">
        <v>-1816968</v>
      </c>
      <c r="Z40" s="199">
        <v>-1322707</v>
      </c>
      <c r="AA40" s="199"/>
      <c r="AB40" s="199"/>
      <c r="AC40" s="199"/>
    </row>
    <row r="41" spans="1:29" ht="15" x14ac:dyDescent="0.4">
      <c r="A41" s="4" t="s">
        <v>41</v>
      </c>
      <c r="B41" s="5"/>
      <c r="C41" s="5"/>
      <c r="D41" s="5"/>
      <c r="E41" s="5"/>
      <c r="F41" s="5"/>
      <c r="G41" s="5"/>
      <c r="H41" s="5"/>
      <c r="I41" s="5"/>
      <c r="J41" s="5"/>
      <c r="K41" s="5"/>
      <c r="L41" s="5"/>
      <c r="M41" s="5"/>
      <c r="N41" s="146">
        <v>-6762</v>
      </c>
      <c r="O41" s="146"/>
      <c r="P41" s="146"/>
      <c r="Q41" s="146"/>
      <c r="R41" s="146"/>
      <c r="S41" s="146">
        <v>-48563</v>
      </c>
      <c r="T41" s="5"/>
      <c r="U41" s="146"/>
      <c r="V41" s="199">
        <v>-9794</v>
      </c>
      <c r="W41" s="199">
        <v>-38482</v>
      </c>
      <c r="X41" s="199">
        <v>-103990</v>
      </c>
      <c r="Y41" s="199">
        <v>-145226</v>
      </c>
      <c r="Z41" s="199">
        <v>-103036</v>
      </c>
      <c r="AA41" s="199"/>
      <c r="AB41" s="199"/>
      <c r="AC41" s="199"/>
    </row>
    <row r="42" spans="1:29" ht="15" x14ac:dyDescent="0.4">
      <c r="A42" s="4" t="s">
        <v>42</v>
      </c>
      <c r="B42" s="5"/>
      <c r="C42" s="5"/>
      <c r="D42" s="5"/>
      <c r="E42" s="5"/>
      <c r="F42" s="5"/>
      <c r="G42" s="5"/>
      <c r="H42" s="5"/>
      <c r="I42" s="5"/>
      <c r="J42" s="5"/>
      <c r="K42" s="5"/>
      <c r="L42" s="5"/>
      <c r="M42" s="5"/>
      <c r="N42" s="146">
        <v>-32714</v>
      </c>
      <c r="O42" s="146"/>
      <c r="P42" s="146"/>
      <c r="Q42" s="146"/>
      <c r="R42" s="146"/>
      <c r="S42" s="146">
        <v>-243650</v>
      </c>
      <c r="T42" s="5"/>
      <c r="U42" s="146"/>
      <c r="V42" s="199">
        <v>-52212</v>
      </c>
      <c r="W42" s="199">
        <v>-206402</v>
      </c>
      <c r="X42" s="199">
        <v>-569764</v>
      </c>
      <c r="Y42" s="199">
        <v>-787085</v>
      </c>
      <c r="Z42" s="199">
        <v>-571908</v>
      </c>
      <c r="AA42" s="199"/>
      <c r="AB42" s="199"/>
      <c r="AC42" s="199"/>
    </row>
    <row r="43" spans="1:29" ht="15" x14ac:dyDescent="0.4">
      <c r="A43" s="4" t="s">
        <v>43</v>
      </c>
      <c r="B43" s="5"/>
      <c r="C43" s="5"/>
      <c r="D43" s="5"/>
      <c r="E43" s="5"/>
      <c r="F43" s="5"/>
      <c r="G43" s="5"/>
      <c r="H43" s="5"/>
      <c r="I43" s="5"/>
      <c r="J43" s="5"/>
      <c r="K43" s="5"/>
      <c r="L43" s="5"/>
      <c r="M43" s="5"/>
      <c r="N43" s="146">
        <v>-5610</v>
      </c>
      <c r="O43" s="146"/>
      <c r="P43" s="146"/>
      <c r="Q43" s="146"/>
      <c r="R43" s="146"/>
      <c r="S43" s="146">
        <v>-43263</v>
      </c>
      <c r="T43" s="5"/>
      <c r="U43" s="146"/>
      <c r="V43" s="199">
        <v>-9642</v>
      </c>
      <c r="W43" s="199">
        <v>-38025</v>
      </c>
      <c r="X43" s="199">
        <v>-105310</v>
      </c>
      <c r="Y43" s="199">
        <v>-142697</v>
      </c>
      <c r="Z43" s="199">
        <v>-103123</v>
      </c>
      <c r="AA43" s="199"/>
      <c r="AB43" s="199"/>
      <c r="AC43" s="199"/>
    </row>
    <row r="44" spans="1:29" ht="15" x14ac:dyDescent="0.4">
      <c r="A44" s="4" t="s">
        <v>44</v>
      </c>
      <c r="B44" s="5"/>
      <c r="C44" s="5"/>
      <c r="D44" s="5"/>
      <c r="E44" s="5"/>
      <c r="F44" s="5"/>
      <c r="G44" s="5"/>
      <c r="H44" s="5"/>
      <c r="I44" s="5"/>
      <c r="J44" s="5"/>
      <c r="K44" s="5"/>
      <c r="L44" s="5"/>
      <c r="M44" s="5"/>
      <c r="N44" s="146">
        <v>-46807</v>
      </c>
      <c r="O44" s="146"/>
      <c r="P44" s="146"/>
      <c r="Q44" s="146"/>
      <c r="R44" s="146"/>
      <c r="S44" s="146">
        <v>-349914</v>
      </c>
      <c r="T44" s="5"/>
      <c r="U44" s="146"/>
      <c r="V44" s="199">
        <v>-73512</v>
      </c>
      <c r="W44" s="199">
        <v>-292512</v>
      </c>
      <c r="X44" s="199">
        <v>-803654</v>
      </c>
      <c r="Y44" s="199">
        <v>-870070</v>
      </c>
      <c r="Z44" s="199">
        <v>-807165</v>
      </c>
      <c r="AA44" s="199"/>
      <c r="AB44" s="199"/>
      <c r="AC44" s="199"/>
    </row>
    <row r="45" spans="1:29" ht="15" x14ac:dyDescent="0.4">
      <c r="A45" s="4" t="s">
        <v>45</v>
      </c>
      <c r="B45" s="5"/>
      <c r="C45" s="5"/>
      <c r="D45" s="5"/>
      <c r="E45" s="5"/>
      <c r="F45" s="5"/>
      <c r="G45" s="5"/>
      <c r="H45" s="5"/>
      <c r="I45" s="5"/>
      <c r="J45" s="5"/>
      <c r="K45" s="5"/>
      <c r="L45" s="5"/>
      <c r="M45" s="5"/>
      <c r="N45" s="146">
        <v>-213132</v>
      </c>
      <c r="O45" s="146"/>
      <c r="P45" s="146"/>
      <c r="Q45" s="146"/>
      <c r="R45" s="146"/>
      <c r="S45" s="146">
        <v>-1644329</v>
      </c>
      <c r="T45" s="5"/>
      <c r="U45" s="146"/>
      <c r="V45" s="199">
        <v>-356661</v>
      </c>
      <c r="W45" s="199">
        <v>-1426049</v>
      </c>
      <c r="X45" s="199">
        <v>33302428</v>
      </c>
      <c r="Y45" s="199">
        <v>41594326</v>
      </c>
      <c r="Z45" s="199">
        <v>33032225</v>
      </c>
      <c r="AA45" s="199"/>
      <c r="AB45" s="199"/>
      <c r="AC45" s="199"/>
    </row>
    <row r="46" spans="1:29" ht="15" x14ac:dyDescent="0.4">
      <c r="A46" s="4" t="s">
        <v>46</v>
      </c>
      <c r="B46" s="5"/>
      <c r="C46" s="5"/>
      <c r="D46" s="5"/>
      <c r="E46" s="5"/>
      <c r="F46" s="5"/>
      <c r="G46" s="5"/>
      <c r="H46" s="5"/>
      <c r="I46" s="5"/>
      <c r="J46" s="5"/>
      <c r="K46" s="5"/>
      <c r="L46" s="5"/>
      <c r="M46" s="5"/>
      <c r="N46" s="146">
        <v>-25050</v>
      </c>
      <c r="O46" s="146"/>
      <c r="P46" s="146"/>
      <c r="Q46" s="146"/>
      <c r="R46" s="146"/>
      <c r="S46" s="146">
        <v>-194121</v>
      </c>
      <c r="T46" s="5"/>
      <c r="U46" s="146"/>
      <c r="V46" s="199">
        <v>-40914</v>
      </c>
      <c r="W46" s="199">
        <v>-169086</v>
      </c>
      <c r="X46" s="199">
        <v>-465750</v>
      </c>
      <c r="Y46" s="199">
        <v>-534684</v>
      </c>
      <c r="Z46" s="199">
        <v>-457818</v>
      </c>
      <c r="AA46" s="199"/>
      <c r="AB46" s="199"/>
      <c r="AC46" s="199"/>
    </row>
    <row r="47" spans="1:29" ht="15" x14ac:dyDescent="0.4">
      <c r="A47" s="4" t="s">
        <v>47</v>
      </c>
      <c r="B47" s="5"/>
      <c r="C47" s="5"/>
      <c r="D47" s="5"/>
      <c r="E47" s="5"/>
      <c r="F47" s="5"/>
      <c r="G47" s="5"/>
      <c r="H47" s="5"/>
      <c r="I47" s="5"/>
      <c r="J47" s="5"/>
      <c r="K47" s="5"/>
      <c r="L47" s="5"/>
      <c r="M47" s="5"/>
      <c r="N47" s="146">
        <v>-4057</v>
      </c>
      <c r="O47" s="146"/>
      <c r="P47" s="146"/>
      <c r="Q47" s="146"/>
      <c r="R47" s="146"/>
      <c r="S47" s="146">
        <v>-28782</v>
      </c>
      <c r="T47" s="5"/>
      <c r="U47" s="146"/>
      <c r="V47" s="199">
        <v>-6056</v>
      </c>
      <c r="W47" s="199">
        <v>-23807</v>
      </c>
      <c r="X47" s="199">
        <v>-64785</v>
      </c>
      <c r="Y47" s="199">
        <v>-78934</v>
      </c>
      <c r="Z47" s="199">
        <v>-65488</v>
      </c>
      <c r="AA47" s="199"/>
      <c r="AB47" s="199"/>
      <c r="AC47" s="199"/>
    </row>
    <row r="48" spans="1:29" ht="15" x14ac:dyDescent="0.4">
      <c r="A48" s="4" t="s">
        <v>48</v>
      </c>
      <c r="B48" s="5"/>
      <c r="C48" s="5"/>
      <c r="D48" s="5"/>
      <c r="E48" s="5"/>
      <c r="F48" s="5"/>
      <c r="G48" s="5"/>
      <c r="H48" s="5"/>
      <c r="I48" s="5"/>
      <c r="J48" s="5"/>
      <c r="K48" s="5"/>
      <c r="L48" s="5"/>
      <c r="M48" s="5"/>
      <c r="N48" s="146">
        <v>-55466</v>
      </c>
      <c r="O48" s="146"/>
      <c r="P48" s="146"/>
      <c r="Q48" s="146"/>
      <c r="R48" s="146"/>
      <c r="S48" s="146">
        <v>-419999</v>
      </c>
      <c r="T48" s="5"/>
      <c r="U48" s="146"/>
      <c r="V48" s="199">
        <v>-87947</v>
      </c>
      <c r="W48" s="199">
        <v>-349197</v>
      </c>
      <c r="X48" s="199">
        <v>-961085</v>
      </c>
      <c r="Y48" s="199">
        <v>-1082706</v>
      </c>
      <c r="Z48" s="199">
        <v>-968562</v>
      </c>
      <c r="AA48" s="199"/>
      <c r="AB48" s="199"/>
      <c r="AC48" s="199"/>
    </row>
    <row r="49" spans="1:29" ht="15" x14ac:dyDescent="0.4">
      <c r="A49" s="4" t="s">
        <v>49</v>
      </c>
      <c r="B49" s="5"/>
      <c r="C49" s="5"/>
      <c r="D49" s="5"/>
      <c r="E49" s="5"/>
      <c r="F49" s="5"/>
      <c r="G49" s="5"/>
      <c r="H49" s="5"/>
      <c r="I49" s="5"/>
      <c r="J49" s="5"/>
      <c r="K49" s="5"/>
      <c r="L49" s="5"/>
      <c r="M49" s="5"/>
      <c r="N49" s="146">
        <v>-44470</v>
      </c>
      <c r="O49" s="146"/>
      <c r="P49" s="146"/>
      <c r="Q49" s="146"/>
      <c r="R49" s="146"/>
      <c r="S49" s="146">
        <v>-335991</v>
      </c>
      <c r="T49" s="5"/>
      <c r="U49" s="146"/>
      <c r="V49" s="199">
        <v>-71436</v>
      </c>
      <c r="W49" s="199">
        <v>-286112</v>
      </c>
      <c r="X49" s="199">
        <v>-787498</v>
      </c>
      <c r="Y49" s="199">
        <v>-1047058</v>
      </c>
      <c r="Z49" s="199">
        <v>-770982</v>
      </c>
      <c r="AA49" s="199"/>
      <c r="AB49" s="199"/>
      <c r="AC49" s="199"/>
    </row>
    <row r="50" spans="1:29" ht="15" x14ac:dyDescent="0.4">
      <c r="A50" s="4" t="s">
        <v>50</v>
      </c>
      <c r="B50" s="5"/>
      <c r="C50" s="5"/>
      <c r="D50" s="5"/>
      <c r="E50" s="5"/>
      <c r="F50" s="5"/>
      <c r="G50" s="5"/>
      <c r="H50" s="5"/>
      <c r="I50" s="5"/>
      <c r="J50" s="5"/>
      <c r="K50" s="5"/>
      <c r="L50" s="5"/>
      <c r="M50" s="5"/>
      <c r="N50" s="146">
        <v>-11624</v>
      </c>
      <c r="O50" s="146"/>
      <c r="P50" s="146"/>
      <c r="Q50" s="146"/>
      <c r="R50" s="146"/>
      <c r="S50" s="146">
        <v>700592</v>
      </c>
      <c r="T50" s="5"/>
      <c r="U50" s="146"/>
      <c r="V50" s="199">
        <v>-17606</v>
      </c>
      <c r="W50" s="199">
        <v>-67756</v>
      </c>
      <c r="X50" s="199">
        <v>-184533</v>
      </c>
      <c r="Y50" s="199">
        <v>-255510</v>
      </c>
      <c r="Z50" s="199">
        <v>-188558</v>
      </c>
      <c r="AA50" s="199"/>
      <c r="AB50" s="199"/>
      <c r="AC50" s="199"/>
    </row>
    <row r="51" spans="1:29" ht="15" x14ac:dyDescent="0.4">
      <c r="A51" s="4" t="s">
        <v>51</v>
      </c>
      <c r="B51" s="5"/>
      <c r="C51" s="5"/>
      <c r="D51" s="5"/>
      <c r="E51" s="5"/>
      <c r="F51" s="5"/>
      <c r="G51" s="5"/>
      <c r="H51" s="5"/>
      <c r="I51" s="5"/>
      <c r="J51" s="5"/>
      <c r="K51" s="5"/>
      <c r="L51" s="5"/>
      <c r="M51" s="5"/>
      <c r="N51" s="146">
        <v>-38083</v>
      </c>
      <c r="O51" s="146"/>
      <c r="P51" s="146"/>
      <c r="Q51" s="146"/>
      <c r="R51" s="146"/>
      <c r="S51" s="146">
        <v>-276038</v>
      </c>
      <c r="T51" s="5"/>
      <c r="U51" s="146"/>
      <c r="V51" s="199">
        <v>-57349</v>
      </c>
      <c r="W51" s="199">
        <v>-226460</v>
      </c>
      <c r="X51" s="199">
        <v>-617544</v>
      </c>
      <c r="Y51" s="199">
        <v>-847440</v>
      </c>
      <c r="Z51" s="199">
        <v>-614681</v>
      </c>
      <c r="AA51" s="199"/>
      <c r="AB51" s="199"/>
      <c r="AC51" s="199"/>
    </row>
    <row r="52" spans="1:29" ht="15" x14ac:dyDescent="0.4">
      <c r="A52" s="4" t="s">
        <v>52</v>
      </c>
      <c r="B52" s="5"/>
      <c r="C52" s="5"/>
      <c r="D52" s="5"/>
      <c r="E52" s="5"/>
      <c r="F52" s="5"/>
      <c r="G52" s="5"/>
      <c r="H52" s="5"/>
      <c r="I52" s="5"/>
      <c r="J52" s="5"/>
      <c r="K52" s="5"/>
      <c r="L52" s="5"/>
      <c r="M52" s="5"/>
      <c r="N52" s="146">
        <v>-3693</v>
      </c>
      <c r="O52" s="146"/>
      <c r="P52" s="146"/>
      <c r="Q52" s="146"/>
      <c r="R52" s="146"/>
      <c r="S52" s="146">
        <v>-27700</v>
      </c>
      <c r="T52" s="5"/>
      <c r="U52" s="146"/>
      <c r="V52" s="199">
        <v>-5889</v>
      </c>
      <c r="W52" s="199">
        <v>-23111</v>
      </c>
      <c r="X52" s="199">
        <v>-63431</v>
      </c>
      <c r="Y52" s="199">
        <v>-84907</v>
      </c>
      <c r="Z52" s="199">
        <v>-63551</v>
      </c>
      <c r="AA52" s="199"/>
      <c r="AB52" s="199"/>
      <c r="AC52" s="199"/>
    </row>
    <row r="53" spans="1:29" ht="15" x14ac:dyDescent="0.4">
      <c r="A53" s="4" t="s">
        <v>53</v>
      </c>
      <c r="B53" s="5"/>
      <c r="C53" s="5"/>
      <c r="D53" s="5"/>
      <c r="E53" s="5"/>
      <c r="F53" s="5"/>
      <c r="G53" s="5"/>
      <c r="H53" s="5"/>
      <c r="I53" s="5"/>
      <c r="J53" s="5"/>
      <c r="K53" s="5"/>
      <c r="L53" s="5"/>
      <c r="M53" s="5"/>
      <c r="N53" s="146"/>
      <c r="O53" s="146"/>
      <c r="P53" s="146"/>
      <c r="Q53" s="146"/>
      <c r="R53" s="146"/>
      <c r="S53" s="146">
        <v>34885</v>
      </c>
      <c r="T53" s="5"/>
      <c r="U53" s="146"/>
      <c r="V53" s="199">
        <v>0</v>
      </c>
      <c r="W53" s="199">
        <v>0</v>
      </c>
      <c r="X53" s="199">
        <v>0</v>
      </c>
      <c r="Y53" s="199">
        <v>0</v>
      </c>
      <c r="Z53" s="199">
        <v>0</v>
      </c>
      <c r="AA53" s="199"/>
      <c r="AB53" s="199"/>
      <c r="AC53" s="199"/>
    </row>
    <row r="54" spans="1:29" ht="15" x14ac:dyDescent="0.4">
      <c r="A54" s="4" t="s">
        <v>54</v>
      </c>
      <c r="B54" s="5"/>
      <c r="C54" s="5"/>
      <c r="D54" s="5"/>
      <c r="E54" s="5"/>
      <c r="F54" s="5"/>
      <c r="G54" s="5"/>
      <c r="H54" s="5"/>
      <c r="I54" s="5"/>
      <c r="J54" s="5"/>
      <c r="K54" s="5"/>
      <c r="L54" s="5"/>
      <c r="M54" s="5"/>
      <c r="N54" s="146"/>
      <c r="O54" s="146"/>
      <c r="P54" s="146"/>
      <c r="Q54" s="146"/>
      <c r="R54" s="146"/>
      <c r="S54" s="146">
        <v>0</v>
      </c>
      <c r="T54" s="5"/>
      <c r="U54" s="146"/>
      <c r="V54" s="199">
        <v>0</v>
      </c>
      <c r="W54" s="199">
        <v>0</v>
      </c>
      <c r="X54" s="199">
        <v>0</v>
      </c>
      <c r="Y54" s="199">
        <v>0</v>
      </c>
      <c r="Z54" s="199">
        <v>0</v>
      </c>
      <c r="AA54" s="199"/>
      <c r="AB54" s="199"/>
      <c r="AC54" s="199"/>
    </row>
    <row r="55" spans="1:29" ht="15" x14ac:dyDescent="0.4">
      <c r="A55" s="4" t="s">
        <v>55</v>
      </c>
      <c r="B55" s="5"/>
      <c r="C55" s="5"/>
      <c r="D55" s="5"/>
      <c r="E55" s="5"/>
      <c r="F55" s="5"/>
      <c r="G55" s="5"/>
      <c r="H55" s="5"/>
      <c r="I55" s="5"/>
      <c r="J55" s="5"/>
      <c r="K55" s="5"/>
      <c r="L55" s="5"/>
      <c r="M55" s="5"/>
      <c r="N55" s="146"/>
      <c r="O55" s="146"/>
      <c r="P55" s="146"/>
      <c r="Q55" s="146"/>
      <c r="R55" s="146"/>
      <c r="S55" s="146">
        <v>0</v>
      </c>
      <c r="T55" s="5"/>
      <c r="U55" s="146"/>
      <c r="V55" s="199">
        <v>0</v>
      </c>
      <c r="W55" s="199">
        <v>0</v>
      </c>
      <c r="X55" s="199">
        <v>0</v>
      </c>
      <c r="Y55" s="199">
        <v>0</v>
      </c>
      <c r="Z55" s="199">
        <v>157286</v>
      </c>
      <c r="AA55" s="199"/>
      <c r="AB55" s="199"/>
      <c r="AC55" s="199"/>
    </row>
    <row r="56" spans="1:29" ht="15" x14ac:dyDescent="0.4">
      <c r="A56" s="4" t="s">
        <v>56</v>
      </c>
      <c r="B56" s="5"/>
      <c r="C56" s="5"/>
      <c r="D56" s="5"/>
      <c r="E56" s="5"/>
      <c r="F56" s="5"/>
      <c r="G56" s="5"/>
      <c r="H56" s="5"/>
      <c r="I56" s="5"/>
      <c r="J56" s="5"/>
      <c r="K56" s="5"/>
      <c r="L56" s="5"/>
      <c r="M56" s="5"/>
      <c r="N56" s="146">
        <v>-34023</v>
      </c>
      <c r="O56" s="146"/>
      <c r="P56" s="146"/>
      <c r="Q56" s="146"/>
      <c r="R56" s="146"/>
      <c r="S56" s="146">
        <v>-226702</v>
      </c>
      <c r="T56" s="5"/>
      <c r="U56" s="146"/>
      <c r="V56" s="199">
        <v>-40532</v>
      </c>
      <c r="W56" s="199">
        <v>-162436</v>
      </c>
      <c r="X56" s="199">
        <v>-428424</v>
      </c>
      <c r="Y56" s="199">
        <v>-691923</v>
      </c>
      <c r="Z56" s="199">
        <v>-405233</v>
      </c>
      <c r="AA56" s="199"/>
      <c r="AB56" s="199"/>
      <c r="AC56" s="199"/>
    </row>
    <row r="57" spans="1:29" ht="15" x14ac:dyDescent="0.4">
      <c r="A57" s="4" t="s">
        <v>57</v>
      </c>
      <c r="B57" s="5"/>
      <c r="C57" s="5"/>
      <c r="D57" s="5"/>
      <c r="E57" s="5"/>
      <c r="F57" s="5"/>
      <c r="G57" s="5"/>
      <c r="H57" s="5"/>
      <c r="I57" s="5"/>
      <c r="J57" s="5"/>
      <c r="K57" s="5"/>
      <c r="L57" s="5"/>
      <c r="M57" s="5"/>
      <c r="N57" s="146"/>
      <c r="O57" s="146"/>
      <c r="P57" s="146"/>
      <c r="Q57" s="146"/>
      <c r="R57" s="146"/>
      <c r="S57" s="146">
        <v>0</v>
      </c>
      <c r="T57" s="5"/>
      <c r="U57" s="146"/>
      <c r="V57" s="199">
        <v>0</v>
      </c>
      <c r="W57" s="199">
        <v>0</v>
      </c>
      <c r="X57" s="199">
        <v>0</v>
      </c>
      <c r="Y57" s="199">
        <v>0</v>
      </c>
      <c r="Z57" s="199">
        <v>0</v>
      </c>
      <c r="AA57" s="199"/>
      <c r="AB57" s="199"/>
      <c r="AC57" s="199"/>
    </row>
    <row r="58" spans="1:29" ht="15" x14ac:dyDescent="0.4">
      <c r="A58" s="4" t="s">
        <v>58</v>
      </c>
      <c r="B58" s="5"/>
      <c r="C58" s="5"/>
      <c r="D58" s="5"/>
      <c r="E58" s="5"/>
      <c r="F58" s="5"/>
      <c r="G58" s="5"/>
      <c r="H58" s="5"/>
      <c r="I58" s="5"/>
      <c r="J58" s="5"/>
      <c r="K58" s="5"/>
      <c r="L58" s="5"/>
      <c r="M58" s="5"/>
      <c r="N58" s="146"/>
      <c r="O58" s="146"/>
      <c r="P58" s="146"/>
      <c r="Q58" s="146"/>
      <c r="R58" s="146"/>
      <c r="S58" s="146">
        <v>0</v>
      </c>
      <c r="T58" s="5"/>
      <c r="U58" s="146"/>
      <c r="V58" s="199">
        <v>0</v>
      </c>
      <c r="W58" s="199">
        <v>0</v>
      </c>
      <c r="X58" s="199">
        <v>0</v>
      </c>
      <c r="Y58" s="199">
        <v>0</v>
      </c>
      <c r="Z58" s="199">
        <v>0</v>
      </c>
      <c r="AA58" s="199"/>
      <c r="AB58" s="199"/>
      <c r="AC58" s="199"/>
    </row>
    <row r="59" spans="1:29" ht="15" x14ac:dyDescent="0.4">
      <c r="A59" s="4" t="s">
        <v>59</v>
      </c>
      <c r="B59" s="5"/>
      <c r="C59" s="5"/>
      <c r="D59" s="5"/>
      <c r="E59" s="5"/>
      <c r="F59" s="5"/>
      <c r="G59" s="5"/>
      <c r="H59" s="5"/>
      <c r="I59" s="5"/>
      <c r="J59" s="5"/>
      <c r="K59" s="5"/>
      <c r="L59" s="5"/>
      <c r="M59" s="5"/>
      <c r="N59" s="146"/>
      <c r="O59" s="146"/>
      <c r="P59" s="146"/>
      <c r="Q59" s="146"/>
      <c r="R59" s="146"/>
      <c r="S59" s="146">
        <v>0</v>
      </c>
      <c r="T59" s="5"/>
      <c r="U59" s="146"/>
      <c r="V59" s="199">
        <v>0</v>
      </c>
      <c r="W59" s="199">
        <v>0</v>
      </c>
      <c r="X59" s="199">
        <v>0</v>
      </c>
      <c r="Y59" s="199">
        <v>0</v>
      </c>
      <c r="Z59" s="199">
        <v>0</v>
      </c>
      <c r="AA59" s="199"/>
      <c r="AB59" s="199"/>
      <c r="AC59" s="199"/>
    </row>
    <row r="60" spans="1:29" ht="15" x14ac:dyDescent="0.4">
      <c r="A60" s="4" t="s">
        <v>60</v>
      </c>
      <c r="B60" s="5"/>
      <c r="C60" s="5"/>
      <c r="D60" s="5"/>
      <c r="E60" s="5"/>
      <c r="F60" s="5"/>
      <c r="G60" s="5"/>
      <c r="H60" s="5"/>
      <c r="I60" s="5"/>
      <c r="J60" s="5"/>
      <c r="K60" s="152"/>
      <c r="L60" s="152"/>
      <c r="M60" s="152"/>
      <c r="N60" s="158"/>
      <c r="O60" s="158"/>
      <c r="P60" s="158"/>
      <c r="Q60" s="158"/>
      <c r="R60" s="158"/>
      <c r="S60" s="158">
        <v>0</v>
      </c>
      <c r="T60" s="152"/>
      <c r="U60" s="158"/>
      <c r="V60" s="200">
        <v>0</v>
      </c>
      <c r="W60" s="200">
        <v>0</v>
      </c>
      <c r="X60" s="200">
        <v>0</v>
      </c>
      <c r="Y60" s="200">
        <v>0</v>
      </c>
      <c r="Z60" s="200">
        <v>0</v>
      </c>
      <c r="AA60" s="200"/>
      <c r="AB60" s="200"/>
      <c r="AC60" s="200"/>
    </row>
    <row r="61" spans="1:29" ht="15" x14ac:dyDescent="0.4">
      <c r="A61" s="6" t="s">
        <v>68</v>
      </c>
      <c r="B61" s="7">
        <f>SUM(B2:B60)+B62</f>
        <v>0</v>
      </c>
      <c r="C61" s="7">
        <f t="shared" ref="C61:U61" si="0">SUM(C2:C60)</f>
        <v>0</v>
      </c>
      <c r="D61" s="7">
        <f t="shared" si="0"/>
        <v>0</v>
      </c>
      <c r="E61" s="7">
        <f t="shared" si="0"/>
        <v>0</v>
      </c>
      <c r="F61" s="7">
        <f t="shared" si="0"/>
        <v>0</v>
      </c>
      <c r="G61" s="7">
        <f t="shared" si="0"/>
        <v>0</v>
      </c>
      <c r="H61" s="7">
        <f t="shared" si="0"/>
        <v>0</v>
      </c>
      <c r="I61" s="7">
        <f t="shared" si="0"/>
        <v>0</v>
      </c>
      <c r="J61" s="7">
        <f t="shared" si="0"/>
        <v>0</v>
      </c>
      <c r="K61" s="7">
        <f>SUM(K2:K60)</f>
        <v>0</v>
      </c>
      <c r="L61" s="7">
        <f t="shared" si="0"/>
        <v>0</v>
      </c>
      <c r="M61" s="7">
        <f t="shared" si="0"/>
        <v>0</v>
      </c>
      <c r="N61" s="147">
        <f t="shared" si="0"/>
        <v>0</v>
      </c>
      <c r="O61" s="147">
        <f t="shared" si="0"/>
        <v>0</v>
      </c>
      <c r="P61" s="147">
        <f t="shared" si="0"/>
        <v>0</v>
      </c>
      <c r="Q61" s="147">
        <f t="shared" si="0"/>
        <v>0</v>
      </c>
      <c r="R61" s="147">
        <f t="shared" si="0"/>
        <v>0</v>
      </c>
      <c r="S61" s="147">
        <f t="shared" si="0"/>
        <v>34885</v>
      </c>
      <c r="T61" s="147">
        <f t="shared" si="0"/>
        <v>0</v>
      </c>
      <c r="U61" s="147">
        <f t="shared" si="0"/>
        <v>0</v>
      </c>
      <c r="V61" s="77"/>
      <c r="W61" s="77"/>
      <c r="X61" s="77">
        <v>0</v>
      </c>
      <c r="Y61" s="77">
        <v>0</v>
      </c>
      <c r="Z61" s="77">
        <f>SUM(Z2:Z60)</f>
        <v>157286</v>
      </c>
      <c r="AA61" s="77">
        <f>SUM(AA2:AA60)</f>
        <v>0</v>
      </c>
      <c r="AB61" s="77">
        <f>SUM(AB2:AB60)</f>
        <v>0</v>
      </c>
      <c r="AC61" s="77">
        <f>SUM(AC2:AC60)</f>
        <v>0</v>
      </c>
    </row>
  </sheetData>
  <conditionalFormatting sqref="N2:S60">
    <cfRule type="cellIs" dxfId="1" priority="17" operator="greaterThan">
      <formula>0</formula>
    </cfRule>
  </conditionalFormatting>
  <conditionalFormatting sqref="U2:AC60">
    <cfRule type="cellIs" dxfId="0" priority="1" operator="greaterThan">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AN28"/>
  <sheetViews>
    <sheetView zoomScale="85" zoomScaleNormal="85" workbookViewId="0">
      <selection activeCell="O28" sqref="O28"/>
    </sheetView>
  </sheetViews>
  <sheetFormatPr defaultRowHeight="12.75" x14ac:dyDescent="0.35"/>
  <cols>
    <col min="1" max="1" width="51.73046875" bestFit="1" customWidth="1"/>
    <col min="2" max="2" width="10.73046875" bestFit="1" customWidth="1"/>
    <col min="3" max="3" width="7.265625" bestFit="1" customWidth="1"/>
    <col min="4" max="4" width="7.3984375" bestFit="1" customWidth="1"/>
    <col min="5" max="8" width="7.265625" bestFit="1" customWidth="1"/>
    <col min="9" max="16" width="12.265625" bestFit="1" customWidth="1"/>
    <col min="17" max="26" width="12.59765625" bestFit="1" customWidth="1"/>
    <col min="27" max="27" width="12.73046875" bestFit="1" customWidth="1"/>
    <col min="28" max="32" width="12.59765625" bestFit="1" customWidth="1"/>
    <col min="33" max="33" width="15.59765625" customWidth="1"/>
    <col min="34" max="34" width="14.86328125" customWidth="1"/>
    <col min="40" max="40" width="13.73046875" customWidth="1"/>
  </cols>
  <sheetData>
    <row r="1" spans="1:40" x14ac:dyDescent="0.35">
      <c r="A1" t="s">
        <v>74</v>
      </c>
    </row>
    <row r="2" spans="1:40" ht="15.4" x14ac:dyDescent="0.45">
      <c r="A2" s="159" t="s">
        <v>75</v>
      </c>
      <c r="B2" s="159"/>
      <c r="C2" s="159"/>
      <c r="D2" s="159"/>
      <c r="E2" s="159"/>
      <c r="F2" s="159"/>
      <c r="G2" s="159"/>
      <c r="H2" s="159"/>
      <c r="I2" s="160"/>
      <c r="J2" s="160"/>
      <c r="K2" s="160"/>
      <c r="L2" s="160"/>
      <c r="M2" s="160"/>
      <c r="N2" s="160"/>
      <c r="O2" s="160"/>
      <c r="P2" s="160"/>
      <c r="Q2" s="160"/>
      <c r="R2" s="160"/>
      <c r="S2" s="160"/>
      <c r="T2" s="160"/>
      <c r="U2" s="160"/>
    </row>
    <row r="3" spans="1:40" ht="15.4" x14ac:dyDescent="0.45">
      <c r="A3" s="69" t="s">
        <v>76</v>
      </c>
      <c r="B3" s="68">
        <v>42736</v>
      </c>
      <c r="C3" s="69"/>
      <c r="E3" s="69"/>
      <c r="F3" s="69"/>
      <c r="G3" s="69"/>
      <c r="H3" s="69"/>
      <c r="I3" s="69"/>
      <c r="J3" s="69"/>
      <c r="K3" s="69"/>
      <c r="L3" s="69"/>
      <c r="M3" s="69"/>
      <c r="N3" s="69"/>
      <c r="O3" s="69"/>
      <c r="P3" s="69"/>
      <c r="Q3" s="69"/>
      <c r="R3" s="69"/>
      <c r="S3" s="69"/>
      <c r="T3" s="69"/>
      <c r="U3" s="69"/>
    </row>
    <row r="4" spans="1:40" ht="15.4" x14ac:dyDescent="0.45">
      <c r="A4" s="69" t="s">
        <v>77</v>
      </c>
      <c r="B4" s="68">
        <v>42758</v>
      </c>
      <c r="C4" s="69"/>
      <c r="D4" s="68"/>
      <c r="E4" s="69"/>
      <c r="F4" s="69"/>
      <c r="G4" s="69"/>
      <c r="H4" s="69"/>
      <c r="I4" s="69"/>
      <c r="J4" s="69"/>
      <c r="K4" s="69"/>
      <c r="L4" s="69"/>
      <c r="M4" s="69"/>
      <c r="N4" s="69"/>
      <c r="O4" s="69"/>
      <c r="P4" s="69"/>
      <c r="Q4" s="69"/>
      <c r="R4" s="69"/>
      <c r="S4" s="69"/>
      <c r="T4" s="69"/>
      <c r="U4" s="69"/>
    </row>
    <row r="5" spans="1:40" ht="15.4" x14ac:dyDescent="0.45">
      <c r="A5" s="68" t="s">
        <v>78</v>
      </c>
      <c r="B5" s="68" t="s">
        <v>443</v>
      </c>
      <c r="C5" s="149" t="s">
        <v>466</v>
      </c>
      <c r="D5" s="68"/>
      <c r="E5" s="69"/>
      <c r="F5" s="69"/>
      <c r="G5" s="69"/>
      <c r="H5" s="69"/>
      <c r="I5" s="69"/>
      <c r="J5" s="69"/>
      <c r="K5" s="69"/>
      <c r="L5" s="69"/>
      <c r="M5" s="69"/>
      <c r="N5" s="69"/>
      <c r="O5" s="69"/>
      <c r="P5" s="69"/>
      <c r="Q5" s="69"/>
      <c r="R5" s="69"/>
      <c r="S5" s="69"/>
      <c r="T5" s="69"/>
      <c r="U5" s="69"/>
    </row>
    <row r="6" spans="1:40" ht="15.4" x14ac:dyDescent="0.45">
      <c r="A6" s="69" t="s">
        <v>79</v>
      </c>
      <c r="B6" s="69"/>
      <c r="C6" s="69"/>
      <c r="D6" s="69"/>
      <c r="E6" s="69"/>
      <c r="F6" s="69"/>
      <c r="G6" s="69"/>
      <c r="H6" s="69"/>
      <c r="I6" s="69"/>
      <c r="J6" s="69"/>
      <c r="K6" s="69"/>
      <c r="L6" s="69"/>
      <c r="M6" s="69"/>
      <c r="N6" s="69"/>
      <c r="O6" s="69"/>
      <c r="P6" s="69"/>
      <c r="Q6" s="69"/>
      <c r="R6" s="69"/>
      <c r="S6" s="69"/>
      <c r="T6" s="69"/>
      <c r="U6" s="69"/>
    </row>
    <row r="7" spans="1:40" ht="15.4" x14ac:dyDescent="0.45">
      <c r="A7" s="69"/>
      <c r="B7" s="69"/>
      <c r="C7" s="69"/>
      <c r="D7" s="69"/>
      <c r="E7" s="69"/>
      <c r="F7" s="69"/>
      <c r="G7" s="69"/>
      <c r="H7" s="69"/>
      <c r="I7" s="69"/>
      <c r="J7" s="69"/>
      <c r="K7" s="69"/>
      <c r="L7" s="69"/>
      <c r="M7" s="69"/>
      <c r="N7" s="69"/>
      <c r="O7" s="69"/>
      <c r="P7" s="69"/>
      <c r="Q7" s="69"/>
      <c r="R7" s="69"/>
      <c r="S7" s="69"/>
      <c r="T7" s="69"/>
      <c r="U7" s="69"/>
    </row>
    <row r="8" spans="1:40" ht="15.4" x14ac:dyDescent="0.45">
      <c r="A8" s="27" t="s">
        <v>80</v>
      </c>
      <c r="B8" s="27">
        <v>1998</v>
      </c>
      <c r="C8" s="27">
        <v>1999</v>
      </c>
      <c r="D8" s="27">
        <v>2000</v>
      </c>
      <c r="E8" s="27">
        <v>2001</v>
      </c>
      <c r="F8" s="27">
        <v>2002</v>
      </c>
      <c r="G8" s="27">
        <v>2003</v>
      </c>
      <c r="H8" s="27">
        <v>2004</v>
      </c>
      <c r="I8" s="10">
        <v>2005</v>
      </c>
      <c r="J8" s="10">
        <v>2006</v>
      </c>
      <c r="K8" s="10">
        <v>2007</v>
      </c>
      <c r="L8" s="10">
        <v>2008</v>
      </c>
      <c r="M8" s="10">
        <v>2009</v>
      </c>
      <c r="N8" s="10">
        <v>2010</v>
      </c>
      <c r="O8" s="10">
        <v>2011</v>
      </c>
      <c r="P8" s="10">
        <v>2012</v>
      </c>
      <c r="Q8" s="10">
        <v>2013</v>
      </c>
      <c r="R8" s="10">
        <v>2014</v>
      </c>
      <c r="S8" s="10">
        <v>2015</v>
      </c>
      <c r="T8" s="10">
        <v>2016</v>
      </c>
      <c r="U8" s="10">
        <v>2017</v>
      </c>
      <c r="V8" s="10">
        <v>2018</v>
      </c>
      <c r="W8" s="10">
        <v>2019</v>
      </c>
      <c r="X8" s="10">
        <v>2020</v>
      </c>
      <c r="Y8" s="10">
        <v>2021</v>
      </c>
      <c r="Z8" s="10">
        <v>2022</v>
      </c>
      <c r="AA8" s="10">
        <v>2023</v>
      </c>
      <c r="AB8" s="10">
        <v>2024</v>
      </c>
      <c r="AC8" s="10">
        <v>2025</v>
      </c>
      <c r="AD8" s="10">
        <v>2026</v>
      </c>
      <c r="AE8" s="10">
        <v>2027</v>
      </c>
      <c r="AF8" s="10">
        <v>2028</v>
      </c>
      <c r="AG8" s="10">
        <v>2029</v>
      </c>
      <c r="AH8" s="218">
        <v>2030</v>
      </c>
      <c r="AI8" s="218">
        <v>2031</v>
      </c>
      <c r="AJ8" s="218">
        <v>2032</v>
      </c>
      <c r="AK8" s="218">
        <v>2033</v>
      </c>
      <c r="AL8" s="218">
        <v>2034</v>
      </c>
      <c r="AM8" s="218">
        <v>2035</v>
      </c>
      <c r="AN8" s="218">
        <v>2036</v>
      </c>
    </row>
    <row r="9" spans="1:40" ht="15.4" x14ac:dyDescent="0.45">
      <c r="A9" s="143" t="s">
        <v>81</v>
      </c>
      <c r="B9" s="143"/>
      <c r="C9" s="143"/>
      <c r="D9" s="143"/>
      <c r="E9" s="143"/>
      <c r="F9" s="143"/>
      <c r="G9" s="143"/>
      <c r="H9" s="143"/>
      <c r="K9" s="143">
        <v>2007</v>
      </c>
      <c r="L9" s="143">
        <v>2008</v>
      </c>
      <c r="M9" s="143">
        <v>2009</v>
      </c>
      <c r="N9" s="143">
        <v>2010</v>
      </c>
      <c r="O9" s="143">
        <v>2011</v>
      </c>
      <c r="P9" s="143">
        <v>2012</v>
      </c>
      <c r="Q9" s="143">
        <v>2013</v>
      </c>
      <c r="R9" s="143">
        <v>2014</v>
      </c>
      <c r="S9" s="143">
        <v>2015</v>
      </c>
      <c r="T9" s="143">
        <v>2016</v>
      </c>
      <c r="U9" s="143">
        <v>2017</v>
      </c>
      <c r="V9" s="143">
        <v>2018</v>
      </c>
      <c r="W9" s="143">
        <v>2019</v>
      </c>
    </row>
    <row r="10" spans="1:40" ht="15.4" x14ac:dyDescent="0.45">
      <c r="A10" s="11" t="s">
        <v>82</v>
      </c>
      <c r="B10" s="70">
        <v>161.6</v>
      </c>
      <c r="C10" s="70">
        <v>164.3</v>
      </c>
      <c r="D10" s="70">
        <v>168.8</v>
      </c>
      <c r="E10" s="70">
        <v>175.1</v>
      </c>
      <c r="F10" s="70">
        <v>177.1</v>
      </c>
      <c r="G10" s="70">
        <v>181.7</v>
      </c>
      <c r="H10" s="70">
        <v>185.2</v>
      </c>
      <c r="I10" s="70">
        <v>190.7</v>
      </c>
      <c r="J10" s="70">
        <v>198.3</v>
      </c>
      <c r="K10" s="70">
        <v>202.416</v>
      </c>
      <c r="L10" s="70">
        <v>211.08</v>
      </c>
      <c r="M10" s="70">
        <v>211.143</v>
      </c>
      <c r="N10" s="70">
        <v>216.68700000000001</v>
      </c>
      <c r="O10" s="70">
        <v>220.22300000000001</v>
      </c>
      <c r="P10" s="128">
        <v>226.66499999999999</v>
      </c>
      <c r="Q10" s="128">
        <v>230.28</v>
      </c>
      <c r="R10" s="128">
        <v>233.916</v>
      </c>
      <c r="S10" s="128">
        <v>233.70699999999999</v>
      </c>
      <c r="T10" s="128">
        <v>236.916</v>
      </c>
      <c r="U10" s="128">
        <v>242.839</v>
      </c>
      <c r="V10" s="128">
        <v>247.86699999999999</v>
      </c>
      <c r="W10" s="128">
        <v>251.71199999999999</v>
      </c>
      <c r="X10" s="128">
        <v>257.971</v>
      </c>
      <c r="Y10" s="128">
        <v>261.58199999999999</v>
      </c>
      <c r="Z10" s="128">
        <v>281.14800000000002</v>
      </c>
      <c r="AA10" s="128">
        <v>299.17</v>
      </c>
      <c r="AB10" s="128">
        <v>308.41699999999997</v>
      </c>
      <c r="AC10" s="128">
        <v>317.67099999999999</v>
      </c>
      <c r="AD10" s="150">
        <v>324.94400000000002</v>
      </c>
      <c r="AE10" s="150">
        <v>332.47699999999998</v>
      </c>
      <c r="AF10" s="150">
        <v>340.10700000000003</v>
      </c>
      <c r="AG10" s="150">
        <v>347.61500000000001</v>
      </c>
      <c r="AH10">
        <v>355.27100000000002</v>
      </c>
      <c r="AI10">
        <v>363.07499999999999</v>
      </c>
      <c r="AJ10">
        <v>371.048</v>
      </c>
      <c r="AK10">
        <v>379.20100000000002</v>
      </c>
      <c r="AL10">
        <v>387.54300000000001</v>
      </c>
      <c r="AM10">
        <v>396.06900000000002</v>
      </c>
      <c r="AN10">
        <v>404.78199999999998</v>
      </c>
    </row>
    <row r="11" spans="1:40" ht="15.4" x14ac:dyDescent="0.45">
      <c r="A11" s="11" t="s">
        <v>83</v>
      </c>
      <c r="B11" s="70">
        <v>161.9</v>
      </c>
      <c r="C11" s="70">
        <v>164.5</v>
      </c>
      <c r="D11" s="70">
        <v>169.8</v>
      </c>
      <c r="E11" s="70">
        <v>175.8</v>
      </c>
      <c r="F11" s="70">
        <v>177.8</v>
      </c>
      <c r="G11" s="70">
        <v>183.1</v>
      </c>
      <c r="H11" s="70">
        <v>186.2</v>
      </c>
      <c r="I11" s="70">
        <v>191.8</v>
      </c>
      <c r="J11" s="70">
        <v>198.7</v>
      </c>
      <c r="K11" s="70">
        <v>203.499</v>
      </c>
      <c r="L11" s="70">
        <v>211.69300000000001</v>
      </c>
      <c r="M11" s="70">
        <v>212.19300000000001</v>
      </c>
      <c r="N11" s="70">
        <v>216.74100000000001</v>
      </c>
      <c r="O11" s="70">
        <v>221.309</v>
      </c>
      <c r="P11" s="128">
        <v>227.66300000000001</v>
      </c>
      <c r="Q11" s="128">
        <v>232.166</v>
      </c>
      <c r="R11" s="128">
        <v>234.78100000000001</v>
      </c>
      <c r="S11" s="128">
        <v>234.72200000000001</v>
      </c>
      <c r="T11" s="128">
        <v>237.11099999999999</v>
      </c>
      <c r="U11" s="128">
        <v>243.60300000000001</v>
      </c>
      <c r="V11" s="128">
        <v>248.99100000000001</v>
      </c>
      <c r="W11" s="128">
        <v>252.77600000000001</v>
      </c>
      <c r="X11" s="128">
        <v>258.678</v>
      </c>
      <c r="Y11" s="128">
        <v>263.01400000000001</v>
      </c>
      <c r="Z11" s="128">
        <v>283.71600000000001</v>
      </c>
      <c r="AA11" s="128">
        <v>300.83999999999997</v>
      </c>
      <c r="AB11" s="128">
        <v>310.32600000000002</v>
      </c>
      <c r="AC11" s="128">
        <v>319.08199999999999</v>
      </c>
      <c r="AD11" s="150">
        <v>326.34899999999999</v>
      </c>
      <c r="AE11" s="150">
        <v>333.87200000000001</v>
      </c>
      <c r="AF11" s="150">
        <v>341.49099999999999</v>
      </c>
      <c r="AG11" s="150">
        <v>349.036</v>
      </c>
      <c r="AH11">
        <v>356.71899999999999</v>
      </c>
      <c r="AI11">
        <v>364.55500000000001</v>
      </c>
      <c r="AJ11">
        <v>372.56</v>
      </c>
      <c r="AK11">
        <v>380.74799999999999</v>
      </c>
      <c r="AL11">
        <v>389.12400000000002</v>
      </c>
      <c r="AM11">
        <v>397.685</v>
      </c>
      <c r="AN11">
        <v>406.43400000000003</v>
      </c>
    </row>
    <row r="12" spans="1:40" ht="15.4" x14ac:dyDescent="0.45">
      <c r="A12" s="11" t="s">
        <v>84</v>
      </c>
      <c r="B12" s="70">
        <v>162.19999999999999</v>
      </c>
      <c r="C12" s="70">
        <v>165</v>
      </c>
      <c r="D12" s="70">
        <v>171.2</v>
      </c>
      <c r="E12" s="70">
        <v>176.2</v>
      </c>
      <c r="F12" s="70">
        <v>178.8</v>
      </c>
      <c r="G12" s="70">
        <v>184.2</v>
      </c>
      <c r="H12" s="70">
        <v>187.4</v>
      </c>
      <c r="I12" s="70">
        <v>193.3</v>
      </c>
      <c r="J12" s="70">
        <v>199.8</v>
      </c>
      <c r="K12" s="70">
        <v>205.352</v>
      </c>
      <c r="L12" s="70">
        <v>213.52799999999999</v>
      </c>
      <c r="M12" s="70">
        <v>212.709</v>
      </c>
      <c r="N12" s="70">
        <v>217.631</v>
      </c>
      <c r="O12" s="70">
        <v>223.46700000000001</v>
      </c>
      <c r="P12" s="128">
        <v>229.392</v>
      </c>
      <c r="Q12" s="128">
        <v>232.773</v>
      </c>
      <c r="R12" s="128">
        <v>236.29300000000001</v>
      </c>
      <c r="S12" s="128">
        <v>236.119</v>
      </c>
      <c r="T12" s="128">
        <v>238.13200000000001</v>
      </c>
      <c r="U12" s="128">
        <v>243.80099999999999</v>
      </c>
      <c r="V12" s="128">
        <v>249.554</v>
      </c>
      <c r="W12" s="128">
        <v>254.202</v>
      </c>
      <c r="X12" s="128">
        <v>258.11500000000001</v>
      </c>
      <c r="Y12" s="128">
        <v>264.87700000000001</v>
      </c>
      <c r="Z12" s="128">
        <v>287.50400000000002</v>
      </c>
      <c r="AA12" s="128">
        <v>301.83600000000001</v>
      </c>
      <c r="AB12" s="128">
        <v>312.33199999999999</v>
      </c>
      <c r="AC12" s="128">
        <v>319.79899999999998</v>
      </c>
      <c r="AD12" s="150">
        <v>328.81599999999997</v>
      </c>
      <c r="AE12" s="150">
        <v>336.351</v>
      </c>
      <c r="AF12" s="150">
        <v>343.98500000000001</v>
      </c>
      <c r="AG12" s="150">
        <v>351.59199999999998</v>
      </c>
      <c r="AH12">
        <v>359.327</v>
      </c>
      <c r="AI12">
        <v>367.21899999999999</v>
      </c>
      <c r="AJ12">
        <v>375.28300000000002</v>
      </c>
      <c r="AK12">
        <v>383.53100000000001</v>
      </c>
      <c r="AL12">
        <v>391.96899999999999</v>
      </c>
      <c r="AM12">
        <v>400.59199999999998</v>
      </c>
      <c r="AN12">
        <v>409.40499999999997</v>
      </c>
    </row>
    <row r="13" spans="1:40" ht="15.4" x14ac:dyDescent="0.45">
      <c r="A13" s="11" t="s">
        <v>85</v>
      </c>
      <c r="B13" s="70">
        <v>162.5</v>
      </c>
      <c r="C13" s="70">
        <v>166.2</v>
      </c>
      <c r="D13" s="70">
        <v>171.3</v>
      </c>
      <c r="E13" s="70">
        <v>176.9</v>
      </c>
      <c r="F13" s="70">
        <v>179.8</v>
      </c>
      <c r="G13" s="70">
        <v>183.8</v>
      </c>
      <c r="H13" s="70">
        <v>188</v>
      </c>
      <c r="I13" s="70">
        <v>194.6</v>
      </c>
      <c r="J13" s="70">
        <v>201.5</v>
      </c>
      <c r="K13" s="70">
        <v>206.68600000000001</v>
      </c>
      <c r="L13" s="70">
        <v>214.82300000000001</v>
      </c>
      <c r="M13" s="70">
        <v>213.24</v>
      </c>
      <c r="N13" s="70">
        <v>218.00899999999999</v>
      </c>
      <c r="O13" s="70">
        <v>224.90600000000001</v>
      </c>
      <c r="P13" s="128">
        <v>230.08500000000001</v>
      </c>
      <c r="Q13" s="128">
        <v>232.53100000000001</v>
      </c>
      <c r="R13" s="128">
        <v>237.072</v>
      </c>
      <c r="S13" s="128">
        <v>236.59899999999999</v>
      </c>
      <c r="T13" s="128">
        <v>239.261</v>
      </c>
      <c r="U13" s="128">
        <v>244.524</v>
      </c>
      <c r="V13" s="128">
        <v>250.54599999999999</v>
      </c>
      <c r="W13" s="128">
        <v>255.548</v>
      </c>
      <c r="X13" s="128">
        <v>256.38900000000001</v>
      </c>
      <c r="Y13" s="128">
        <v>267.05399999999997</v>
      </c>
      <c r="Z13" s="128">
        <v>289.10899999999998</v>
      </c>
      <c r="AA13" s="128">
        <v>303.363</v>
      </c>
      <c r="AB13" s="128">
        <v>313.548</v>
      </c>
      <c r="AC13" s="128">
        <v>320.79500000000002</v>
      </c>
      <c r="AD13" s="150">
        <v>329.85599999999999</v>
      </c>
      <c r="AE13" s="150">
        <v>337.459</v>
      </c>
      <c r="AF13" s="150">
        <v>345.08100000000002</v>
      </c>
      <c r="AG13" s="150">
        <v>352.71</v>
      </c>
      <c r="AH13">
        <v>360.46800000000002</v>
      </c>
      <c r="AI13">
        <v>368.38600000000002</v>
      </c>
      <c r="AJ13">
        <v>376.47399999999999</v>
      </c>
      <c r="AK13">
        <v>384.75099999999998</v>
      </c>
      <c r="AL13">
        <v>393.21499999999997</v>
      </c>
      <c r="AM13">
        <v>401.86599999999999</v>
      </c>
      <c r="AN13">
        <v>410.70699999999999</v>
      </c>
    </row>
    <row r="14" spans="1:40" ht="15.4" x14ac:dyDescent="0.45">
      <c r="A14" s="11" t="s">
        <v>86</v>
      </c>
      <c r="B14" s="70">
        <v>162.80000000000001</v>
      </c>
      <c r="C14" s="70">
        <v>166.2</v>
      </c>
      <c r="D14" s="70">
        <v>171.5</v>
      </c>
      <c r="E14" s="70">
        <v>177.7</v>
      </c>
      <c r="F14" s="70">
        <v>179.8</v>
      </c>
      <c r="G14" s="70">
        <v>183.5</v>
      </c>
      <c r="H14" s="70">
        <v>189.1</v>
      </c>
      <c r="I14" s="70">
        <v>194.4</v>
      </c>
      <c r="J14" s="70">
        <v>202.5</v>
      </c>
      <c r="K14" s="70">
        <v>207.94900000000001</v>
      </c>
      <c r="L14" s="70">
        <v>216.63200000000001</v>
      </c>
      <c r="M14" s="70">
        <v>213.85599999999999</v>
      </c>
      <c r="N14" s="70">
        <v>218.178</v>
      </c>
      <c r="O14" s="70">
        <v>225.964</v>
      </c>
      <c r="P14" s="128">
        <v>229.815</v>
      </c>
      <c r="Q14" s="128">
        <v>232.94499999999999</v>
      </c>
      <c r="R14" s="128">
        <v>237.9</v>
      </c>
      <c r="S14" s="128">
        <v>237.80500000000001</v>
      </c>
      <c r="T14" s="128">
        <v>240.22900000000001</v>
      </c>
      <c r="U14" s="128">
        <v>244.733</v>
      </c>
      <c r="V14" s="128">
        <v>251.58799999999999</v>
      </c>
      <c r="W14" s="128">
        <v>256.09199999999998</v>
      </c>
      <c r="X14" s="128">
        <v>256.39400000000001</v>
      </c>
      <c r="Y14" s="128">
        <v>269.19499999999999</v>
      </c>
      <c r="Z14" s="128">
        <v>292.29599999999999</v>
      </c>
      <c r="AA14" s="128">
        <v>304.12700000000001</v>
      </c>
      <c r="AB14" s="128">
        <v>314.06900000000002</v>
      </c>
      <c r="AC14" s="128">
        <v>321.46499999999997</v>
      </c>
      <c r="AD14" s="150">
        <v>330.78800000000001</v>
      </c>
      <c r="AE14" s="150">
        <v>338.41300000000001</v>
      </c>
      <c r="AF14" s="150">
        <v>346.017</v>
      </c>
      <c r="AG14" s="150">
        <v>353.67</v>
      </c>
      <c r="AH14">
        <v>361.44499999999999</v>
      </c>
      <c r="AI14">
        <v>369.38400000000001</v>
      </c>
      <c r="AJ14">
        <v>377.49400000000003</v>
      </c>
      <c r="AK14">
        <v>385.79500000000002</v>
      </c>
      <c r="AL14">
        <v>394.28199999999998</v>
      </c>
      <c r="AM14">
        <v>402.95600000000002</v>
      </c>
      <c r="AN14">
        <v>411.82100000000003</v>
      </c>
    </row>
    <row r="15" spans="1:40" ht="15.4" x14ac:dyDescent="0.45">
      <c r="A15" s="11" t="s">
        <v>87</v>
      </c>
      <c r="B15" s="70">
        <v>163</v>
      </c>
      <c r="C15" s="70">
        <v>166.2</v>
      </c>
      <c r="D15" s="70">
        <v>172.4</v>
      </c>
      <c r="E15" s="70">
        <v>178</v>
      </c>
      <c r="F15" s="70">
        <v>179.9</v>
      </c>
      <c r="G15" s="70">
        <v>183.7</v>
      </c>
      <c r="H15" s="70">
        <v>189.7</v>
      </c>
      <c r="I15" s="70">
        <v>194.5</v>
      </c>
      <c r="J15" s="70">
        <v>202.9</v>
      </c>
      <c r="K15" s="70">
        <v>208.352</v>
      </c>
      <c r="L15" s="70">
        <v>218.815</v>
      </c>
      <c r="M15" s="70">
        <v>215.69300000000001</v>
      </c>
      <c r="N15" s="70">
        <v>217.965</v>
      </c>
      <c r="O15" s="70">
        <v>225.72200000000001</v>
      </c>
      <c r="P15" s="128">
        <v>229.47800000000001</v>
      </c>
      <c r="Q15" s="128">
        <v>233.50399999999999</v>
      </c>
      <c r="R15" s="128">
        <v>238.34299999999999</v>
      </c>
      <c r="S15" s="128">
        <v>238.63800000000001</v>
      </c>
      <c r="T15" s="128">
        <v>241.018</v>
      </c>
      <c r="U15" s="128">
        <v>244.95500000000001</v>
      </c>
      <c r="V15" s="128">
        <v>251.989</v>
      </c>
      <c r="W15" s="128">
        <v>256.14299999999997</v>
      </c>
      <c r="X15" s="128">
        <v>257.79700000000003</v>
      </c>
      <c r="Y15" s="128">
        <v>271.69600000000003</v>
      </c>
      <c r="Z15" s="128">
        <v>296.31099999999998</v>
      </c>
      <c r="AA15" s="128">
        <v>305.10899999999998</v>
      </c>
      <c r="AB15" s="128">
        <v>314.17500000000001</v>
      </c>
      <c r="AC15" s="128">
        <v>322.56099999999998</v>
      </c>
      <c r="AD15" s="150">
        <v>331.21300000000002</v>
      </c>
      <c r="AE15" s="150">
        <v>338.84800000000001</v>
      </c>
      <c r="AF15" s="150">
        <v>346.42099999999999</v>
      </c>
      <c r="AG15" s="150">
        <v>354.08600000000001</v>
      </c>
      <c r="AH15">
        <v>361.86700000000002</v>
      </c>
      <c r="AI15">
        <v>369.815</v>
      </c>
      <c r="AJ15">
        <v>377.935</v>
      </c>
      <c r="AK15">
        <v>386.24599999999998</v>
      </c>
      <c r="AL15">
        <v>394.74299999999999</v>
      </c>
      <c r="AM15">
        <v>403.428</v>
      </c>
      <c r="AN15">
        <v>412.303</v>
      </c>
    </row>
    <row r="16" spans="1:40" ht="15.4" x14ac:dyDescent="0.45">
      <c r="A16" s="11" t="s">
        <v>88</v>
      </c>
      <c r="B16" s="70">
        <v>163.19999999999999</v>
      </c>
      <c r="C16" s="70">
        <v>166.7</v>
      </c>
      <c r="D16" s="70">
        <v>172.8</v>
      </c>
      <c r="E16" s="70">
        <v>177.5</v>
      </c>
      <c r="F16" s="70">
        <v>180.1</v>
      </c>
      <c r="G16" s="70">
        <v>183.9</v>
      </c>
      <c r="H16" s="70">
        <v>189.4</v>
      </c>
      <c r="I16" s="70">
        <v>195.4</v>
      </c>
      <c r="J16" s="70">
        <v>203.5</v>
      </c>
      <c r="K16" s="70">
        <v>208.29900000000001</v>
      </c>
      <c r="L16" s="70">
        <v>219.964</v>
      </c>
      <c r="M16" s="70">
        <v>215.351</v>
      </c>
      <c r="N16" s="70">
        <v>218.011</v>
      </c>
      <c r="O16" s="70">
        <v>225.922</v>
      </c>
      <c r="P16" s="128">
        <v>229.10400000000001</v>
      </c>
      <c r="Q16" s="128">
        <v>233.596</v>
      </c>
      <c r="R16" s="128">
        <v>238.25</v>
      </c>
      <c r="S16" s="128">
        <v>238.654</v>
      </c>
      <c r="T16" s="128">
        <v>240.62799999999999</v>
      </c>
      <c r="U16" s="128">
        <v>244.786</v>
      </c>
      <c r="V16" s="128">
        <v>252.006</v>
      </c>
      <c r="W16" s="128">
        <v>256.57100000000003</v>
      </c>
      <c r="X16" s="128">
        <v>259.101</v>
      </c>
      <c r="Y16" s="128">
        <v>273.00299999999999</v>
      </c>
      <c r="Z16" s="128">
        <v>296.27600000000001</v>
      </c>
      <c r="AA16" s="128">
        <v>305.69099999999997</v>
      </c>
      <c r="AB16" s="128">
        <v>314.54000000000002</v>
      </c>
      <c r="AC16" s="128">
        <v>323.048</v>
      </c>
      <c r="AD16" s="150">
        <v>331.21699999999998</v>
      </c>
      <c r="AE16" s="150">
        <v>338.82900000000001</v>
      </c>
      <c r="AF16" s="150">
        <v>346.39</v>
      </c>
      <c r="AG16" s="150">
        <v>354.048</v>
      </c>
      <c r="AH16">
        <v>361.82900000000001</v>
      </c>
      <c r="AI16">
        <v>369.77600000000001</v>
      </c>
      <c r="AJ16">
        <v>377.89400000000001</v>
      </c>
      <c r="AK16">
        <v>386.20600000000002</v>
      </c>
      <c r="AL16">
        <v>394.70299999999997</v>
      </c>
      <c r="AM16">
        <v>403.38600000000002</v>
      </c>
      <c r="AN16">
        <v>412.26100000000002</v>
      </c>
    </row>
    <row r="17" spans="1:40" ht="15.4" x14ac:dyDescent="0.45">
      <c r="A17" s="11" t="s">
        <v>89</v>
      </c>
      <c r="B17" s="70">
        <v>163.4</v>
      </c>
      <c r="C17" s="70">
        <v>167.1</v>
      </c>
      <c r="D17" s="70">
        <v>172.8</v>
      </c>
      <c r="E17" s="70">
        <v>177.5</v>
      </c>
      <c r="F17" s="70">
        <v>180.7</v>
      </c>
      <c r="G17" s="70">
        <v>184.6</v>
      </c>
      <c r="H17" s="70">
        <v>189.5</v>
      </c>
      <c r="I17" s="70">
        <v>196.4</v>
      </c>
      <c r="J17" s="70">
        <v>203.9</v>
      </c>
      <c r="K17" s="70">
        <v>207.917</v>
      </c>
      <c r="L17" s="70">
        <v>219.08600000000001</v>
      </c>
      <c r="M17" s="70">
        <v>215.834</v>
      </c>
      <c r="N17" s="70">
        <v>218.31200000000001</v>
      </c>
      <c r="O17" s="70">
        <v>226.54499999999999</v>
      </c>
      <c r="P17" s="128">
        <v>230.37899999999999</v>
      </c>
      <c r="Q17" s="128">
        <v>233.87700000000001</v>
      </c>
      <c r="R17" s="128">
        <v>237.852</v>
      </c>
      <c r="S17" s="128">
        <v>238.316</v>
      </c>
      <c r="T17" s="128">
        <v>240.84899999999999</v>
      </c>
      <c r="U17" s="128">
        <v>245.51900000000001</v>
      </c>
      <c r="V17" s="128">
        <v>252.14599999999999</v>
      </c>
      <c r="W17" s="128">
        <v>256.55799999999999</v>
      </c>
      <c r="X17" s="128">
        <v>259.91800000000001</v>
      </c>
      <c r="Y17" s="128">
        <v>273.56700000000001</v>
      </c>
      <c r="Z17" s="128">
        <v>296.17099999999999</v>
      </c>
      <c r="AA17" s="128">
        <v>307.02600000000001</v>
      </c>
      <c r="AB17" s="128">
        <v>314.79599999999999</v>
      </c>
      <c r="AC17" s="128">
        <v>323.976</v>
      </c>
      <c r="AD17" s="150">
        <v>331.77499999999998</v>
      </c>
      <c r="AE17" s="150">
        <v>339.39</v>
      </c>
      <c r="AF17" s="150">
        <v>346.93700000000001</v>
      </c>
      <c r="AG17" s="150">
        <v>354.60599999999999</v>
      </c>
      <c r="AH17">
        <v>362.39600000000002</v>
      </c>
      <c r="AI17">
        <v>370.35599999999999</v>
      </c>
      <c r="AJ17">
        <v>378.48599999999999</v>
      </c>
      <c r="AK17">
        <v>386.81299999999999</v>
      </c>
      <c r="AL17">
        <v>395.32299999999998</v>
      </c>
      <c r="AM17">
        <v>404.02</v>
      </c>
      <c r="AN17">
        <v>412.90899999999999</v>
      </c>
    </row>
    <row r="18" spans="1:40" ht="15.4" x14ac:dyDescent="0.45">
      <c r="A18" s="11" t="s">
        <v>90</v>
      </c>
      <c r="B18" s="70">
        <v>163.6</v>
      </c>
      <c r="C18" s="70">
        <v>167.9</v>
      </c>
      <c r="D18" s="70">
        <v>173.7</v>
      </c>
      <c r="E18" s="70">
        <v>178.3</v>
      </c>
      <c r="F18" s="70">
        <v>181</v>
      </c>
      <c r="G18" s="70">
        <v>185.2</v>
      </c>
      <c r="H18" s="70">
        <v>189.9</v>
      </c>
      <c r="I18" s="70">
        <v>198.8</v>
      </c>
      <c r="J18" s="70">
        <v>202.9</v>
      </c>
      <c r="K18" s="70">
        <v>208.49</v>
      </c>
      <c r="L18" s="70">
        <v>218.78299999999999</v>
      </c>
      <c r="M18" s="70">
        <v>215.96899999999999</v>
      </c>
      <c r="N18" s="70">
        <v>218.43899999999999</v>
      </c>
      <c r="O18" s="127">
        <v>226.88900000000001</v>
      </c>
      <c r="P18" s="128">
        <v>231.40700000000001</v>
      </c>
      <c r="Q18" s="128">
        <v>234.149</v>
      </c>
      <c r="R18" s="128">
        <v>238.03100000000001</v>
      </c>
      <c r="S18" s="128">
        <v>237.94499999999999</v>
      </c>
      <c r="T18" s="128">
        <v>241.428</v>
      </c>
      <c r="U18" s="128">
        <v>246.81899999999999</v>
      </c>
      <c r="V18" s="128">
        <v>252.43899999999999</v>
      </c>
      <c r="W18" s="128">
        <v>256.75900000000001</v>
      </c>
      <c r="X18" s="128">
        <v>260.27999999999997</v>
      </c>
      <c r="Y18" s="128">
        <v>274.31</v>
      </c>
      <c r="Z18" s="128">
        <v>296.80799999999999</v>
      </c>
      <c r="AA18" s="128">
        <v>307.78899999999999</v>
      </c>
      <c r="AB18" s="128">
        <v>315.30099999999999</v>
      </c>
      <c r="AC18" s="128">
        <v>324.8</v>
      </c>
      <c r="AD18" s="150">
        <v>332.31200000000001</v>
      </c>
      <c r="AE18" s="150">
        <v>339.92700000000002</v>
      </c>
      <c r="AF18" s="150">
        <v>347.46100000000001</v>
      </c>
      <c r="AG18" s="150">
        <v>355.14</v>
      </c>
      <c r="AH18">
        <v>362.94</v>
      </c>
      <c r="AI18">
        <v>370.911</v>
      </c>
      <c r="AJ18">
        <v>379.05399999999997</v>
      </c>
      <c r="AK18">
        <v>387.39499999999998</v>
      </c>
      <c r="AL18">
        <v>395.91699999999997</v>
      </c>
      <c r="AM18">
        <v>404.62799999999999</v>
      </c>
      <c r="AN18">
        <v>413.529</v>
      </c>
    </row>
    <row r="19" spans="1:40" ht="15.4" x14ac:dyDescent="0.45">
      <c r="A19" s="11" t="s">
        <v>91</v>
      </c>
      <c r="B19" s="70">
        <v>164</v>
      </c>
      <c r="C19" s="70">
        <v>168.2</v>
      </c>
      <c r="D19" s="70">
        <v>174</v>
      </c>
      <c r="E19" s="70">
        <v>177.7</v>
      </c>
      <c r="F19" s="70">
        <v>181.3</v>
      </c>
      <c r="G19" s="70">
        <v>185</v>
      </c>
      <c r="H19" s="70">
        <v>190.9</v>
      </c>
      <c r="I19" s="70">
        <v>199.2</v>
      </c>
      <c r="J19" s="70">
        <v>201.8</v>
      </c>
      <c r="K19" s="70">
        <v>208.93600000000001</v>
      </c>
      <c r="L19" s="70">
        <v>216.57300000000001</v>
      </c>
      <c r="M19" s="70">
        <v>216.17699999999999</v>
      </c>
      <c r="N19" s="70">
        <v>218.71100000000001</v>
      </c>
      <c r="O19" s="127">
        <v>226.42099999999999</v>
      </c>
      <c r="P19" s="128">
        <v>231.31700000000001</v>
      </c>
      <c r="Q19" s="128">
        <v>233.54599999999999</v>
      </c>
      <c r="R19" s="128">
        <v>237.43299999999999</v>
      </c>
      <c r="S19" s="128">
        <v>237.83799999999999</v>
      </c>
      <c r="T19" s="128">
        <v>241.72900000000001</v>
      </c>
      <c r="U19" s="128">
        <v>246.66300000000001</v>
      </c>
      <c r="V19" s="128">
        <v>252.88499999999999</v>
      </c>
      <c r="W19" s="128">
        <v>257.346</v>
      </c>
      <c r="X19" s="128">
        <v>260.38799999999998</v>
      </c>
      <c r="Y19" s="128">
        <v>276.589</v>
      </c>
      <c r="Z19" s="128">
        <v>298.012</v>
      </c>
      <c r="AA19" s="128">
        <v>307.67099999999999</v>
      </c>
      <c r="AB19" s="128">
        <v>315.66399999999999</v>
      </c>
      <c r="AC19" s="128">
        <v>324.17099999999999</v>
      </c>
      <c r="AD19" s="150">
        <v>331.85399999999998</v>
      </c>
      <c r="AE19" s="150">
        <v>339.52499999999998</v>
      </c>
      <c r="AF19" s="150">
        <v>347.03</v>
      </c>
      <c r="AG19" s="150">
        <v>354.68799999999999</v>
      </c>
      <c r="AH19">
        <v>362.48</v>
      </c>
      <c r="AI19">
        <v>370.44099999999997</v>
      </c>
      <c r="AJ19">
        <v>378.57600000000002</v>
      </c>
      <c r="AK19">
        <v>386.90499999999997</v>
      </c>
      <c r="AL19">
        <v>395.41699999999997</v>
      </c>
      <c r="AM19">
        <v>404.11599999999999</v>
      </c>
      <c r="AN19">
        <v>413.00599999999997</v>
      </c>
    </row>
    <row r="20" spans="1:40" ht="15.4" x14ac:dyDescent="0.45">
      <c r="A20" s="11" t="s">
        <v>92</v>
      </c>
      <c r="B20" s="70">
        <v>164</v>
      </c>
      <c r="C20" s="70">
        <v>168.3</v>
      </c>
      <c r="D20" s="70">
        <v>174.1</v>
      </c>
      <c r="E20" s="70">
        <v>177.4</v>
      </c>
      <c r="F20" s="70">
        <v>181.3</v>
      </c>
      <c r="G20" s="70">
        <v>184.5</v>
      </c>
      <c r="H20" s="70">
        <v>191</v>
      </c>
      <c r="I20" s="70">
        <v>197.6</v>
      </c>
      <c r="J20" s="70">
        <v>201.5</v>
      </c>
      <c r="K20" s="70">
        <v>210.17699999999999</v>
      </c>
      <c r="L20" s="70">
        <v>212.42500000000001</v>
      </c>
      <c r="M20" s="70">
        <v>216.33</v>
      </c>
      <c r="N20" s="70">
        <v>218.803</v>
      </c>
      <c r="O20" s="127">
        <v>226.23</v>
      </c>
      <c r="P20" s="128">
        <v>230.221</v>
      </c>
      <c r="Q20" s="128">
        <v>233.06899999999999</v>
      </c>
      <c r="R20" s="128">
        <v>236.15100000000001</v>
      </c>
      <c r="S20" s="128">
        <v>237.33600000000001</v>
      </c>
      <c r="T20" s="128">
        <v>241.35300000000001</v>
      </c>
      <c r="U20" s="128">
        <v>246.66900000000001</v>
      </c>
      <c r="V20" s="128">
        <v>252.03800000000001</v>
      </c>
      <c r="W20" s="128">
        <v>257.20800000000003</v>
      </c>
      <c r="X20" s="128">
        <v>260.22899999999998</v>
      </c>
      <c r="Y20" s="128">
        <v>277.94799999999998</v>
      </c>
      <c r="Z20" s="128">
        <v>297.71100000000001</v>
      </c>
      <c r="AA20" s="128">
        <v>307.05099999999999</v>
      </c>
      <c r="AB20" s="128">
        <v>315.49299999999999</v>
      </c>
      <c r="AC20" s="128">
        <v>323.84399999999999</v>
      </c>
      <c r="AD20" s="150">
        <v>331.43799999999999</v>
      </c>
      <c r="AE20" s="150">
        <v>339.12700000000001</v>
      </c>
      <c r="AF20" s="150">
        <v>346.6</v>
      </c>
      <c r="AG20" s="150">
        <v>354.24299999999999</v>
      </c>
      <c r="AH20">
        <v>362.02499999999998</v>
      </c>
      <c r="AI20">
        <v>369.97500000000002</v>
      </c>
      <c r="AJ20">
        <v>378.101</v>
      </c>
      <c r="AK20">
        <v>386.42</v>
      </c>
      <c r="AL20">
        <v>394.92099999999999</v>
      </c>
      <c r="AM20">
        <v>403.60899999999998</v>
      </c>
      <c r="AN20">
        <v>412.488</v>
      </c>
    </row>
    <row r="21" spans="1:40" ht="15.4" x14ac:dyDescent="0.45">
      <c r="A21" s="11" t="s">
        <v>93</v>
      </c>
      <c r="B21" s="70">
        <v>163.9</v>
      </c>
      <c r="C21" s="70">
        <v>168.3</v>
      </c>
      <c r="D21" s="70">
        <v>174</v>
      </c>
      <c r="E21" s="70">
        <v>176.7</v>
      </c>
      <c r="F21" s="70">
        <v>180.9</v>
      </c>
      <c r="G21" s="70">
        <v>184.3</v>
      </c>
      <c r="H21" s="70">
        <v>190.3</v>
      </c>
      <c r="I21" s="70">
        <v>196.8</v>
      </c>
      <c r="J21" s="70">
        <v>201.8</v>
      </c>
      <c r="K21" s="70">
        <v>210.036</v>
      </c>
      <c r="L21" s="70">
        <v>210.22800000000001</v>
      </c>
      <c r="M21" s="70">
        <v>215.94900000000001</v>
      </c>
      <c r="N21" s="70">
        <v>219.179</v>
      </c>
      <c r="O21" s="127">
        <v>225.672</v>
      </c>
      <c r="P21" s="128">
        <v>229.601</v>
      </c>
      <c r="Q21" s="128">
        <v>233.04900000000001</v>
      </c>
      <c r="R21" s="128">
        <v>234.81200000000001</v>
      </c>
      <c r="S21" s="128">
        <v>236.52500000000001</v>
      </c>
      <c r="T21" s="128">
        <v>241.43199999999999</v>
      </c>
      <c r="U21" s="128">
        <v>246.524</v>
      </c>
      <c r="V21" s="128">
        <v>251.233</v>
      </c>
      <c r="W21" s="128">
        <v>256.97399999999999</v>
      </c>
      <c r="X21" s="128">
        <v>260.47399999999999</v>
      </c>
      <c r="Y21" s="128">
        <v>278.80200000000002</v>
      </c>
      <c r="Z21" s="128">
        <v>296.79700000000003</v>
      </c>
      <c r="AA21" s="128">
        <v>306.74599999999998</v>
      </c>
      <c r="AB21" s="128">
        <v>315.60500000000002</v>
      </c>
      <c r="AC21" s="128">
        <v>323.67500000000001</v>
      </c>
      <c r="AD21" s="150">
        <v>331.18400000000003</v>
      </c>
      <c r="AE21" s="150">
        <v>338.89499999999998</v>
      </c>
      <c r="AF21" s="150">
        <v>346.339</v>
      </c>
      <c r="AG21" s="150">
        <v>353.971</v>
      </c>
      <c r="AH21">
        <v>361.74700000000001</v>
      </c>
      <c r="AI21">
        <v>369.69</v>
      </c>
      <c r="AJ21">
        <v>377.81200000000001</v>
      </c>
      <c r="AK21">
        <v>386.12400000000002</v>
      </c>
      <c r="AL21">
        <v>394.61900000000003</v>
      </c>
      <c r="AM21">
        <v>403.3</v>
      </c>
      <c r="AN21">
        <v>412.173</v>
      </c>
    </row>
    <row r="22" spans="1:40" ht="15.4" x14ac:dyDescent="0.45">
      <c r="A22" s="69"/>
      <c r="B22" s="69"/>
      <c r="C22" s="69"/>
      <c r="D22" s="69"/>
      <c r="E22" s="69"/>
      <c r="F22" s="69"/>
      <c r="G22" s="69"/>
      <c r="H22" s="69"/>
      <c r="I22" s="69"/>
      <c r="J22" s="69"/>
      <c r="K22" s="69"/>
      <c r="L22" s="69"/>
      <c r="M22" s="69"/>
      <c r="O22" t="s">
        <v>94</v>
      </c>
      <c r="P22" s="69"/>
      <c r="Q22" s="69"/>
      <c r="R22" s="69"/>
      <c r="S22" s="69"/>
      <c r="T22" s="69"/>
      <c r="U22" s="69"/>
    </row>
    <row r="23" spans="1:40" ht="15.4" x14ac:dyDescent="0.45">
      <c r="N23" s="69"/>
      <c r="O23" s="69"/>
    </row>
    <row r="24" spans="1:40" ht="15.75" thickBot="1" x14ac:dyDescent="0.5">
      <c r="A24" s="18" t="s">
        <v>95</v>
      </c>
      <c r="B24" s="18"/>
      <c r="C24" s="19">
        <f>(C19-B19)/B19</f>
        <v>2.5609756097560905E-2</v>
      </c>
      <c r="D24" s="19">
        <f>(D19-C19)/C19</f>
        <v>3.4482758620689724E-2</v>
      </c>
      <c r="E24" s="19">
        <f>(E19-D19)/D19</f>
        <v>2.1264367816091888E-2</v>
      </c>
      <c r="F24" s="19">
        <f>(F19-E19)/E19</f>
        <v>2.0258863252673173E-2</v>
      </c>
      <c r="G24" s="19">
        <f>(G19-F19)/F19</f>
        <v>2.0408163265306058E-2</v>
      </c>
      <c r="H24" s="19">
        <f t="shared" ref="H24:M24" si="0">(H19-G19)/G19</f>
        <v>3.189189189189192E-2</v>
      </c>
      <c r="I24" s="19">
        <f t="shared" si="0"/>
        <v>4.3478260869565126E-2</v>
      </c>
      <c r="J24" s="19">
        <f t="shared" si="0"/>
        <v>1.3052208835341481E-2</v>
      </c>
      <c r="K24" s="19">
        <f t="shared" si="0"/>
        <v>3.5361744301288384E-2</v>
      </c>
      <c r="L24" s="19">
        <f t="shared" si="0"/>
        <v>3.6551862771374968E-2</v>
      </c>
      <c r="M24" s="19">
        <f t="shared" si="0"/>
        <v>-1.8284827748612014E-3</v>
      </c>
      <c r="N24" s="19">
        <f>(N19-M19)/M19</f>
        <v>1.1721876055269618E-2</v>
      </c>
      <c r="O24" s="19">
        <f>(O19-N19)/N19</f>
        <v>3.5251999213573984E-2</v>
      </c>
      <c r="P24" s="19">
        <f>(P19-O19)/O19</f>
        <v>2.1623435988711363E-2</v>
      </c>
      <c r="Q24" s="19">
        <f t="shared" ref="Q24:AE24" si="1">(Q19-P19)/P19</f>
        <v>9.6361270464340489E-3</v>
      </c>
      <c r="R24" s="19">
        <f t="shared" si="1"/>
        <v>1.6643402156320385E-2</v>
      </c>
      <c r="S24" s="19">
        <f t="shared" si="1"/>
        <v>1.7057443573555535E-3</v>
      </c>
      <c r="T24" s="19">
        <f t="shared" si="1"/>
        <v>1.6359875209176075E-2</v>
      </c>
      <c r="U24" s="19">
        <f t="shared" si="1"/>
        <v>2.041128701976179E-2</v>
      </c>
      <c r="V24" s="19">
        <f t="shared" si="1"/>
        <v>2.5224699286070386E-2</v>
      </c>
      <c r="W24" s="19">
        <f t="shared" si="1"/>
        <v>1.7640429444213825E-2</v>
      </c>
      <c r="X24" s="19">
        <f t="shared" si="1"/>
        <v>1.1820661677274849E-2</v>
      </c>
      <c r="Y24" s="19">
        <f t="shared" si="1"/>
        <v>6.2218689033288872E-2</v>
      </c>
      <c r="Z24" s="19">
        <f t="shared" si="1"/>
        <v>7.7454273308049132E-2</v>
      </c>
      <c r="AA24" s="19">
        <f t="shared" si="1"/>
        <v>3.2411446518932095E-2</v>
      </c>
      <c r="AB24" s="19">
        <f t="shared" si="1"/>
        <v>2.5979049049146639E-2</v>
      </c>
      <c r="AC24" s="19">
        <f t="shared" si="1"/>
        <v>2.6949541284403685E-2</v>
      </c>
      <c r="AD24" s="19">
        <f>(AD19-AC19)/AC19</f>
        <v>2.3700454389812761E-2</v>
      </c>
      <c r="AE24" s="19">
        <f t="shared" si="1"/>
        <v>2.3115586974995005E-2</v>
      </c>
      <c r="AF24" s="19">
        <f>(AF19-AE19)/AE19</f>
        <v>2.2104410573595454E-2</v>
      </c>
      <c r="AG24" s="19">
        <f>(AG19-AF19)/AF19</f>
        <v>2.2067256433161445E-2</v>
      </c>
      <c r="AH24" s="19">
        <f t="shared" ref="AH24:AN24" si="2">(AH19-AG19)/AG19</f>
        <v>2.1968603392277242E-2</v>
      </c>
      <c r="AI24" s="19">
        <f t="shared" si="2"/>
        <v>2.1962591039505507E-2</v>
      </c>
      <c r="AJ24" s="19">
        <f t="shared" si="2"/>
        <v>2.1960312168469602E-2</v>
      </c>
      <c r="AK24" s="19">
        <f t="shared" si="2"/>
        <v>2.2000866404631964E-2</v>
      </c>
      <c r="AL24" s="19">
        <f t="shared" si="2"/>
        <v>2.200023261524147E-2</v>
      </c>
      <c r="AM24" s="19">
        <f t="shared" si="2"/>
        <v>2.1999559958221355E-2</v>
      </c>
      <c r="AN24" s="19">
        <f t="shared" si="2"/>
        <v>2.1998634055568171E-2</v>
      </c>
    </row>
    <row r="25" spans="1:40" ht="13.15" thickTop="1" x14ac:dyDescent="0.35"/>
    <row r="26" spans="1:40" x14ac:dyDescent="0.35">
      <c r="A26" t="s">
        <v>96</v>
      </c>
      <c r="I26">
        <v>2005</v>
      </c>
      <c r="J26">
        <v>2006</v>
      </c>
      <c r="K26">
        <v>2007</v>
      </c>
      <c r="L26">
        <v>2008</v>
      </c>
      <c r="M26">
        <v>2009</v>
      </c>
      <c r="N26">
        <v>2010</v>
      </c>
      <c r="O26">
        <v>2011</v>
      </c>
      <c r="P26">
        <v>2012</v>
      </c>
      <c r="Q26">
        <v>2013</v>
      </c>
      <c r="R26">
        <v>2014</v>
      </c>
      <c r="S26">
        <v>2015</v>
      </c>
      <c r="T26">
        <v>2016</v>
      </c>
      <c r="U26">
        <v>2017</v>
      </c>
      <c r="V26">
        <v>2018</v>
      </c>
      <c r="W26">
        <v>2019</v>
      </c>
      <c r="X26">
        <v>2020</v>
      </c>
      <c r="Y26">
        <v>2021</v>
      </c>
      <c r="Z26">
        <v>2022</v>
      </c>
      <c r="AA26">
        <v>2023</v>
      </c>
      <c r="AB26">
        <v>2024</v>
      </c>
      <c r="AC26">
        <v>2025</v>
      </c>
      <c r="AD26">
        <v>2026</v>
      </c>
      <c r="AE26">
        <v>2027</v>
      </c>
      <c r="AF26">
        <v>2028</v>
      </c>
      <c r="AG26">
        <v>2029</v>
      </c>
      <c r="AH26">
        <v>2030</v>
      </c>
      <c r="AI26">
        <v>2031</v>
      </c>
      <c r="AJ26">
        <v>2032</v>
      </c>
      <c r="AK26">
        <v>2033</v>
      </c>
      <c r="AL26">
        <v>2034</v>
      </c>
      <c r="AM26">
        <v>2035</v>
      </c>
      <c r="AN26">
        <v>2036</v>
      </c>
    </row>
    <row r="27" spans="1:40" x14ac:dyDescent="0.35">
      <c r="A27" t="s">
        <v>97</v>
      </c>
      <c r="B27">
        <v>0</v>
      </c>
      <c r="C27">
        <v>0</v>
      </c>
      <c r="D27">
        <v>0</v>
      </c>
      <c r="E27">
        <v>0</v>
      </c>
      <c r="F27">
        <v>0</v>
      </c>
      <c r="G27">
        <v>0</v>
      </c>
      <c r="H27" s="8">
        <v>0</v>
      </c>
      <c r="I27" s="31">
        <f>25000000*(1+H24)</f>
        <v>25797297.297297299</v>
      </c>
      <c r="J27" s="31">
        <f t="shared" ref="J27:Q27" si="3">I27*(I24+1)</f>
        <v>26918918.918918919</v>
      </c>
      <c r="K27" s="31">
        <f t="shared" si="3"/>
        <v>27270270.270270273</v>
      </c>
      <c r="L27" s="31">
        <f t="shared" si="3"/>
        <v>28234594.594594598</v>
      </c>
      <c r="M27" s="31">
        <f t="shared" si="3"/>
        <v>29266621.621621627</v>
      </c>
      <c r="N27" s="31">
        <f t="shared" si="3"/>
        <v>29213108.108108111</v>
      </c>
      <c r="O27" s="31">
        <f t="shared" si="3"/>
        <v>29555540.540540542</v>
      </c>
      <c r="P27" s="31">
        <f t="shared" si="3"/>
        <v>30597432.432432432</v>
      </c>
      <c r="Q27" s="31">
        <f t="shared" si="3"/>
        <v>31259054.054054055</v>
      </c>
      <c r="R27" s="31">
        <f t="shared" ref="R27:AE27" si="4">Q27*(Q24+1)</f>
        <v>31560270.270270269</v>
      </c>
      <c r="S27" s="31">
        <f t="shared" si="4"/>
        <v>32085540.540540542</v>
      </c>
      <c r="T27" s="31">
        <f t="shared" si="4"/>
        <v>32140270.270270273</v>
      </c>
      <c r="U27" s="31">
        <f t="shared" si="4"/>
        <v>32666081.081081085</v>
      </c>
      <c r="V27" s="31">
        <f t="shared" si="4"/>
        <v>33332837.837837838</v>
      </c>
      <c r="W27" s="31">
        <f t="shared" si="4"/>
        <v>34173648.648648642</v>
      </c>
      <c r="X27" s="31">
        <f t="shared" si="4"/>
        <v>34776486.48648648</v>
      </c>
      <c r="Y27" s="31">
        <f t="shared" si="4"/>
        <v>35187567.567567557</v>
      </c>
      <c r="Z27" s="31">
        <f t="shared" si="4"/>
        <v>37376891.891891889</v>
      </c>
      <c r="AA27" s="31">
        <f t="shared" si="4"/>
        <v>40271891.891891889</v>
      </c>
      <c r="AB27" s="31">
        <f t="shared" si="4"/>
        <v>41577162.162162155</v>
      </c>
      <c r="AC27" s="31">
        <f t="shared" si="4"/>
        <v>42657297.297297291</v>
      </c>
      <c r="AD27" s="31">
        <f t="shared" si="4"/>
        <v>43806891.891891882</v>
      </c>
      <c r="AE27" s="31">
        <f t="shared" si="4"/>
        <v>44845135.135135122</v>
      </c>
      <c r="AF27" s="31">
        <f>AE27*(AE24+1)</f>
        <v>45881756.756756745</v>
      </c>
      <c r="AG27" s="31">
        <f>AF27*(AF24+1)</f>
        <v>46895945.945945933</v>
      </c>
      <c r="AH27" s="31">
        <f t="shared" ref="AH27:AN27" si="5">AG27*(AG24+1)</f>
        <v>47930810.810810797</v>
      </c>
      <c r="AI27" s="31">
        <f t="shared" si="5"/>
        <v>48983783.783783771</v>
      </c>
      <c r="AJ27" s="31">
        <f t="shared" si="5"/>
        <v>50059594.594594583</v>
      </c>
      <c r="AK27" s="31">
        <f t="shared" si="5"/>
        <v>51158918.918918908</v>
      </c>
      <c r="AL27" s="31">
        <f t="shared" si="5"/>
        <v>52284459.459459446</v>
      </c>
      <c r="AM27" s="31">
        <f t="shared" si="5"/>
        <v>53434729.729729719</v>
      </c>
      <c r="AN27" s="31">
        <f t="shared" si="5"/>
        <v>54610270.270270266</v>
      </c>
    </row>
    <row r="28" spans="1:40" x14ac:dyDescent="0.35">
      <c r="K28" s="34"/>
    </row>
  </sheetData>
  <phoneticPr fontId="0" type="noConversion"/>
  <hyperlinks>
    <hyperlink ref="C5" r:id="rId1" display="https://www.bls.gov/regions/mid-atlantic/data/consumerpriceindexhistorical_us_table.htm" xr:uid="{D134C6AD-A6E4-4917-802E-319B9E5B3054}"/>
  </hyperlinks>
  <pageMargins left="0.75" right="0.75" top="1" bottom="1" header="0.5" footer="0.5"/>
  <pageSetup orientation="portrait" r:id="rId2"/>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dimension ref="A1:N61"/>
  <sheetViews>
    <sheetView view="pageBreakPreview" topLeftCell="A40" zoomScaleNormal="100" zoomScaleSheetLayoutView="100" workbookViewId="0">
      <selection activeCell="F54" sqref="F54"/>
    </sheetView>
  </sheetViews>
  <sheetFormatPr defaultColWidth="9.265625" defaultRowHeight="12.75" x14ac:dyDescent="0.35"/>
  <cols>
    <col min="1" max="1" width="18.73046875" style="46" bestFit="1" customWidth="1"/>
    <col min="2" max="2" width="10.265625" style="46" bestFit="1" customWidth="1"/>
    <col min="3" max="3" width="10.265625" style="46" customWidth="1"/>
    <col min="4" max="4" width="9.265625" style="46" bestFit="1" customWidth="1"/>
    <col min="5" max="5" width="8" style="46" customWidth="1"/>
    <col min="6" max="6" width="16.3984375" style="46" bestFit="1" customWidth="1"/>
    <col min="7" max="7" width="12.265625" style="46" bestFit="1" customWidth="1"/>
    <col min="8" max="8" width="15.265625" style="46" bestFit="1" customWidth="1"/>
    <col min="9" max="9" width="17" style="46" bestFit="1" customWidth="1"/>
    <col min="10" max="10" width="12.73046875" style="46" bestFit="1" customWidth="1"/>
    <col min="11" max="11" width="17" style="46" bestFit="1" customWidth="1"/>
    <col min="12" max="12" width="13.59765625" style="46" customWidth="1"/>
    <col min="13" max="13" width="9.265625" style="46" bestFit="1" customWidth="1"/>
    <col min="14" max="16384" width="9.265625" style="46"/>
  </cols>
  <sheetData>
    <row r="1" spans="1:14" ht="13.15" x14ac:dyDescent="0.4">
      <c r="A1" s="47" t="s">
        <v>99</v>
      </c>
      <c r="B1" s="161">
        <v>41577</v>
      </c>
      <c r="C1" s="36"/>
      <c r="D1" s="36"/>
      <c r="E1" s="17"/>
      <c r="F1" s="36"/>
      <c r="G1" s="36"/>
      <c r="H1" s="36"/>
      <c r="I1" s="36"/>
      <c r="J1" s="36"/>
      <c r="K1" s="36"/>
      <c r="L1" s="36"/>
      <c r="M1" s="36"/>
      <c r="N1" s="36"/>
    </row>
    <row r="2" spans="1:14" ht="13.5" thickBot="1" x14ac:dyDescent="0.45">
      <c r="A2" s="48" t="s">
        <v>100</v>
      </c>
      <c r="B2" s="162"/>
      <c r="C2" s="36"/>
      <c r="D2" s="36"/>
      <c r="E2" s="36"/>
      <c r="F2" s="36"/>
      <c r="G2" s="36"/>
      <c r="H2" s="17" t="s">
        <v>94</v>
      </c>
      <c r="I2" s="36"/>
      <c r="J2" s="36"/>
      <c r="K2" s="36"/>
      <c r="L2" s="36"/>
      <c r="M2" s="36"/>
      <c r="N2" s="36"/>
    </row>
    <row r="3" spans="1:14" s="49" customFormat="1" ht="38.65" thickBot="1" x14ac:dyDescent="0.4">
      <c r="A3" s="83" t="s">
        <v>96</v>
      </c>
      <c r="B3" s="83" t="s">
        <v>101</v>
      </c>
      <c r="C3" s="83" t="s">
        <v>102</v>
      </c>
      <c r="D3" s="83" t="s">
        <v>103</v>
      </c>
      <c r="E3" s="83" t="s">
        <v>104</v>
      </c>
      <c r="F3" s="83" t="s">
        <v>105</v>
      </c>
      <c r="G3" s="83" t="s">
        <v>106</v>
      </c>
      <c r="H3" s="83" t="s">
        <v>107</v>
      </c>
      <c r="I3" s="83" t="s">
        <v>108</v>
      </c>
      <c r="J3" s="83" t="s">
        <v>109</v>
      </c>
      <c r="K3" s="83" t="s">
        <v>110</v>
      </c>
      <c r="L3" s="83" t="s">
        <v>111</v>
      </c>
      <c r="M3" s="83" t="s">
        <v>112</v>
      </c>
      <c r="N3" s="83"/>
    </row>
    <row r="4" spans="1:14" x14ac:dyDescent="0.35">
      <c r="A4" s="134" t="s">
        <v>113</v>
      </c>
      <c r="B4" s="163"/>
      <c r="C4" s="163"/>
      <c r="D4" s="163"/>
      <c r="E4" s="163"/>
      <c r="F4" s="163"/>
      <c r="G4" s="163"/>
      <c r="H4" s="163"/>
      <c r="I4" s="164">
        <v>251770000</v>
      </c>
      <c r="J4" s="165"/>
      <c r="K4" s="36"/>
      <c r="L4" s="166"/>
      <c r="M4" s="167"/>
      <c r="N4" s="167"/>
    </row>
    <row r="5" spans="1:14" x14ac:dyDescent="0.35">
      <c r="A5" s="134" t="s">
        <v>114</v>
      </c>
      <c r="B5" s="134" t="s">
        <v>115</v>
      </c>
      <c r="C5" s="168" t="s">
        <v>116</v>
      </c>
      <c r="D5" s="135">
        <v>1430</v>
      </c>
      <c r="E5" s="36"/>
      <c r="F5" s="134" t="s">
        <v>117</v>
      </c>
      <c r="G5" s="169">
        <v>3485000</v>
      </c>
      <c r="H5" s="100">
        <f t="shared" ref="H5:H36" si="0">(G6/G5)-1</f>
        <v>2.1807747489239526E-2</v>
      </c>
      <c r="I5" s="170">
        <v>566030000</v>
      </c>
      <c r="J5" s="73"/>
      <c r="K5" s="100">
        <f t="shared" ref="K5:K48" si="1">(I5/I4)-1</f>
        <v>1.2482027247090599</v>
      </c>
      <c r="L5" s="106">
        <f>((I5-J5)/G5)</f>
        <v>162.41893830703012</v>
      </c>
      <c r="M5" s="100">
        <f t="shared" ref="M5:M46" si="2">(L5/D5)</f>
        <v>0.1135796771377833</v>
      </c>
      <c r="N5" s="167"/>
    </row>
    <row r="6" spans="1:14" x14ac:dyDescent="0.35">
      <c r="A6" s="134" t="s">
        <v>118</v>
      </c>
      <c r="B6" s="134" t="s">
        <v>119</v>
      </c>
      <c r="C6" s="168" t="s">
        <v>117</v>
      </c>
      <c r="D6" s="135">
        <v>1560</v>
      </c>
      <c r="E6" s="36"/>
      <c r="F6" s="134" t="s">
        <v>115</v>
      </c>
      <c r="G6" s="171">
        <v>3561000</v>
      </c>
      <c r="H6" s="100">
        <f t="shared" si="0"/>
        <v>3.9033979219320392E-2</v>
      </c>
      <c r="I6" s="170">
        <v>804000000</v>
      </c>
      <c r="J6" s="73"/>
      <c r="K6" s="100">
        <f t="shared" si="1"/>
        <v>0.42041941239863601</v>
      </c>
      <c r="L6" s="107">
        <f t="shared" ref="L6:L48" si="3">((I6-J6)/G6)</f>
        <v>225.77927548441448</v>
      </c>
      <c r="M6" s="100">
        <f t="shared" si="2"/>
        <v>0.1447303047977016</v>
      </c>
      <c r="N6" s="172"/>
    </row>
    <row r="7" spans="1:14" x14ac:dyDescent="0.35">
      <c r="A7" s="134" t="s">
        <v>120</v>
      </c>
      <c r="B7" s="134" t="s">
        <v>121</v>
      </c>
      <c r="C7" s="168" t="s">
        <v>115</v>
      </c>
      <c r="D7" s="135">
        <v>1736</v>
      </c>
      <c r="E7" s="36"/>
      <c r="F7" s="134" t="s">
        <v>119</v>
      </c>
      <c r="G7" s="171">
        <v>3700000</v>
      </c>
      <c r="H7" s="100">
        <f t="shared" si="0"/>
        <v>2.7837837837837887E-2</v>
      </c>
      <c r="I7" s="170">
        <v>874500000</v>
      </c>
      <c r="J7" s="73"/>
      <c r="K7" s="100">
        <f t="shared" si="1"/>
        <v>8.7686567164179108E-2</v>
      </c>
      <c r="L7" s="107">
        <f t="shared" si="3"/>
        <v>236.35135135135135</v>
      </c>
      <c r="M7" s="100">
        <f t="shared" si="2"/>
        <v>0.13614709179225309</v>
      </c>
      <c r="N7" s="167"/>
    </row>
    <row r="8" spans="1:14" x14ac:dyDescent="0.35">
      <c r="A8" s="134" t="s">
        <v>122</v>
      </c>
      <c r="B8" s="134" t="s">
        <v>123</v>
      </c>
      <c r="C8" s="168" t="s">
        <v>119</v>
      </c>
      <c r="D8" s="135">
        <v>1919</v>
      </c>
      <c r="E8" s="36"/>
      <c r="F8" s="134" t="s">
        <v>121</v>
      </c>
      <c r="G8" s="171">
        <v>3803000</v>
      </c>
      <c r="H8" s="100">
        <f t="shared" si="0"/>
        <v>3.6287141730213079E-2</v>
      </c>
      <c r="I8" s="170">
        <v>874500000</v>
      </c>
      <c r="J8" s="73"/>
      <c r="K8" s="100">
        <f t="shared" si="1"/>
        <v>0</v>
      </c>
      <c r="L8" s="107">
        <f t="shared" si="3"/>
        <v>229.95003944254535</v>
      </c>
      <c r="M8" s="100">
        <f t="shared" si="2"/>
        <v>0.11982805598881988</v>
      </c>
      <c r="N8" s="167"/>
    </row>
    <row r="9" spans="1:14" x14ac:dyDescent="0.35">
      <c r="A9" s="134" t="s">
        <v>124</v>
      </c>
      <c r="B9" s="134" t="s">
        <v>125</v>
      </c>
      <c r="C9" s="168" t="s">
        <v>121</v>
      </c>
      <c r="D9" s="135">
        <v>2168</v>
      </c>
      <c r="E9" s="36"/>
      <c r="F9" s="134" t="s">
        <v>123</v>
      </c>
      <c r="G9" s="171">
        <v>3941000</v>
      </c>
      <c r="H9" s="100">
        <f t="shared" si="0"/>
        <v>1.243339253996445E-2</v>
      </c>
      <c r="I9" s="170">
        <v>931008000</v>
      </c>
      <c r="J9" s="73"/>
      <c r="K9" s="100">
        <f t="shared" si="1"/>
        <v>6.4617495711835282E-2</v>
      </c>
      <c r="L9" s="107">
        <f t="shared" si="3"/>
        <v>236.23648820096423</v>
      </c>
      <c r="M9" s="100">
        <f t="shared" si="2"/>
        <v>0.1089651698343931</v>
      </c>
      <c r="N9" s="167"/>
    </row>
    <row r="10" spans="1:14" x14ac:dyDescent="0.35">
      <c r="A10" s="134" t="s">
        <v>126</v>
      </c>
      <c r="B10" s="134" t="s">
        <v>127</v>
      </c>
      <c r="C10" s="168" t="s">
        <v>123</v>
      </c>
      <c r="D10" s="135">
        <v>2354</v>
      </c>
      <c r="E10" s="36"/>
      <c r="F10" s="134" t="s">
        <v>125</v>
      </c>
      <c r="G10" s="171">
        <v>3990000</v>
      </c>
      <c r="H10" s="100">
        <f t="shared" si="0"/>
        <v>1.5789473684210575E-2</v>
      </c>
      <c r="I10" s="170">
        <v>1017900000</v>
      </c>
      <c r="J10" s="73"/>
      <c r="K10" s="100">
        <f t="shared" si="1"/>
        <v>9.3331099195710365E-2</v>
      </c>
      <c r="L10" s="107">
        <f t="shared" si="3"/>
        <v>255.11278195488723</v>
      </c>
      <c r="M10" s="100">
        <f t="shared" si="2"/>
        <v>0.1083741639570464</v>
      </c>
      <c r="N10" s="172"/>
    </row>
    <row r="11" spans="1:14" x14ac:dyDescent="0.35">
      <c r="A11" s="134" t="s">
        <v>128</v>
      </c>
      <c r="B11" s="134" t="s">
        <v>129</v>
      </c>
      <c r="C11" s="168" t="s">
        <v>125</v>
      </c>
      <c r="D11" s="135">
        <v>2640</v>
      </c>
      <c r="E11" s="36"/>
      <c r="F11" s="134" t="s">
        <v>127</v>
      </c>
      <c r="G11" s="171">
        <v>4053000</v>
      </c>
      <c r="H11" s="100">
        <f t="shared" si="0"/>
        <v>1.0609425117197091E-2</v>
      </c>
      <c r="I11" s="170">
        <v>1068875000</v>
      </c>
      <c r="J11" s="73"/>
      <c r="K11" s="100">
        <f t="shared" si="1"/>
        <v>5.0078593182041553E-2</v>
      </c>
      <c r="L11" s="107">
        <f t="shared" si="3"/>
        <v>263.72440167776955</v>
      </c>
      <c r="M11" s="100">
        <f t="shared" si="2"/>
        <v>9.9895606696124822E-2</v>
      </c>
      <c r="N11" s="167"/>
    </row>
    <row r="12" spans="1:14" x14ac:dyDescent="0.35">
      <c r="A12" s="134" t="s">
        <v>130</v>
      </c>
      <c r="B12" s="134" t="s">
        <v>131</v>
      </c>
      <c r="C12" s="168" t="s">
        <v>127</v>
      </c>
      <c r="D12" s="135">
        <v>2861</v>
      </c>
      <c r="E12" s="36"/>
      <c r="F12" s="134" t="s">
        <v>129</v>
      </c>
      <c r="G12" s="171">
        <v>4096000</v>
      </c>
      <c r="H12" s="100">
        <f t="shared" si="0"/>
        <v>6.8359375E-3</v>
      </c>
      <c r="I12" s="170">
        <v>1135145000</v>
      </c>
      <c r="J12" s="73"/>
      <c r="K12" s="100">
        <f t="shared" si="1"/>
        <v>6.1999766109227084E-2</v>
      </c>
      <c r="L12" s="107">
        <f t="shared" si="3"/>
        <v>277.135009765625</v>
      </c>
      <c r="M12" s="100">
        <f t="shared" si="2"/>
        <v>9.6866483665020972E-2</v>
      </c>
      <c r="N12" s="167"/>
    </row>
    <row r="13" spans="1:14" x14ac:dyDescent="0.35">
      <c r="A13" s="134" t="s">
        <v>132</v>
      </c>
      <c r="B13" s="134" t="s">
        <v>133</v>
      </c>
      <c r="C13" s="168" t="s">
        <v>129</v>
      </c>
      <c r="D13" s="135">
        <v>3086</v>
      </c>
      <c r="E13" s="36"/>
      <c r="F13" s="134" t="s">
        <v>131</v>
      </c>
      <c r="G13" s="171">
        <v>4124000</v>
      </c>
      <c r="H13" s="100">
        <f t="shared" si="0"/>
        <v>-7.2744907856447938E-4</v>
      </c>
      <c r="I13" s="170">
        <v>1163282000</v>
      </c>
      <c r="J13" s="73"/>
      <c r="K13" s="100">
        <f t="shared" si="1"/>
        <v>2.4787141730792106E-2</v>
      </c>
      <c r="L13" s="107">
        <f t="shared" si="3"/>
        <v>282.07613967022309</v>
      </c>
      <c r="M13" s="100">
        <f t="shared" si="2"/>
        <v>9.1405100346799439E-2</v>
      </c>
      <c r="N13" s="167"/>
    </row>
    <row r="14" spans="1:14" x14ac:dyDescent="0.35">
      <c r="A14" s="134" t="s">
        <v>134</v>
      </c>
      <c r="B14" s="134" t="s">
        <v>135</v>
      </c>
      <c r="C14" s="168" t="s">
        <v>131</v>
      </c>
      <c r="D14" s="135">
        <v>3356</v>
      </c>
      <c r="E14" s="36"/>
      <c r="F14" s="134" t="s">
        <v>133</v>
      </c>
      <c r="G14" s="171">
        <v>4121000</v>
      </c>
      <c r="H14" s="100">
        <f t="shared" si="0"/>
        <v>1.1162339238049102E-2</v>
      </c>
      <c r="I14" s="170">
        <v>1338000000</v>
      </c>
      <c r="J14" s="73"/>
      <c r="K14" s="100">
        <f t="shared" si="1"/>
        <v>0.15019402002266014</v>
      </c>
      <c r="L14" s="107">
        <f t="shared" si="3"/>
        <v>324.67847609803448</v>
      </c>
      <c r="M14" s="100">
        <f t="shared" si="2"/>
        <v>9.6745672258055568E-2</v>
      </c>
      <c r="N14" s="167"/>
    </row>
    <row r="15" spans="1:14" x14ac:dyDescent="0.35">
      <c r="A15" s="134" t="s">
        <v>136</v>
      </c>
      <c r="B15" s="134" t="s">
        <v>137</v>
      </c>
      <c r="C15" s="168" t="s">
        <v>133</v>
      </c>
      <c r="D15" s="135">
        <v>3510</v>
      </c>
      <c r="E15" s="36"/>
      <c r="F15" s="134" t="s">
        <v>135</v>
      </c>
      <c r="G15" s="171">
        <v>4167000</v>
      </c>
      <c r="H15" s="100">
        <f t="shared" si="0"/>
        <v>1.6558675305975434E-2</v>
      </c>
      <c r="I15" s="170">
        <v>1431737000</v>
      </c>
      <c r="J15" s="73"/>
      <c r="K15" s="100">
        <f t="shared" si="1"/>
        <v>7.0057548579970153E-2</v>
      </c>
      <c r="L15" s="107">
        <f t="shared" si="3"/>
        <v>343.58939284857212</v>
      </c>
      <c r="M15" s="100">
        <f t="shared" si="2"/>
        <v>9.7888715911274113E-2</v>
      </c>
      <c r="N15" s="167"/>
    </row>
    <row r="16" spans="1:14" x14ac:dyDescent="0.35">
      <c r="A16" s="134" t="s">
        <v>138</v>
      </c>
      <c r="B16" s="134" t="s">
        <v>139</v>
      </c>
      <c r="C16" s="168" t="s">
        <v>135</v>
      </c>
      <c r="D16" s="135">
        <v>3871</v>
      </c>
      <c r="E16" s="36"/>
      <c r="F16" s="134" t="s">
        <v>137</v>
      </c>
      <c r="G16" s="171">
        <v>4236000</v>
      </c>
      <c r="H16" s="100">
        <f t="shared" si="0"/>
        <v>2.6203966005665658E-2</v>
      </c>
      <c r="I16" s="170">
        <v>1475449000</v>
      </c>
      <c r="J16" s="73"/>
      <c r="K16" s="100">
        <f t="shared" si="1"/>
        <v>3.0530746917904583E-2</v>
      </c>
      <c r="L16" s="107">
        <f t="shared" si="3"/>
        <v>348.31185080264402</v>
      </c>
      <c r="M16" s="100">
        <f t="shared" si="2"/>
        <v>8.9979811625586159E-2</v>
      </c>
      <c r="N16" s="167"/>
    </row>
    <row r="17" spans="1:14" x14ac:dyDescent="0.35">
      <c r="A17" s="134" t="s">
        <v>140</v>
      </c>
      <c r="B17" s="134" t="s">
        <v>141</v>
      </c>
      <c r="C17" s="168" t="s">
        <v>137</v>
      </c>
      <c r="D17" s="135">
        <v>4130</v>
      </c>
      <c r="E17" s="36"/>
      <c r="F17" s="134" t="s">
        <v>139</v>
      </c>
      <c r="G17" s="171">
        <v>4347000</v>
      </c>
      <c r="H17" s="100">
        <f t="shared" si="0"/>
        <v>1.6563146997929712E-2</v>
      </c>
      <c r="I17" s="170">
        <v>1542610000</v>
      </c>
      <c r="J17" s="73"/>
      <c r="K17" s="100">
        <f t="shared" si="1"/>
        <v>4.5519025056101503E-2</v>
      </c>
      <c r="L17" s="107">
        <f t="shared" si="3"/>
        <v>354.86772486772486</v>
      </c>
      <c r="M17" s="100">
        <f t="shared" si="2"/>
        <v>8.5924388587826847E-2</v>
      </c>
      <c r="N17" s="167"/>
    </row>
    <row r="18" spans="1:14" x14ac:dyDescent="0.35">
      <c r="A18" s="134" t="s">
        <v>142</v>
      </c>
      <c r="B18" s="134" t="s">
        <v>143</v>
      </c>
      <c r="C18" s="168" t="s">
        <v>139</v>
      </c>
      <c r="D18" s="135">
        <v>4403</v>
      </c>
      <c r="E18" s="36"/>
      <c r="F18" s="134" t="s">
        <v>141</v>
      </c>
      <c r="G18" s="171">
        <v>4419000</v>
      </c>
      <c r="H18" s="100">
        <f t="shared" si="0"/>
        <v>3.3491740212717724E-2</v>
      </c>
      <c r="I18" s="170">
        <v>1854186000</v>
      </c>
      <c r="J18" s="73"/>
      <c r="K18" s="100">
        <f t="shared" si="1"/>
        <v>0.20197976157291864</v>
      </c>
      <c r="L18" s="107">
        <f t="shared" si="3"/>
        <v>419.59402579769181</v>
      </c>
      <c r="M18" s="100">
        <f t="shared" si="2"/>
        <v>9.5297303156414215E-2</v>
      </c>
      <c r="N18" s="167"/>
    </row>
    <row r="19" spans="1:14" x14ac:dyDescent="0.35">
      <c r="A19" s="134" t="s">
        <v>144</v>
      </c>
      <c r="B19" s="134" t="s">
        <v>145</v>
      </c>
      <c r="C19" s="168" t="s">
        <v>141</v>
      </c>
      <c r="D19" s="135">
        <v>4704</v>
      </c>
      <c r="E19" s="36"/>
      <c r="F19" s="134" t="s">
        <v>143</v>
      </c>
      <c r="G19" s="171">
        <v>4567000</v>
      </c>
      <c r="H19" s="100">
        <f t="shared" si="0"/>
        <v>3.5033939128530811E-2</v>
      </c>
      <c r="I19" s="170">
        <v>1976095000</v>
      </c>
      <c r="J19" s="73"/>
      <c r="K19" s="100">
        <f t="shared" si="1"/>
        <v>6.5747988605242336E-2</v>
      </c>
      <c r="L19" s="107">
        <f t="shared" si="3"/>
        <v>432.68994963871251</v>
      </c>
      <c r="M19" s="100">
        <f t="shared" si="2"/>
        <v>9.1983407661290928E-2</v>
      </c>
      <c r="N19" s="167"/>
    </row>
    <row r="20" spans="1:14" x14ac:dyDescent="0.35">
      <c r="A20" s="134" t="s">
        <v>146</v>
      </c>
      <c r="B20" s="134" t="s">
        <v>147</v>
      </c>
      <c r="C20" s="168" t="s">
        <v>143</v>
      </c>
      <c r="D20" s="135">
        <v>4968</v>
      </c>
      <c r="E20" s="36"/>
      <c r="F20" s="134" t="s">
        <v>145</v>
      </c>
      <c r="G20" s="171">
        <v>4727000</v>
      </c>
      <c r="H20" s="100">
        <f t="shared" si="0"/>
        <v>3.5752062618997327E-2</v>
      </c>
      <c r="I20" s="170">
        <v>2052728000</v>
      </c>
      <c r="J20" s="73"/>
      <c r="K20" s="100">
        <f t="shared" si="1"/>
        <v>3.8780018167142716E-2</v>
      </c>
      <c r="L20" s="107">
        <f t="shared" si="3"/>
        <v>434.25597630632535</v>
      </c>
      <c r="M20" s="100">
        <f t="shared" si="2"/>
        <v>8.7410623250065489E-2</v>
      </c>
      <c r="N20" s="167"/>
    </row>
    <row r="21" spans="1:14" x14ac:dyDescent="0.35">
      <c r="A21" s="134" t="s">
        <v>148</v>
      </c>
      <c r="B21" s="134" t="s">
        <v>149</v>
      </c>
      <c r="C21" s="168" t="s">
        <v>145</v>
      </c>
      <c r="D21" s="135">
        <v>5108</v>
      </c>
      <c r="E21" s="36"/>
      <c r="F21" s="134" t="s">
        <v>147</v>
      </c>
      <c r="G21" s="171">
        <v>4896000</v>
      </c>
      <c r="H21" s="100">
        <f t="shared" si="0"/>
        <v>4.1870915032679701E-2</v>
      </c>
      <c r="I21" s="170">
        <v>2149686000</v>
      </c>
      <c r="J21" s="73"/>
      <c r="K21" s="100">
        <f t="shared" si="1"/>
        <v>4.7233729943762626E-2</v>
      </c>
      <c r="L21" s="107">
        <f t="shared" si="3"/>
        <v>439.06985294117646</v>
      </c>
      <c r="M21" s="100">
        <f t="shared" si="2"/>
        <v>8.5957293058178633E-2</v>
      </c>
      <c r="N21" s="167"/>
    </row>
    <row r="22" spans="1:14" x14ac:dyDescent="0.35">
      <c r="A22" s="134" t="s">
        <v>150</v>
      </c>
      <c r="B22" s="134" t="s">
        <v>151</v>
      </c>
      <c r="C22" s="168" t="s">
        <v>147</v>
      </c>
      <c r="D22" s="135">
        <v>5260</v>
      </c>
      <c r="E22" s="36"/>
      <c r="F22" s="134" t="s">
        <v>149</v>
      </c>
      <c r="G22" s="171">
        <v>5101000</v>
      </c>
      <c r="H22" s="100">
        <f t="shared" si="0"/>
        <v>7.1750637129974537E-2</v>
      </c>
      <c r="I22" s="170">
        <v>2322915000</v>
      </c>
      <c r="J22" s="73"/>
      <c r="K22" s="100">
        <f t="shared" si="1"/>
        <v>8.0583396830979037E-2</v>
      </c>
      <c r="L22" s="107">
        <f t="shared" si="3"/>
        <v>455.38423838463046</v>
      </c>
      <c r="M22" s="100">
        <f t="shared" si="2"/>
        <v>8.6574950263237735E-2</v>
      </c>
      <c r="N22" s="167"/>
    </row>
    <row r="23" spans="1:14" x14ac:dyDescent="0.35">
      <c r="A23" s="134" t="s">
        <v>152</v>
      </c>
      <c r="B23" s="134" t="s">
        <v>153</v>
      </c>
      <c r="C23" s="168" t="s">
        <v>149</v>
      </c>
      <c r="D23" s="135">
        <v>5429</v>
      </c>
      <c r="E23" s="36"/>
      <c r="F23" s="134" t="s">
        <v>151</v>
      </c>
      <c r="G23" s="171">
        <v>5467000</v>
      </c>
      <c r="H23" s="100">
        <f t="shared" si="0"/>
        <v>2.9632339491494353E-2</v>
      </c>
      <c r="I23" s="170">
        <v>2323837000</v>
      </c>
      <c r="J23" s="73"/>
      <c r="K23" s="100">
        <f t="shared" si="1"/>
        <v>3.9691508298833611E-4</v>
      </c>
      <c r="L23" s="107">
        <f t="shared" si="3"/>
        <v>425.06621547466619</v>
      </c>
      <c r="M23" s="100">
        <f t="shared" si="2"/>
        <v>7.8295490048750443E-2</v>
      </c>
      <c r="N23" s="167"/>
    </row>
    <row r="24" spans="1:14" x14ac:dyDescent="0.35">
      <c r="A24" s="134" t="s">
        <v>154</v>
      </c>
      <c r="B24" s="134" t="s">
        <v>155</v>
      </c>
      <c r="C24" s="168" t="s">
        <v>151</v>
      </c>
      <c r="D24" s="135">
        <v>5640</v>
      </c>
      <c r="E24" s="50" t="s">
        <v>156</v>
      </c>
      <c r="F24" s="134" t="s">
        <v>153</v>
      </c>
      <c r="G24" s="171">
        <v>5629000</v>
      </c>
      <c r="H24" s="100">
        <f t="shared" si="0"/>
        <v>3.1444306271096067E-2</v>
      </c>
      <c r="I24" s="170">
        <v>3107522000</v>
      </c>
      <c r="J24" s="73"/>
      <c r="K24" s="100">
        <f t="shared" si="1"/>
        <v>0.33723750848273792</v>
      </c>
      <c r="L24" s="107">
        <f t="shared" si="3"/>
        <v>552.05578255462785</v>
      </c>
      <c r="M24" s="100">
        <f t="shared" si="2"/>
        <v>9.7882230949402099E-2</v>
      </c>
      <c r="N24" s="167"/>
    </row>
    <row r="25" spans="1:14" x14ac:dyDescent="0.35">
      <c r="A25" s="134" t="s">
        <v>157</v>
      </c>
      <c r="B25" s="134" t="s">
        <v>158</v>
      </c>
      <c r="C25" s="168" t="s">
        <v>153</v>
      </c>
      <c r="D25" s="135">
        <v>5796</v>
      </c>
      <c r="E25" s="50" t="s">
        <v>94</v>
      </c>
      <c r="F25" s="134" t="s">
        <v>155</v>
      </c>
      <c r="G25" s="171">
        <v>5806000</v>
      </c>
      <c r="H25" s="100">
        <f t="shared" si="0"/>
        <v>2.9624526352049596E-2</v>
      </c>
      <c r="I25" s="170">
        <v>3801000000</v>
      </c>
      <c r="J25" s="73"/>
      <c r="K25" s="100">
        <f t="shared" si="1"/>
        <v>0.22316109105583171</v>
      </c>
      <c r="L25" s="107">
        <f t="shared" si="3"/>
        <v>654.66758525663113</v>
      </c>
      <c r="M25" s="100">
        <f t="shared" si="2"/>
        <v>0.11295161926442911</v>
      </c>
      <c r="N25" s="172"/>
    </row>
    <row r="26" spans="1:14" x14ac:dyDescent="0.35">
      <c r="A26" s="134" t="s">
        <v>159</v>
      </c>
      <c r="B26" s="134" t="s">
        <v>160</v>
      </c>
      <c r="C26" s="168" t="s">
        <v>155</v>
      </c>
      <c r="D26" s="135">
        <v>6046</v>
      </c>
      <c r="E26" s="50" t="s">
        <v>94</v>
      </c>
      <c r="F26" s="134" t="s">
        <v>158</v>
      </c>
      <c r="G26" s="171">
        <v>5978000</v>
      </c>
      <c r="H26" s="100">
        <f t="shared" si="0"/>
        <v>2.5928404148544582E-2</v>
      </c>
      <c r="I26" s="170">
        <v>4301000000</v>
      </c>
      <c r="J26" s="73"/>
      <c r="K26" s="100">
        <f t="shared" si="1"/>
        <v>0.13154433043935798</v>
      </c>
      <c r="L26" s="107">
        <f t="shared" si="3"/>
        <v>719.47139511542321</v>
      </c>
      <c r="M26" s="100">
        <f t="shared" si="2"/>
        <v>0.1189995691557101</v>
      </c>
      <c r="N26" s="167"/>
    </row>
    <row r="27" spans="1:14" x14ac:dyDescent="0.35">
      <c r="A27" s="134" t="s">
        <v>161</v>
      </c>
      <c r="B27" s="134" t="s">
        <v>162</v>
      </c>
      <c r="C27" s="134" t="s">
        <v>158</v>
      </c>
      <c r="D27" s="135">
        <v>6296</v>
      </c>
      <c r="E27" s="36"/>
      <c r="F27" s="134" t="s">
        <v>160</v>
      </c>
      <c r="G27" s="171">
        <v>6133000</v>
      </c>
      <c r="H27" s="100">
        <f t="shared" si="0"/>
        <v>2.2990379911951742E-2</v>
      </c>
      <c r="I27" s="170">
        <v>4976685000</v>
      </c>
      <c r="J27" s="170">
        <v>13000000</v>
      </c>
      <c r="K27" s="100">
        <f t="shared" si="1"/>
        <v>0.15709951174145553</v>
      </c>
      <c r="L27" s="107">
        <f t="shared" si="3"/>
        <v>809.34045328550462</v>
      </c>
      <c r="M27" s="100">
        <f t="shared" si="2"/>
        <v>0.12854835662095054</v>
      </c>
      <c r="N27" s="167"/>
    </row>
    <row r="28" spans="1:14" x14ac:dyDescent="0.35">
      <c r="A28" s="134" t="s">
        <v>163</v>
      </c>
      <c r="B28" s="134" t="s">
        <v>164</v>
      </c>
      <c r="C28" s="134" t="s">
        <v>160</v>
      </c>
      <c r="D28" s="135">
        <v>6631</v>
      </c>
      <c r="E28" s="36"/>
      <c r="F28" s="134" t="s">
        <v>162</v>
      </c>
      <c r="G28" s="171">
        <v>6274000</v>
      </c>
      <c r="H28" s="100">
        <f t="shared" si="0"/>
        <v>1.7054510678992774E-2</v>
      </c>
      <c r="I28" s="170">
        <v>6323685000</v>
      </c>
      <c r="J28" s="170">
        <v>16000000</v>
      </c>
      <c r="K28" s="100">
        <f t="shared" si="1"/>
        <v>0.27066209735998958</v>
      </c>
      <c r="L28" s="107">
        <f t="shared" si="3"/>
        <v>1005.3689831048773</v>
      </c>
      <c r="M28" s="100">
        <f t="shared" si="2"/>
        <v>0.15161649571782196</v>
      </c>
      <c r="N28" s="167"/>
    </row>
    <row r="29" spans="1:14" x14ac:dyDescent="0.35">
      <c r="A29" s="134" t="s">
        <v>165</v>
      </c>
      <c r="B29" s="134" t="s">
        <v>166</v>
      </c>
      <c r="C29" s="134" t="s">
        <v>162</v>
      </c>
      <c r="D29" s="135">
        <v>7006</v>
      </c>
      <c r="E29" s="36"/>
      <c r="F29" s="134" t="s">
        <v>164</v>
      </c>
      <c r="G29" s="171">
        <v>6381000</v>
      </c>
      <c r="H29" s="100">
        <f t="shared" si="0"/>
        <v>1.5984955336154183E-2</v>
      </c>
      <c r="I29" s="170">
        <v>7512533000</v>
      </c>
      <c r="J29" s="170">
        <v>16000000</v>
      </c>
      <c r="K29" s="100">
        <f t="shared" si="1"/>
        <v>0.18799924411162161</v>
      </c>
      <c r="L29" s="107">
        <f t="shared" si="3"/>
        <v>1174.8210311863345</v>
      </c>
      <c r="M29" s="100">
        <f t="shared" si="2"/>
        <v>0.16768784344652218</v>
      </c>
      <c r="N29" s="172"/>
    </row>
    <row r="30" spans="1:14" x14ac:dyDescent="0.35">
      <c r="A30" s="134" t="s">
        <v>167</v>
      </c>
      <c r="B30" s="134" t="s">
        <v>168</v>
      </c>
      <c r="C30" s="134" t="s">
        <v>164</v>
      </c>
      <c r="D30" s="135">
        <v>7499</v>
      </c>
      <c r="E30" s="36"/>
      <c r="F30" s="134" t="s">
        <v>166</v>
      </c>
      <c r="G30" s="171">
        <v>6483000</v>
      </c>
      <c r="H30" s="100">
        <f t="shared" si="0"/>
        <v>1.9743945704149279E-2</v>
      </c>
      <c r="I30" s="164">
        <v>8858398000</v>
      </c>
      <c r="J30" s="164">
        <v>16000000</v>
      </c>
      <c r="K30" s="100">
        <f t="shared" si="1"/>
        <v>0.1791492962493475</v>
      </c>
      <c r="L30" s="107">
        <f t="shared" si="3"/>
        <v>1363.9361406756132</v>
      </c>
      <c r="M30" s="100">
        <f t="shared" si="2"/>
        <v>0.18188240307715872</v>
      </c>
      <c r="N30" s="172"/>
    </row>
    <row r="31" spans="1:14" x14ac:dyDescent="0.35">
      <c r="A31" s="134" t="s">
        <v>169</v>
      </c>
      <c r="B31" s="134" t="s">
        <v>170</v>
      </c>
      <c r="C31" s="134" t="s">
        <v>166</v>
      </c>
      <c r="D31" s="135">
        <v>7839</v>
      </c>
      <c r="E31" s="36"/>
      <c r="F31" s="134" t="s">
        <v>168</v>
      </c>
      <c r="G31" s="171">
        <v>6611000</v>
      </c>
      <c r="H31" s="100">
        <f t="shared" si="0"/>
        <v>1.6941461201028574E-2</v>
      </c>
      <c r="I31" s="164">
        <v>10052106000</v>
      </c>
      <c r="J31" s="164">
        <v>16000000</v>
      </c>
      <c r="K31" s="101">
        <f t="shared" si="1"/>
        <v>0.13475438787013183</v>
      </c>
      <c r="L31" s="107">
        <f t="shared" si="3"/>
        <v>1518.0919679322342</v>
      </c>
      <c r="M31" s="100">
        <f t="shared" si="2"/>
        <v>0.19365888097107209</v>
      </c>
      <c r="N31" s="172"/>
    </row>
    <row r="32" spans="1:14" x14ac:dyDescent="0.35">
      <c r="A32" s="134" t="s">
        <v>171</v>
      </c>
      <c r="B32" s="134" t="s">
        <v>172</v>
      </c>
      <c r="C32" s="134" t="s">
        <v>168</v>
      </c>
      <c r="D32" s="135">
        <v>8148</v>
      </c>
      <c r="E32" s="36"/>
      <c r="F32" s="134" t="s">
        <v>170</v>
      </c>
      <c r="G32" s="171">
        <v>6723000</v>
      </c>
      <c r="H32" s="100">
        <f t="shared" si="0"/>
        <v>1.4428082701175127E-2</v>
      </c>
      <c r="I32" s="164">
        <v>10579746000</v>
      </c>
      <c r="J32" s="164">
        <v>10000000</v>
      </c>
      <c r="K32" s="100">
        <f t="shared" si="1"/>
        <v>5.2490493036981611E-2</v>
      </c>
      <c r="L32" s="107">
        <f t="shared" si="3"/>
        <v>1572.1770043135505</v>
      </c>
      <c r="M32" s="100">
        <f t="shared" si="2"/>
        <v>0.19295250421128504</v>
      </c>
      <c r="N32" s="172"/>
    </row>
    <row r="33" spans="1:14" x14ac:dyDescent="0.35">
      <c r="A33" s="134">
        <v>2006</v>
      </c>
      <c r="B33" s="134" t="s">
        <v>173</v>
      </c>
      <c r="C33" s="134" t="s">
        <v>170</v>
      </c>
      <c r="D33" s="135">
        <v>8400</v>
      </c>
      <c r="E33" s="36"/>
      <c r="F33" s="134" t="s">
        <v>172</v>
      </c>
      <c r="G33" s="171">
        <v>6820000</v>
      </c>
      <c r="H33" s="100">
        <f t="shared" si="0"/>
        <v>-8.7976539589440517E-4</v>
      </c>
      <c r="I33" s="164">
        <v>10567961000</v>
      </c>
      <c r="J33" s="164">
        <v>15000000</v>
      </c>
      <c r="K33" s="100">
        <f t="shared" si="1"/>
        <v>-1.1139208824105795E-3</v>
      </c>
      <c r="L33" s="107">
        <f t="shared" si="3"/>
        <v>1547.3549853372433</v>
      </c>
      <c r="M33" s="116">
        <f t="shared" si="2"/>
        <v>0.18420892682586229</v>
      </c>
      <c r="N33" s="172"/>
    </row>
    <row r="34" spans="1:14" x14ac:dyDescent="0.35">
      <c r="A34" s="134">
        <v>2007</v>
      </c>
      <c r="B34" s="134" t="s">
        <v>174</v>
      </c>
      <c r="C34" s="134" t="s">
        <v>172</v>
      </c>
      <c r="D34" s="135">
        <v>8783</v>
      </c>
      <c r="E34" s="36"/>
      <c r="F34" s="134" t="s">
        <v>173</v>
      </c>
      <c r="G34" s="171">
        <v>6814000</v>
      </c>
      <c r="H34" s="100">
        <f t="shared" si="0"/>
        <v>-2.6416201937188299E-3</v>
      </c>
      <c r="I34" s="164">
        <v>10767961000</v>
      </c>
      <c r="J34" s="164">
        <v>15000000</v>
      </c>
      <c r="K34" s="100">
        <f t="shared" si="1"/>
        <v>1.8925126616194055E-2</v>
      </c>
      <c r="L34" s="107">
        <f t="shared" si="3"/>
        <v>1578.0688288817141</v>
      </c>
      <c r="M34" s="116">
        <f t="shared" si="2"/>
        <v>0.17967309904152501</v>
      </c>
      <c r="N34" s="172"/>
    </row>
    <row r="35" spans="1:14" x14ac:dyDescent="0.35">
      <c r="A35" s="134">
        <v>2008</v>
      </c>
      <c r="B35" s="134" t="s">
        <v>175</v>
      </c>
      <c r="C35" s="134" t="s">
        <v>173</v>
      </c>
      <c r="D35" s="135">
        <v>9249</v>
      </c>
      <c r="E35" s="36"/>
      <c r="F35" s="134" t="s">
        <v>174</v>
      </c>
      <c r="G35" s="171">
        <v>6796000</v>
      </c>
      <c r="H35" s="100">
        <f t="shared" si="0"/>
        <v>-1.1477339611536186E-2</v>
      </c>
      <c r="I35" s="164">
        <v>10932511000</v>
      </c>
      <c r="J35" s="164">
        <v>15000000</v>
      </c>
      <c r="K35" s="100">
        <f t="shared" si="1"/>
        <v>1.5281444648620024E-2</v>
      </c>
      <c r="L35" s="107">
        <f t="shared" si="3"/>
        <v>1606.461300765156</v>
      </c>
      <c r="M35" s="116">
        <f>(L35/D35)</f>
        <v>0.17369026930102238</v>
      </c>
      <c r="N35" s="172"/>
    </row>
    <row r="36" spans="1:14" x14ac:dyDescent="0.35">
      <c r="A36" s="134">
        <v>2009</v>
      </c>
      <c r="B36" s="134" t="s">
        <v>176</v>
      </c>
      <c r="C36" s="134" t="s">
        <v>174</v>
      </c>
      <c r="D36" s="135">
        <v>9796</v>
      </c>
      <c r="E36" s="173"/>
      <c r="F36" s="134" t="s">
        <v>175</v>
      </c>
      <c r="G36" s="171">
        <v>6718000</v>
      </c>
      <c r="H36" s="100">
        <f t="shared" si="0"/>
        <v>-1.7713605239654706E-2</v>
      </c>
      <c r="I36" s="164">
        <f>22805211000</f>
        <v>22805211000</v>
      </c>
      <c r="J36" s="164">
        <v>15000000</v>
      </c>
      <c r="K36" s="100">
        <f>(I36/I35)-1</f>
        <v>1.0859993646473347</v>
      </c>
      <c r="L36" s="107">
        <f t="shared" si="3"/>
        <v>3392.4100922893717</v>
      </c>
      <c r="M36" s="116">
        <f>(L36/D36)</f>
        <v>0.34630564437417027</v>
      </c>
      <c r="N36" s="172"/>
    </row>
    <row r="37" spans="1:14" x14ac:dyDescent="0.35">
      <c r="A37" s="134">
        <v>2010</v>
      </c>
      <c r="B37" s="134" t="s">
        <v>177</v>
      </c>
      <c r="C37" s="134" t="s">
        <v>175</v>
      </c>
      <c r="D37" s="135">
        <v>10430.94316124312</v>
      </c>
      <c r="E37" s="173"/>
      <c r="F37" s="134" t="s">
        <v>176</v>
      </c>
      <c r="G37" s="171">
        <v>6599000</v>
      </c>
      <c r="H37" s="100">
        <f t="shared" ref="H37:H43" si="4">(G38/G37)-1</f>
        <v>2.2714047582967911E-3</v>
      </c>
      <c r="I37" s="164">
        <v>11505211000</v>
      </c>
      <c r="J37" s="164">
        <v>25000000</v>
      </c>
      <c r="K37" s="100">
        <f>(I37/I36)-1</f>
        <v>-0.49550078707888301</v>
      </c>
      <c r="L37" s="107">
        <f>((I37-J37)/G37)</f>
        <v>1739.6894984088499</v>
      </c>
      <c r="M37" s="116">
        <f>(L37/D37)</f>
        <v>0.16678161039864398</v>
      </c>
      <c r="N37" s="172"/>
    </row>
    <row r="38" spans="1:14" x14ac:dyDescent="0.35">
      <c r="A38" s="134">
        <v>2011</v>
      </c>
      <c r="B38" s="134" t="s">
        <v>178</v>
      </c>
      <c r="C38" s="134" t="s">
        <v>176</v>
      </c>
      <c r="D38" s="135">
        <v>10660</v>
      </c>
      <c r="E38" s="173"/>
      <c r="F38" s="134" t="s">
        <v>177</v>
      </c>
      <c r="G38" s="171">
        <v>6613989</v>
      </c>
      <c r="H38" s="100">
        <f t="shared" si="4"/>
        <v>-8.4572260401400978E-3</v>
      </c>
      <c r="I38" s="164">
        <f>VLOOKUP(A38,'Approp Path'!A14:B14,2,FALSE)</f>
        <v>11465960974</v>
      </c>
      <c r="J38" s="164">
        <v>25000000</v>
      </c>
      <c r="K38" s="100">
        <f>(I38/I37)-1</f>
        <v>-3.4114998847044609E-3</v>
      </c>
      <c r="L38" s="107">
        <f>((I38-J38)/G38)</f>
        <v>1729.8125191922757</v>
      </c>
      <c r="M38" s="116">
        <f>(L38/D38)</f>
        <v>0.16227134326381573</v>
      </c>
      <c r="N38" s="172"/>
    </row>
    <row r="39" spans="1:14" x14ac:dyDescent="0.35">
      <c r="A39" s="134">
        <v>2012</v>
      </c>
      <c r="B39" s="134" t="s">
        <v>179</v>
      </c>
      <c r="C39" s="134" t="s">
        <v>177</v>
      </c>
      <c r="D39" s="135">
        <v>10826</v>
      </c>
      <c r="E39" s="173"/>
      <c r="F39" s="134" t="s">
        <v>178</v>
      </c>
      <c r="G39" s="171">
        <v>6558053</v>
      </c>
      <c r="H39" s="100">
        <f t="shared" si="4"/>
        <v>-2.3671659866121297E-3</v>
      </c>
      <c r="I39" s="164">
        <f>VLOOKUP(A39,'Approp Path'!A15:B15,2,FALSE)</f>
        <v>11577855236</v>
      </c>
      <c r="J39" s="164">
        <v>25000000</v>
      </c>
      <c r="K39" s="100">
        <f t="shared" si="1"/>
        <v>9.7588211100430033E-3</v>
      </c>
      <c r="L39" s="107">
        <f t="shared" si="3"/>
        <v>1761.6288303860917</v>
      </c>
      <c r="M39" s="116">
        <f>(L39/D39)</f>
        <v>0.16272204234122406</v>
      </c>
      <c r="N39" s="172"/>
    </row>
    <row r="40" spans="1:14" x14ac:dyDescent="0.35">
      <c r="A40" s="134">
        <v>2013</v>
      </c>
      <c r="B40" s="174" t="s">
        <v>180</v>
      </c>
      <c r="C40" s="126" t="s">
        <v>178</v>
      </c>
      <c r="D40" s="135">
        <f>10812</f>
        <v>10812</v>
      </c>
      <c r="E40" s="173"/>
      <c r="F40" s="126" t="s">
        <v>179</v>
      </c>
      <c r="G40" s="171">
        <f>6542529</f>
        <v>6542529</v>
      </c>
      <c r="H40" s="100">
        <f t="shared" si="4"/>
        <v>4.8063982597554844E-3</v>
      </c>
      <c r="I40" s="164">
        <f>VLOOKUP(A40,'Approp Path'!A16:B16,2,FALSE)</f>
        <v>10974865803</v>
      </c>
      <c r="J40" s="164">
        <v>23692500</v>
      </c>
      <c r="K40" s="100">
        <f t="shared" si="1"/>
        <v>-5.2081272455806293E-2</v>
      </c>
      <c r="L40" s="107">
        <f t="shared" si="3"/>
        <v>1673.844059842914</v>
      </c>
      <c r="M40" s="116">
        <f t="shared" si="2"/>
        <v>0.15481354604540457</v>
      </c>
      <c r="N40" s="172"/>
    </row>
    <row r="41" spans="1:14" x14ac:dyDescent="0.35">
      <c r="A41" s="134">
        <v>2014</v>
      </c>
      <c r="B41" s="126" t="s">
        <v>181</v>
      </c>
      <c r="C41" s="126" t="s">
        <v>179</v>
      </c>
      <c r="D41" s="135">
        <v>10772</v>
      </c>
      <c r="E41" s="173"/>
      <c r="F41" s="126" t="s">
        <v>180</v>
      </c>
      <c r="G41" s="171">
        <v>6573975</v>
      </c>
      <c r="H41" s="100">
        <f t="shared" si="4"/>
        <v>2.8879026768431348E-3</v>
      </c>
      <c r="I41" s="164">
        <f>VLOOKUP(A41,'Approp Path'!A17:B17,2,FALSE)</f>
        <v>11472848000</v>
      </c>
      <c r="J41" s="164">
        <f>15000000</f>
        <v>15000000</v>
      </c>
      <c r="K41" s="100">
        <f t="shared" si="1"/>
        <v>4.5374786893874974E-2</v>
      </c>
      <c r="L41" s="107">
        <f t="shared" si="3"/>
        <v>1742.9101875197275</v>
      </c>
      <c r="M41" s="116">
        <f t="shared" si="2"/>
        <v>0.16180005454137833</v>
      </c>
      <c r="N41" s="172"/>
    </row>
    <row r="42" spans="1:14" x14ac:dyDescent="0.35">
      <c r="A42" s="134">
        <v>2015</v>
      </c>
      <c r="B42" s="126" t="s">
        <v>182</v>
      </c>
      <c r="C42" s="126" t="s">
        <v>180</v>
      </c>
      <c r="D42" s="135">
        <v>10936</v>
      </c>
      <c r="E42" s="173"/>
      <c r="F42" s="126" t="s">
        <v>181</v>
      </c>
      <c r="G42" s="171">
        <v>6592960</v>
      </c>
      <c r="H42" s="100">
        <f t="shared" si="4"/>
        <v>1.5922741833713561E-2</v>
      </c>
      <c r="I42" s="164">
        <f>VLOOKUP(A42,'Approp Path'!A18:B18,2,FALSE)</f>
        <v>11497848000</v>
      </c>
      <c r="J42" s="164">
        <f>13000000</f>
        <v>13000000</v>
      </c>
      <c r="K42" s="100">
        <f t="shared" si="1"/>
        <v>2.1790578939073768E-3</v>
      </c>
      <c r="L42" s="107">
        <f t="shared" si="3"/>
        <v>1741.986603892637</v>
      </c>
      <c r="M42" s="116">
        <f t="shared" si="2"/>
        <v>0.15928919201651764</v>
      </c>
      <c r="N42" s="172"/>
    </row>
    <row r="43" spans="1:14" ht="13.15" thickBot="1" x14ac:dyDescent="0.4">
      <c r="A43" s="134">
        <v>2016</v>
      </c>
      <c r="B43" s="126" t="s">
        <v>183</v>
      </c>
      <c r="C43" s="126" t="s">
        <v>181</v>
      </c>
      <c r="D43" s="135">
        <v>11271</v>
      </c>
      <c r="E43" s="173"/>
      <c r="F43" s="126" t="s">
        <v>182</v>
      </c>
      <c r="G43" s="171">
        <v>6697938</v>
      </c>
      <c r="H43" s="100">
        <f t="shared" si="4"/>
        <v>1.7389232327919446E-2</v>
      </c>
      <c r="I43" s="175">
        <f>'APPE Public &amp; CJ'!I44</f>
        <v>11912848000</v>
      </c>
      <c r="J43" s="175">
        <f>'APPE Public &amp; CJ'!J44</f>
        <v>20000000</v>
      </c>
      <c r="K43" s="102">
        <f t="shared" si="1"/>
        <v>3.6093710753525299E-2</v>
      </c>
      <c r="L43" s="108">
        <f t="shared" si="3"/>
        <v>1775.5984005823882</v>
      </c>
      <c r="M43" s="117">
        <f t="shared" si="2"/>
        <v>0.15753690006054372</v>
      </c>
      <c r="N43" s="172"/>
    </row>
    <row r="44" spans="1:14" ht="13.15" thickBot="1" x14ac:dyDescent="0.4">
      <c r="A44" s="134">
        <v>2017</v>
      </c>
      <c r="B44" s="126" t="s">
        <v>184</v>
      </c>
      <c r="C44" s="126" t="s">
        <v>182</v>
      </c>
      <c r="D44" s="129">
        <v>11681</v>
      </c>
      <c r="E44" s="176">
        <f t="shared" ref="E44:E54" si="5">VLOOKUP("FY Inflation",FY_Inflation,MATCH(A42,FY_Inflation_year_row,0),0)</f>
        <v>1.7057443573555535E-3</v>
      </c>
      <c r="F44" s="126" t="s">
        <v>183</v>
      </c>
      <c r="G44" s="171">
        <v>6814410</v>
      </c>
      <c r="H44" s="100">
        <v>0</v>
      </c>
      <c r="I44" s="175">
        <f>'APPE Public &amp; CJ'!I45</f>
        <v>12002848000</v>
      </c>
      <c r="J44" s="175">
        <f>'APPE Public &amp; CJ'!J45</f>
        <v>21400000</v>
      </c>
      <c r="K44" s="100">
        <f t="shared" si="1"/>
        <v>7.5548684915647257E-3</v>
      </c>
      <c r="L44" s="107">
        <f t="shared" si="3"/>
        <v>1758.2517048431191</v>
      </c>
      <c r="M44" s="116">
        <f t="shared" si="2"/>
        <v>0.15052236151383608</v>
      </c>
      <c r="N44" s="172"/>
    </row>
    <row r="45" spans="1:14" ht="13.15" thickBot="1" x14ac:dyDescent="0.4">
      <c r="A45" s="134">
        <v>2018</v>
      </c>
      <c r="B45" s="126" t="s">
        <v>185</v>
      </c>
      <c r="C45" s="126" t="s">
        <v>183</v>
      </c>
      <c r="D45" s="135">
        <f>'APPE Public &amp; CJ'!D45</f>
        <v>12070</v>
      </c>
      <c r="E45" s="177">
        <f t="shared" si="5"/>
        <v>1.6359875209176075E-2</v>
      </c>
      <c r="F45" s="178" t="s">
        <v>184</v>
      </c>
      <c r="G45" s="179">
        <f>'APPE Public &amp; CJ'!G45</f>
        <v>6808063</v>
      </c>
      <c r="H45" s="100">
        <v>0</v>
      </c>
      <c r="I45" s="175">
        <f>'APPE Public &amp; CJ'!I46</f>
        <v>12277848000</v>
      </c>
      <c r="J45" s="175">
        <f>'APPE Public &amp; CJ'!J46</f>
        <v>21000000</v>
      </c>
      <c r="K45" s="100">
        <f t="shared" si="1"/>
        <v>2.291122906830112E-2</v>
      </c>
      <c r="L45" s="107">
        <f t="shared" si="3"/>
        <v>1800.3429169207159</v>
      </c>
      <c r="M45" s="100">
        <f t="shared" si="2"/>
        <v>0.14915848524612393</v>
      </c>
      <c r="N45" s="172"/>
    </row>
    <row r="46" spans="1:14" ht="13.15" thickBot="1" x14ac:dyDescent="0.4">
      <c r="A46" s="134">
        <v>2019</v>
      </c>
      <c r="B46" s="126" t="s">
        <v>186</v>
      </c>
      <c r="C46" s="126" t="s">
        <v>184</v>
      </c>
      <c r="D46" s="135">
        <f>'APPE Public &amp; CJ'!D46</f>
        <v>12537</v>
      </c>
      <c r="E46" s="177">
        <f t="shared" si="5"/>
        <v>2.041128701976179E-2</v>
      </c>
      <c r="F46" s="126" t="s">
        <v>185</v>
      </c>
      <c r="G46" s="179">
        <f>'APPE Public &amp; CJ'!G46</f>
        <v>6904232</v>
      </c>
      <c r="H46" s="100">
        <v>0</v>
      </c>
      <c r="I46" s="175">
        <f>'APPE Public &amp; CJ'!I47</f>
        <v>12364392000</v>
      </c>
      <c r="J46" s="175">
        <f>'APPE Public &amp; CJ'!J47</f>
        <v>20000000</v>
      </c>
      <c r="K46" s="100">
        <f t="shared" si="1"/>
        <v>7.0487922639210776E-3</v>
      </c>
      <c r="L46" s="107">
        <f t="shared" si="3"/>
        <v>1787.9457121371356</v>
      </c>
      <c r="M46" s="100">
        <f t="shared" si="2"/>
        <v>0.14261352094896193</v>
      </c>
      <c r="N46" s="36"/>
    </row>
    <row r="47" spans="1:14" ht="13.15" thickBot="1" x14ac:dyDescent="0.4">
      <c r="A47" s="134">
        <v>2020</v>
      </c>
      <c r="B47" s="126" t="s">
        <v>187</v>
      </c>
      <c r="C47" s="134" t="s">
        <v>185</v>
      </c>
      <c r="D47" s="135">
        <f>'APPE Public &amp; CJ'!D47</f>
        <v>12987</v>
      </c>
      <c r="E47" s="177">
        <f t="shared" si="5"/>
        <v>2.5224699286070386E-2</v>
      </c>
      <c r="F47" s="134" t="s">
        <v>186</v>
      </c>
      <c r="G47" s="179">
        <f>'APPE Public &amp; CJ'!G47</f>
        <v>7130238</v>
      </c>
      <c r="H47" s="100">
        <v>0</v>
      </c>
      <c r="I47" s="175">
        <f>'APPE Public &amp; CJ'!I48</f>
        <v>12764392000</v>
      </c>
      <c r="J47" s="175">
        <f>'APPE Public &amp; CJ'!J48</f>
        <v>10000000</v>
      </c>
      <c r="K47" s="100">
        <f t="shared" si="1"/>
        <v>3.2350963961673251E-2</v>
      </c>
      <c r="L47" s="107">
        <f t="shared" si="3"/>
        <v>1788.7750731462261</v>
      </c>
      <c r="M47" s="100">
        <f>(L47/D47)</f>
        <v>0.13773581836807777</v>
      </c>
      <c r="N47" s="36"/>
    </row>
    <row r="48" spans="1:14" ht="13.15" thickBot="1" x14ac:dyDescent="0.4">
      <c r="A48" s="134">
        <v>2021</v>
      </c>
      <c r="B48" s="126" t="s">
        <v>188</v>
      </c>
      <c r="C48" s="134" t="s">
        <v>186</v>
      </c>
      <c r="D48" s="135">
        <f>'APPE Public &amp; CJ'!D48</f>
        <v>13588</v>
      </c>
      <c r="E48" s="177">
        <f t="shared" si="5"/>
        <v>1.7640429444213825E-2</v>
      </c>
      <c r="F48" s="134" t="s">
        <v>187</v>
      </c>
      <c r="G48" s="179">
        <f>'APPE Public &amp; CJ'!G48</f>
        <v>7278380</v>
      </c>
      <c r="H48" s="100">
        <v>0</v>
      </c>
      <c r="I48" s="175">
        <f>'APPE Public &amp; CJ'!I49</f>
        <v>15517457000</v>
      </c>
      <c r="J48" s="175">
        <f>'APPE Public &amp; CJ'!J49</f>
        <v>25000000</v>
      </c>
      <c r="K48" s="100">
        <f t="shared" si="1"/>
        <v>0.21568320684604481</v>
      </c>
      <c r="L48" s="107">
        <f t="shared" si="3"/>
        <v>2128.5584154715748</v>
      </c>
      <c r="M48" s="100">
        <f>(L48/D48)</f>
        <v>0.15664986866879413</v>
      </c>
      <c r="N48" s="36"/>
    </row>
    <row r="49" spans="1:13" ht="13.15" thickBot="1" x14ac:dyDescent="0.4">
      <c r="A49" s="134">
        <v>2022</v>
      </c>
      <c r="B49" s="126" t="s">
        <v>189</v>
      </c>
      <c r="C49" s="134" t="s">
        <v>187</v>
      </c>
      <c r="D49" s="135">
        <f>'APPE Public &amp; CJ'!D49</f>
        <v>13895</v>
      </c>
      <c r="E49" s="177">
        <f t="shared" si="5"/>
        <v>1.1820661677274849E-2</v>
      </c>
      <c r="F49" s="134" t="s">
        <v>188</v>
      </c>
      <c r="G49" s="179">
        <f>'APPE Public &amp; CJ'!G49</f>
        <v>7214401</v>
      </c>
      <c r="H49" s="100">
        <v>1</v>
      </c>
      <c r="I49" s="175">
        <f>'APPE Public &amp; CJ'!I50</f>
        <v>13343704000</v>
      </c>
      <c r="J49" s="175">
        <f>'APPE Public &amp; CJ'!J50</f>
        <v>20000000</v>
      </c>
      <c r="K49" s="100">
        <f t="shared" ref="K49:K54" si="6">(I49/I48)-1</f>
        <v>-0.14008435789446683</v>
      </c>
      <c r="L49" s="107">
        <f t="shared" ref="L49:L54" si="7">((I49-J49)/G49)</f>
        <v>1846.820546847895</v>
      </c>
      <c r="M49" s="100">
        <f t="shared" ref="M49:M54" si="8">(L49/D49)</f>
        <v>0.13291259783000323</v>
      </c>
    </row>
    <row r="50" spans="1:13" ht="13.15" thickBot="1" x14ac:dyDescent="0.4">
      <c r="A50" s="134">
        <v>2023</v>
      </c>
      <c r="B50" s="126" t="s">
        <v>190</v>
      </c>
      <c r="C50" s="134" t="s">
        <v>188</v>
      </c>
      <c r="D50" s="135">
        <f>'APPE Public &amp; CJ'!D50</f>
        <v>13902.907597209101</v>
      </c>
      <c r="E50" s="177">
        <f t="shared" si="5"/>
        <v>6.2218689033288872E-2</v>
      </c>
      <c r="F50" s="134" t="s">
        <v>189</v>
      </c>
      <c r="G50" s="179">
        <f>'APPE Public &amp; CJ'!G50</f>
        <v>7352816</v>
      </c>
      <c r="H50" s="100">
        <v>2</v>
      </c>
      <c r="I50" s="175">
        <f>'APPE Public &amp; CJ'!I51</f>
        <v>14193704000</v>
      </c>
      <c r="J50" s="175">
        <f>'APPE Public &amp; CJ'!J51</f>
        <v>20000000</v>
      </c>
      <c r="K50" s="100">
        <f t="shared" si="6"/>
        <v>6.3700453787044475E-2</v>
      </c>
      <c r="L50" s="107">
        <f t="shared" si="7"/>
        <v>1927.6565604252846</v>
      </c>
      <c r="M50" s="100">
        <f t="shared" si="8"/>
        <v>0.13865132505176445</v>
      </c>
    </row>
    <row r="51" spans="1:13" ht="13.15" thickBot="1" x14ac:dyDescent="0.4">
      <c r="A51" s="134">
        <v>2024</v>
      </c>
      <c r="B51" s="126" t="s">
        <v>191</v>
      </c>
      <c r="C51" s="134" t="s">
        <v>189</v>
      </c>
      <c r="D51" s="135">
        <f>'APPE Public &amp; CJ'!D51</f>
        <v>14889.689472898197</v>
      </c>
      <c r="E51" s="177">
        <f t="shared" si="5"/>
        <v>7.7454273308049132E-2</v>
      </c>
      <c r="F51" s="134" t="s">
        <v>190</v>
      </c>
      <c r="G51" s="179">
        <f>'APPE Public &amp; CJ'!G51</f>
        <v>7630445</v>
      </c>
      <c r="H51" s="100">
        <v>3</v>
      </c>
      <c r="I51" s="175">
        <f>'APPE Public &amp; CJ'!I52</f>
        <v>14213704000</v>
      </c>
      <c r="J51" s="175">
        <f>'APPE Public &amp; CJ'!J52</f>
        <v>27500000</v>
      </c>
      <c r="K51" s="100">
        <f t="shared" si="6"/>
        <v>1.4090754604998423E-3</v>
      </c>
      <c r="L51" s="107">
        <f t="shared" si="7"/>
        <v>1859.1581487056128</v>
      </c>
      <c r="M51" s="100">
        <f t="shared" si="8"/>
        <v>0.1248621169762876</v>
      </c>
    </row>
    <row r="52" spans="1:13" ht="13.15" thickBot="1" x14ac:dyDescent="0.4">
      <c r="A52" s="134">
        <v>2025</v>
      </c>
      <c r="B52" s="126" t="s">
        <v>192</v>
      </c>
      <c r="C52" s="134" t="s">
        <v>190</v>
      </c>
      <c r="D52" s="135">
        <f>'APPE Public &amp; CJ'!D52</f>
        <v>16523.681519013742</v>
      </c>
      <c r="E52" s="177">
        <f t="shared" si="5"/>
        <v>3.2411446518932095E-2</v>
      </c>
      <c r="F52" s="134" t="s">
        <v>191</v>
      </c>
      <c r="G52" s="179">
        <f>'APPE Public &amp; CJ'!G52</f>
        <v>7752923</v>
      </c>
      <c r="H52" s="100">
        <v>4</v>
      </c>
      <c r="I52" s="175">
        <f>'APPE Public &amp; CJ'!I53</f>
        <v>14213703999.999996</v>
      </c>
      <c r="J52" s="175">
        <f>'APPE Public &amp; CJ'!J53</f>
        <v>27500000</v>
      </c>
      <c r="K52" s="100">
        <f t="shared" si="6"/>
        <v>0</v>
      </c>
      <c r="L52" s="107">
        <f t="shared" si="7"/>
        <v>1829.7878103523014</v>
      </c>
      <c r="M52" s="100">
        <f t="shared" si="8"/>
        <v>0.11073729593775886</v>
      </c>
    </row>
    <row r="53" spans="1:13" ht="13.15" thickBot="1" x14ac:dyDescent="0.4">
      <c r="A53" s="134">
        <v>2026</v>
      </c>
      <c r="B53" s="126" t="s">
        <v>193</v>
      </c>
      <c r="C53" s="134" t="s">
        <v>191</v>
      </c>
      <c r="D53" s="135">
        <f>'APPE Public &amp; CJ'!D53</f>
        <v>17441.99367233762</v>
      </c>
      <c r="E53" s="177">
        <f t="shared" si="5"/>
        <v>2.5979049049146639E-2</v>
      </c>
      <c r="F53" s="134" t="s">
        <v>192</v>
      </c>
      <c r="G53" s="179">
        <f>'APPE Public &amp; CJ'!G53</f>
        <v>7941565</v>
      </c>
      <c r="H53" s="100">
        <v>5</v>
      </c>
      <c r="I53" s="175">
        <f>'APPE Public &amp; CJ'!I54</f>
        <v>14341248697</v>
      </c>
      <c r="J53" s="175">
        <f>'APPE Public &amp; CJ'!J54</f>
        <v>27500000</v>
      </c>
      <c r="K53" s="100">
        <f t="shared" si="6"/>
        <v>8.9733609902109546E-3</v>
      </c>
      <c r="L53" s="107">
        <f t="shared" si="7"/>
        <v>1802.3838748407902</v>
      </c>
      <c r="M53" s="100">
        <f t="shared" si="8"/>
        <v>0.10333588629259205</v>
      </c>
    </row>
    <row r="54" spans="1:13" ht="13.15" thickBot="1" x14ac:dyDescent="0.4">
      <c r="A54" s="134">
        <v>2027</v>
      </c>
      <c r="B54" s="126" t="s">
        <v>194</v>
      </c>
      <c r="C54" s="134" t="s">
        <v>192</v>
      </c>
      <c r="D54" s="135">
        <f>'APPE Public &amp; CJ'!D54</f>
        <v>17895.120081466186</v>
      </c>
      <c r="E54" s="177">
        <f t="shared" si="5"/>
        <v>2.6949541284403685E-2</v>
      </c>
      <c r="F54" s="134" t="s">
        <v>193</v>
      </c>
      <c r="G54" s="179">
        <f>'APPE Public &amp; CJ'!G54</f>
        <v>8148419</v>
      </c>
      <c r="H54" s="100">
        <v>6</v>
      </c>
      <c r="I54" s="175">
        <f>'APPE Public &amp; CJ'!I55</f>
        <v>15400819000</v>
      </c>
      <c r="J54" s="99">
        <f>J53</f>
        <v>27500000</v>
      </c>
      <c r="K54" s="100">
        <f t="shared" si="6"/>
        <v>7.3882708917923479E-2</v>
      </c>
      <c r="L54" s="107">
        <f t="shared" si="7"/>
        <v>1886.6627992497686</v>
      </c>
      <c r="M54" s="100">
        <f t="shared" si="8"/>
        <v>0.10542889852992762</v>
      </c>
    </row>
    <row r="55" spans="1:13" x14ac:dyDescent="0.35">
      <c r="A55" s="36"/>
      <c r="B55" s="36"/>
      <c r="C55" s="36"/>
      <c r="D55" s="36"/>
      <c r="E55" s="36"/>
      <c r="F55" s="36"/>
      <c r="G55" s="180"/>
      <c r="H55" s="36"/>
      <c r="I55" s="165"/>
      <c r="J55" s="165"/>
      <c r="K55" s="167"/>
      <c r="L55" s="181"/>
      <c r="M55" s="167"/>
    </row>
    <row r="57" spans="1:13" x14ac:dyDescent="0.35">
      <c r="A57" s="36" t="s">
        <v>195</v>
      </c>
      <c r="B57" s="36"/>
      <c r="C57" s="36"/>
      <c r="D57" s="36"/>
      <c r="E57" s="36"/>
      <c r="F57" s="36"/>
      <c r="G57" s="36"/>
      <c r="H57" s="36"/>
      <c r="I57" s="36"/>
      <c r="J57" s="36"/>
      <c r="K57" s="36"/>
      <c r="L57" s="36"/>
      <c r="M57" s="36"/>
    </row>
    <row r="58" spans="1:13" x14ac:dyDescent="0.35">
      <c r="A58" s="36" t="s">
        <v>196</v>
      </c>
      <c r="B58" s="36"/>
      <c r="C58" s="36"/>
      <c r="D58" s="36"/>
      <c r="E58" s="36"/>
      <c r="F58" s="36"/>
      <c r="G58" s="36"/>
      <c r="H58" s="36"/>
      <c r="I58" s="36"/>
      <c r="J58" s="36"/>
      <c r="K58" s="36"/>
      <c r="L58" s="36"/>
      <c r="M58" s="36"/>
    </row>
    <row r="60" spans="1:13" x14ac:dyDescent="0.35">
      <c r="A60" s="36" t="s">
        <v>197</v>
      </c>
      <c r="B60" s="36"/>
      <c r="C60" s="36"/>
      <c r="D60" s="36"/>
      <c r="E60" s="36"/>
      <c r="F60" s="36"/>
      <c r="G60" s="36"/>
      <c r="H60" s="36"/>
      <c r="I60" s="36"/>
      <c r="J60" s="36"/>
      <c r="K60" s="36"/>
      <c r="L60" s="36"/>
      <c r="M60" s="36"/>
    </row>
    <row r="61" spans="1:13" ht="52.5" customHeight="1" x14ac:dyDescent="0.35">
      <c r="A61" s="288"/>
      <c r="B61" s="288"/>
      <c r="C61" s="288"/>
      <c r="D61" s="288"/>
      <c r="E61" s="288"/>
      <c r="F61" s="288"/>
      <c r="G61" s="288"/>
      <c r="H61" s="288"/>
      <c r="I61" s="288"/>
      <c r="J61" s="288"/>
      <c r="K61" s="288"/>
      <c r="L61" s="36"/>
      <c r="M61" s="36"/>
    </row>
  </sheetData>
  <mergeCells count="1">
    <mergeCell ref="A61:K61"/>
  </mergeCells>
  <phoneticPr fontId="0" type="noConversion"/>
  <pageMargins left="0.75" right="0.75" top="1" bottom="1" header="0.5" footer="0.5"/>
  <pageSetup scale="72" orientation="landscape" r:id="rId1"/>
  <headerFooter alignWithMargins="0"/>
  <rowBreaks count="1" manualBreakCount="1">
    <brk id="54"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N57"/>
  <sheetViews>
    <sheetView view="pageBreakPreview" zoomScale="85" zoomScaleNormal="100" zoomScaleSheetLayoutView="85" workbookViewId="0">
      <selection activeCell="A53" sqref="A53:XFD53"/>
    </sheetView>
  </sheetViews>
  <sheetFormatPr defaultRowHeight="12.75" x14ac:dyDescent="0.35"/>
  <cols>
    <col min="1" max="1" width="18.73046875" bestFit="1" customWidth="1"/>
    <col min="2" max="2" width="10.265625" bestFit="1" customWidth="1"/>
    <col min="3" max="3" width="10.265625" customWidth="1"/>
    <col min="4" max="4" width="9.265625" bestFit="1" customWidth="1"/>
    <col min="5" max="5" width="8" customWidth="1"/>
    <col min="6" max="6" width="16.3984375" bestFit="1" customWidth="1"/>
    <col min="7" max="7" width="14.1328125" customWidth="1"/>
    <col min="8" max="8" width="15.265625" bestFit="1" customWidth="1"/>
    <col min="9" max="9" width="17" bestFit="1" customWidth="1"/>
    <col min="10" max="10" width="13.3984375" bestFit="1" customWidth="1"/>
    <col min="11" max="11" width="17" bestFit="1" customWidth="1"/>
    <col min="12" max="12" width="13.59765625" customWidth="1"/>
    <col min="13" max="13" width="9.265625" bestFit="1" customWidth="1"/>
  </cols>
  <sheetData>
    <row r="1" spans="1:13" ht="13.15" x14ac:dyDescent="0.4">
      <c r="A1" s="47" t="s">
        <v>99</v>
      </c>
      <c r="B1" s="161">
        <v>42032</v>
      </c>
      <c r="C1" s="36"/>
      <c r="D1" s="36"/>
      <c r="E1" s="17"/>
      <c r="F1" s="36"/>
      <c r="G1" s="36"/>
      <c r="H1" s="36"/>
      <c r="I1" s="36"/>
      <c r="J1" s="36"/>
      <c r="K1" s="36"/>
      <c r="L1" s="36"/>
      <c r="M1" s="36"/>
    </row>
    <row r="2" spans="1:13" ht="13.5" thickBot="1" x14ac:dyDescent="0.45">
      <c r="A2" s="48" t="s">
        <v>100</v>
      </c>
      <c r="B2" s="162"/>
      <c r="C2" s="36"/>
      <c r="D2" s="36"/>
      <c r="E2" s="36"/>
      <c r="F2" s="36"/>
      <c r="G2" s="36"/>
      <c r="H2" s="17" t="s">
        <v>94</v>
      </c>
      <c r="I2" s="36"/>
      <c r="J2" s="36"/>
      <c r="K2" s="36"/>
      <c r="L2" s="36"/>
      <c r="M2" s="36"/>
    </row>
    <row r="3" spans="1:13" ht="38.65" thickBot="1" x14ac:dyDescent="0.4">
      <c r="A3" s="83" t="s">
        <v>96</v>
      </c>
      <c r="B3" s="83" t="s">
        <v>101</v>
      </c>
      <c r="C3" s="83" t="s">
        <v>102</v>
      </c>
      <c r="D3" s="83" t="s">
        <v>103</v>
      </c>
      <c r="E3" s="83" t="s">
        <v>104</v>
      </c>
      <c r="F3" s="83" t="s">
        <v>105</v>
      </c>
      <c r="G3" s="83" t="s">
        <v>106</v>
      </c>
      <c r="H3" s="83" t="s">
        <v>107</v>
      </c>
      <c r="I3" s="83" t="s">
        <v>108</v>
      </c>
      <c r="J3" s="83" t="s">
        <v>109</v>
      </c>
      <c r="K3" s="83" t="s">
        <v>110</v>
      </c>
      <c r="L3" s="83" t="s">
        <v>111</v>
      </c>
      <c r="M3" s="83" t="s">
        <v>112</v>
      </c>
    </row>
    <row r="4" spans="1:13" x14ac:dyDescent="0.35">
      <c r="A4" s="134"/>
      <c r="B4" s="163"/>
      <c r="C4" s="163"/>
      <c r="D4" s="163"/>
      <c r="E4" s="163"/>
      <c r="F4" s="163"/>
      <c r="G4" s="163"/>
      <c r="H4" s="163"/>
      <c r="I4" s="165"/>
      <c r="J4" s="165"/>
      <c r="K4" s="36"/>
      <c r="L4" s="166"/>
      <c r="M4" s="167"/>
    </row>
    <row r="5" spans="1:13" x14ac:dyDescent="0.35">
      <c r="A5" s="134" t="s">
        <v>113</v>
      </c>
      <c r="B5" s="134" t="s">
        <v>115</v>
      </c>
      <c r="C5" s="168" t="s">
        <v>116</v>
      </c>
      <c r="D5" s="135">
        <v>1430</v>
      </c>
      <c r="E5" s="36"/>
      <c r="F5" s="134" t="s">
        <v>117</v>
      </c>
      <c r="G5" s="169">
        <v>3485000</v>
      </c>
      <c r="H5" s="100">
        <f t="shared" ref="H5:H57" si="0">(G6/G5)-1</f>
        <v>2.1807747489239526E-2</v>
      </c>
      <c r="I5" s="164">
        <v>251770000</v>
      </c>
      <c r="J5" s="165"/>
      <c r="K5" s="167"/>
      <c r="L5" s="103">
        <f>((I5-J5)/G5)</f>
        <v>72.243902439024396</v>
      </c>
      <c r="M5" s="100">
        <f t="shared" ref="M5:M48" si="1">(L5/D5)</f>
        <v>5.0520211495821254E-2</v>
      </c>
    </row>
    <row r="6" spans="1:13" x14ac:dyDescent="0.35">
      <c r="A6" s="134" t="s">
        <v>114</v>
      </c>
      <c r="B6" s="134" t="s">
        <v>119</v>
      </c>
      <c r="C6" s="168" t="s">
        <v>117</v>
      </c>
      <c r="D6" s="135">
        <v>1560</v>
      </c>
      <c r="E6" s="36"/>
      <c r="F6" s="134" t="s">
        <v>115</v>
      </c>
      <c r="G6" s="171">
        <v>3561000</v>
      </c>
      <c r="H6" s="100">
        <f t="shared" si="0"/>
        <v>3.9033979219320392E-2</v>
      </c>
      <c r="I6" s="170">
        <v>566030000</v>
      </c>
      <c r="J6" s="73"/>
      <c r="K6" s="100">
        <f t="shared" ref="K6:K48" si="2">(I6/I5)-1</f>
        <v>1.2482027247090599</v>
      </c>
      <c r="L6" s="103">
        <f t="shared" ref="L6:L48" si="3">((I6-J6)/G6)</f>
        <v>158.95254142094916</v>
      </c>
      <c r="M6" s="100">
        <f t="shared" si="1"/>
        <v>0.1018926547570187</v>
      </c>
    </row>
    <row r="7" spans="1:13" x14ac:dyDescent="0.35">
      <c r="A7" s="134" t="s">
        <v>118</v>
      </c>
      <c r="B7" s="134" t="s">
        <v>121</v>
      </c>
      <c r="C7" s="168" t="s">
        <v>115</v>
      </c>
      <c r="D7" s="135">
        <v>1736</v>
      </c>
      <c r="E7" s="36"/>
      <c r="F7" s="134" t="s">
        <v>119</v>
      </c>
      <c r="G7" s="171">
        <v>3700000</v>
      </c>
      <c r="H7" s="100">
        <f t="shared" si="0"/>
        <v>2.7837837837837887E-2</v>
      </c>
      <c r="I7" s="170">
        <v>804000000</v>
      </c>
      <c r="J7" s="73"/>
      <c r="K7" s="100">
        <f t="shared" si="2"/>
        <v>0.42041941239863601</v>
      </c>
      <c r="L7" s="103">
        <f t="shared" si="3"/>
        <v>217.29729729729729</v>
      </c>
      <c r="M7" s="100">
        <f t="shared" si="1"/>
        <v>0.12517125420351227</v>
      </c>
    </row>
    <row r="8" spans="1:13" x14ac:dyDescent="0.35">
      <c r="A8" s="134" t="s">
        <v>120</v>
      </c>
      <c r="B8" s="134" t="s">
        <v>123</v>
      </c>
      <c r="C8" s="168" t="s">
        <v>119</v>
      </c>
      <c r="D8" s="135">
        <v>1919</v>
      </c>
      <c r="E8" s="36"/>
      <c r="F8" s="134" t="s">
        <v>121</v>
      </c>
      <c r="G8" s="171">
        <v>3803000</v>
      </c>
      <c r="H8" s="100">
        <f t="shared" si="0"/>
        <v>3.6287141730213079E-2</v>
      </c>
      <c r="I8" s="170">
        <v>874500000</v>
      </c>
      <c r="J8" s="73"/>
      <c r="K8" s="100">
        <f t="shared" si="2"/>
        <v>8.7686567164179108E-2</v>
      </c>
      <c r="L8" s="103">
        <f t="shared" si="3"/>
        <v>229.95003944254535</v>
      </c>
      <c r="M8" s="100">
        <f t="shared" si="1"/>
        <v>0.11982805598881988</v>
      </c>
    </row>
    <row r="9" spans="1:13" x14ac:dyDescent="0.35">
      <c r="A9" s="134" t="s">
        <v>122</v>
      </c>
      <c r="B9" s="134" t="s">
        <v>125</v>
      </c>
      <c r="C9" s="168" t="s">
        <v>121</v>
      </c>
      <c r="D9" s="135">
        <v>2168</v>
      </c>
      <c r="E9" s="36"/>
      <c r="F9" s="134" t="s">
        <v>123</v>
      </c>
      <c r="G9" s="171">
        <v>3941000</v>
      </c>
      <c r="H9" s="100">
        <f t="shared" si="0"/>
        <v>1.243339253996445E-2</v>
      </c>
      <c r="I9" s="170">
        <v>874500000</v>
      </c>
      <c r="J9" s="73"/>
      <c r="K9" s="100">
        <f t="shared" si="2"/>
        <v>0</v>
      </c>
      <c r="L9" s="103">
        <f t="shared" si="3"/>
        <v>221.89799543263132</v>
      </c>
      <c r="M9" s="100">
        <f t="shared" si="1"/>
        <v>0.10235147390804028</v>
      </c>
    </row>
    <row r="10" spans="1:13" x14ac:dyDescent="0.35">
      <c r="A10" s="134" t="s">
        <v>124</v>
      </c>
      <c r="B10" s="134" t="s">
        <v>127</v>
      </c>
      <c r="C10" s="168" t="s">
        <v>123</v>
      </c>
      <c r="D10" s="135">
        <v>2354</v>
      </c>
      <c r="E10" s="36"/>
      <c r="F10" s="134" t="s">
        <v>125</v>
      </c>
      <c r="G10" s="171">
        <v>3990000</v>
      </c>
      <c r="H10" s="100">
        <f t="shared" si="0"/>
        <v>1.5789473684210575E-2</v>
      </c>
      <c r="I10" s="170">
        <v>931008000</v>
      </c>
      <c r="J10" s="73"/>
      <c r="K10" s="100">
        <f t="shared" si="2"/>
        <v>6.4617495711835282E-2</v>
      </c>
      <c r="L10" s="103">
        <f t="shared" si="3"/>
        <v>233.33533834586467</v>
      </c>
      <c r="M10" s="100">
        <f t="shared" si="1"/>
        <v>9.9122913485923822E-2</v>
      </c>
    </row>
    <row r="11" spans="1:13" x14ac:dyDescent="0.35">
      <c r="A11" s="134" t="s">
        <v>126</v>
      </c>
      <c r="B11" s="134" t="s">
        <v>129</v>
      </c>
      <c r="C11" s="168" t="s">
        <v>125</v>
      </c>
      <c r="D11" s="135">
        <v>2640</v>
      </c>
      <c r="E11" s="36"/>
      <c r="F11" s="134" t="s">
        <v>127</v>
      </c>
      <c r="G11" s="171">
        <v>4053000</v>
      </c>
      <c r="H11" s="100">
        <f t="shared" si="0"/>
        <v>1.0609425117197091E-2</v>
      </c>
      <c r="I11" s="170">
        <v>1017900000</v>
      </c>
      <c r="J11" s="73"/>
      <c r="K11" s="100">
        <f t="shared" si="2"/>
        <v>9.3331099195710365E-2</v>
      </c>
      <c r="L11" s="103">
        <f t="shared" si="3"/>
        <v>251.14729829755737</v>
      </c>
      <c r="M11" s="100">
        <f t="shared" si="1"/>
        <v>9.5131552385438398E-2</v>
      </c>
    </row>
    <row r="12" spans="1:13" x14ac:dyDescent="0.35">
      <c r="A12" s="134" t="s">
        <v>128</v>
      </c>
      <c r="B12" s="134" t="s">
        <v>131</v>
      </c>
      <c r="C12" s="168" t="s">
        <v>127</v>
      </c>
      <c r="D12" s="135">
        <v>2861</v>
      </c>
      <c r="E12" s="36"/>
      <c r="F12" s="134" t="s">
        <v>129</v>
      </c>
      <c r="G12" s="171">
        <v>4096000</v>
      </c>
      <c r="H12" s="100">
        <f t="shared" si="0"/>
        <v>6.8359375E-3</v>
      </c>
      <c r="I12" s="170">
        <v>1068875000</v>
      </c>
      <c r="J12" s="73"/>
      <c r="K12" s="100">
        <f t="shared" si="2"/>
        <v>5.0078593182041553E-2</v>
      </c>
      <c r="L12" s="103">
        <f t="shared" si="3"/>
        <v>260.955810546875</v>
      </c>
      <c r="M12" s="100">
        <f t="shared" si="1"/>
        <v>9.1211398303696262E-2</v>
      </c>
    </row>
    <row r="13" spans="1:13" x14ac:dyDescent="0.35">
      <c r="A13" s="134" t="s">
        <v>130</v>
      </c>
      <c r="B13" s="134" t="s">
        <v>133</v>
      </c>
      <c r="C13" s="168" t="s">
        <v>129</v>
      </c>
      <c r="D13" s="135">
        <v>3086</v>
      </c>
      <c r="E13" s="36"/>
      <c r="F13" s="134" t="s">
        <v>131</v>
      </c>
      <c r="G13" s="171">
        <v>4124000</v>
      </c>
      <c r="H13" s="100">
        <f t="shared" si="0"/>
        <v>-7.2744907856447938E-4</v>
      </c>
      <c r="I13" s="170">
        <v>1135145000</v>
      </c>
      <c r="J13" s="73"/>
      <c r="K13" s="100">
        <f t="shared" si="2"/>
        <v>6.1999766109227084E-2</v>
      </c>
      <c r="L13" s="103">
        <f t="shared" si="3"/>
        <v>275.25339476236661</v>
      </c>
      <c r="M13" s="100">
        <f t="shared" si="1"/>
        <v>8.919423031833007E-2</v>
      </c>
    </row>
    <row r="14" spans="1:13" x14ac:dyDescent="0.35">
      <c r="A14" s="134" t="s">
        <v>132</v>
      </c>
      <c r="B14" s="134" t="s">
        <v>135</v>
      </c>
      <c r="C14" s="168" t="s">
        <v>131</v>
      </c>
      <c r="D14" s="135">
        <v>3356</v>
      </c>
      <c r="E14" s="36"/>
      <c r="F14" s="134" t="s">
        <v>133</v>
      </c>
      <c r="G14" s="171">
        <v>4121000</v>
      </c>
      <c r="H14" s="100">
        <f t="shared" si="0"/>
        <v>1.1162339238049102E-2</v>
      </c>
      <c r="I14" s="170">
        <v>1163282000</v>
      </c>
      <c r="J14" s="73"/>
      <c r="K14" s="100">
        <f t="shared" si="2"/>
        <v>2.4787141730792106E-2</v>
      </c>
      <c r="L14" s="103">
        <f t="shared" si="3"/>
        <v>282.28148507643778</v>
      </c>
      <c r="M14" s="100">
        <f t="shared" si="1"/>
        <v>8.4112480654480862E-2</v>
      </c>
    </row>
    <row r="15" spans="1:13" x14ac:dyDescent="0.35">
      <c r="A15" s="134" t="s">
        <v>134</v>
      </c>
      <c r="B15" s="134" t="s">
        <v>137</v>
      </c>
      <c r="C15" s="168" t="s">
        <v>133</v>
      </c>
      <c r="D15" s="135">
        <v>3510</v>
      </c>
      <c r="E15" s="36"/>
      <c r="F15" s="134" t="s">
        <v>135</v>
      </c>
      <c r="G15" s="171">
        <v>4167000</v>
      </c>
      <c r="H15" s="100">
        <f t="shared" si="0"/>
        <v>1.6558675305975434E-2</v>
      </c>
      <c r="I15" s="170">
        <v>1338000000</v>
      </c>
      <c r="J15" s="73"/>
      <c r="K15" s="100">
        <f t="shared" si="2"/>
        <v>0.15019402002266014</v>
      </c>
      <c r="L15" s="103">
        <f t="shared" si="3"/>
        <v>321.0943124550036</v>
      </c>
      <c r="M15" s="100">
        <f t="shared" si="1"/>
        <v>9.147986109829162E-2</v>
      </c>
    </row>
    <row r="16" spans="1:13" x14ac:dyDescent="0.35">
      <c r="A16" s="134" t="s">
        <v>136</v>
      </c>
      <c r="B16" s="134" t="s">
        <v>139</v>
      </c>
      <c r="C16" s="168" t="s">
        <v>135</v>
      </c>
      <c r="D16" s="135">
        <v>3871</v>
      </c>
      <c r="E16" s="36"/>
      <c r="F16" s="134" t="s">
        <v>137</v>
      </c>
      <c r="G16" s="171">
        <v>4236000</v>
      </c>
      <c r="H16" s="100">
        <f t="shared" si="0"/>
        <v>2.6203966005665658E-2</v>
      </c>
      <c r="I16" s="170">
        <v>1431737000</v>
      </c>
      <c r="J16" s="73"/>
      <c r="K16" s="100">
        <f t="shared" si="2"/>
        <v>7.0057548579970153E-2</v>
      </c>
      <c r="L16" s="103">
        <f t="shared" si="3"/>
        <v>337.99268177525965</v>
      </c>
      <c r="M16" s="100">
        <f t="shared" si="1"/>
        <v>8.7314048508204511E-2</v>
      </c>
    </row>
    <row r="17" spans="1:13" x14ac:dyDescent="0.35">
      <c r="A17" s="134" t="s">
        <v>138</v>
      </c>
      <c r="B17" s="134" t="s">
        <v>141</v>
      </c>
      <c r="C17" s="168" t="s">
        <v>137</v>
      </c>
      <c r="D17" s="135">
        <v>4130</v>
      </c>
      <c r="E17" s="36"/>
      <c r="F17" s="134" t="s">
        <v>139</v>
      </c>
      <c r="G17" s="171">
        <v>4347000</v>
      </c>
      <c r="H17" s="100">
        <f t="shared" si="0"/>
        <v>1.6563146997929712E-2</v>
      </c>
      <c r="I17" s="170">
        <v>1475449000</v>
      </c>
      <c r="J17" s="73"/>
      <c r="K17" s="100">
        <f t="shared" si="2"/>
        <v>3.0530746917904583E-2</v>
      </c>
      <c r="L17" s="103">
        <f t="shared" si="3"/>
        <v>339.4177593742811</v>
      </c>
      <c r="M17" s="100">
        <f t="shared" si="1"/>
        <v>8.2183476846072911E-2</v>
      </c>
    </row>
    <row r="18" spans="1:13" x14ac:dyDescent="0.35">
      <c r="A18" s="134" t="s">
        <v>140</v>
      </c>
      <c r="B18" s="134" t="s">
        <v>143</v>
      </c>
      <c r="C18" s="168" t="s">
        <v>139</v>
      </c>
      <c r="D18" s="135">
        <v>4403</v>
      </c>
      <c r="E18" s="36"/>
      <c r="F18" s="134" t="s">
        <v>141</v>
      </c>
      <c r="G18" s="171">
        <v>4419000</v>
      </c>
      <c r="H18" s="100">
        <f t="shared" si="0"/>
        <v>3.3491740212717724E-2</v>
      </c>
      <c r="I18" s="170">
        <v>1542610000</v>
      </c>
      <c r="J18" s="73"/>
      <c r="K18" s="100">
        <f t="shared" si="2"/>
        <v>4.5519025056101503E-2</v>
      </c>
      <c r="L18" s="103">
        <f t="shared" si="3"/>
        <v>349.0857660104096</v>
      </c>
      <c r="M18" s="100">
        <f t="shared" si="1"/>
        <v>7.9283617081628344E-2</v>
      </c>
    </row>
    <row r="19" spans="1:13" x14ac:dyDescent="0.35">
      <c r="A19" s="134" t="s">
        <v>142</v>
      </c>
      <c r="B19" s="134" t="s">
        <v>145</v>
      </c>
      <c r="C19" s="168" t="s">
        <v>141</v>
      </c>
      <c r="D19" s="135">
        <v>4704</v>
      </c>
      <c r="E19" s="36"/>
      <c r="F19" s="134" t="s">
        <v>143</v>
      </c>
      <c r="G19" s="171">
        <v>4567000</v>
      </c>
      <c r="H19" s="100">
        <f t="shared" si="0"/>
        <v>3.5033939128530811E-2</v>
      </c>
      <c r="I19" s="170">
        <v>1854186000</v>
      </c>
      <c r="J19" s="73"/>
      <c r="K19" s="100">
        <f t="shared" si="2"/>
        <v>0.20197976157291864</v>
      </c>
      <c r="L19" s="103">
        <f t="shared" si="3"/>
        <v>405.99649660608713</v>
      </c>
      <c r="M19" s="100">
        <f t="shared" si="1"/>
        <v>8.6308779040409678E-2</v>
      </c>
    </row>
    <row r="20" spans="1:13" x14ac:dyDescent="0.35">
      <c r="A20" s="134" t="s">
        <v>144</v>
      </c>
      <c r="B20" s="134" t="s">
        <v>147</v>
      </c>
      <c r="C20" s="168" t="s">
        <v>143</v>
      </c>
      <c r="D20" s="135">
        <v>4968</v>
      </c>
      <c r="E20" s="36"/>
      <c r="F20" s="134" t="s">
        <v>145</v>
      </c>
      <c r="G20" s="171">
        <v>4727000</v>
      </c>
      <c r="H20" s="100">
        <f t="shared" si="0"/>
        <v>3.5752062618997327E-2</v>
      </c>
      <c r="I20" s="170">
        <v>1976095000</v>
      </c>
      <c r="J20" s="73"/>
      <c r="K20" s="100">
        <f t="shared" si="2"/>
        <v>6.5747988605242336E-2</v>
      </c>
      <c r="L20" s="103">
        <f t="shared" si="3"/>
        <v>418.04421408927436</v>
      </c>
      <c r="M20" s="100">
        <f t="shared" si="1"/>
        <v>8.4147386088823342E-2</v>
      </c>
    </row>
    <row r="21" spans="1:13" x14ac:dyDescent="0.35">
      <c r="A21" s="134" t="s">
        <v>146</v>
      </c>
      <c r="B21" s="134" t="s">
        <v>149</v>
      </c>
      <c r="C21" s="168" t="s">
        <v>145</v>
      </c>
      <c r="D21" s="135">
        <v>5108</v>
      </c>
      <c r="E21" s="36"/>
      <c r="F21" s="134" t="s">
        <v>147</v>
      </c>
      <c r="G21" s="171">
        <v>4896000</v>
      </c>
      <c r="H21" s="100">
        <f t="shared" si="0"/>
        <v>4.1870915032679701E-2</v>
      </c>
      <c r="I21" s="170">
        <v>2052728000</v>
      </c>
      <c r="J21" s="73"/>
      <c r="K21" s="100">
        <f t="shared" si="2"/>
        <v>3.8780018167142716E-2</v>
      </c>
      <c r="L21" s="103">
        <f t="shared" si="3"/>
        <v>419.26633986928107</v>
      </c>
      <c r="M21" s="100">
        <f t="shared" si="1"/>
        <v>8.2080332785685411E-2</v>
      </c>
    </row>
    <row r="22" spans="1:13" x14ac:dyDescent="0.35">
      <c r="A22" s="134" t="s">
        <v>148</v>
      </c>
      <c r="B22" s="134" t="s">
        <v>151</v>
      </c>
      <c r="C22" s="168" t="s">
        <v>147</v>
      </c>
      <c r="D22" s="135">
        <v>5260</v>
      </c>
      <c r="E22" s="36"/>
      <c r="F22" s="134" t="s">
        <v>149</v>
      </c>
      <c r="G22" s="171">
        <v>5101000</v>
      </c>
      <c r="H22" s="100">
        <f t="shared" si="0"/>
        <v>7.1750637129974537E-2</v>
      </c>
      <c r="I22" s="170">
        <v>2149686000</v>
      </c>
      <c r="J22" s="73"/>
      <c r="K22" s="100">
        <f t="shared" si="2"/>
        <v>4.7233729943762626E-2</v>
      </c>
      <c r="L22" s="103">
        <f t="shared" si="3"/>
        <v>421.42442658302292</v>
      </c>
      <c r="M22" s="100">
        <f t="shared" si="1"/>
        <v>8.0118712278141241E-2</v>
      </c>
    </row>
    <row r="23" spans="1:13" x14ac:dyDescent="0.35">
      <c r="A23" s="134" t="s">
        <v>150</v>
      </c>
      <c r="B23" s="134" t="s">
        <v>153</v>
      </c>
      <c r="C23" s="168" t="s">
        <v>149</v>
      </c>
      <c r="D23" s="135">
        <v>5429</v>
      </c>
      <c r="E23" s="36"/>
      <c r="F23" s="134" t="s">
        <v>151</v>
      </c>
      <c r="G23" s="171">
        <v>5467000</v>
      </c>
      <c r="H23" s="100">
        <f t="shared" si="0"/>
        <v>2.9632339491494353E-2</v>
      </c>
      <c r="I23" s="170">
        <v>2322915000</v>
      </c>
      <c r="J23" s="73"/>
      <c r="K23" s="100">
        <f t="shared" si="2"/>
        <v>8.0583396830979037E-2</v>
      </c>
      <c r="L23" s="103">
        <f t="shared" si="3"/>
        <v>424.89756722151088</v>
      </c>
      <c r="M23" s="100">
        <f t="shared" si="1"/>
        <v>7.8264425717721658E-2</v>
      </c>
    </row>
    <row r="24" spans="1:13" x14ac:dyDescent="0.35">
      <c r="A24" s="134" t="s">
        <v>152</v>
      </c>
      <c r="B24" s="134" t="s">
        <v>155</v>
      </c>
      <c r="C24" s="168" t="s">
        <v>151</v>
      </c>
      <c r="D24" s="135">
        <v>5640</v>
      </c>
      <c r="E24" s="50" t="s">
        <v>156</v>
      </c>
      <c r="F24" s="134" t="s">
        <v>153</v>
      </c>
      <c r="G24" s="171">
        <v>5629000</v>
      </c>
      <c r="H24" s="100">
        <f t="shared" si="0"/>
        <v>3.1444306271096067E-2</v>
      </c>
      <c r="I24" s="170">
        <v>2323837000</v>
      </c>
      <c r="J24" s="73"/>
      <c r="K24" s="100">
        <f t="shared" si="2"/>
        <v>3.9691508298833611E-4</v>
      </c>
      <c r="L24" s="103">
        <f t="shared" si="3"/>
        <v>412.83300763901224</v>
      </c>
      <c r="M24" s="116">
        <f t="shared" si="1"/>
        <v>7.3197341779966715E-2</v>
      </c>
    </row>
    <row r="25" spans="1:13" x14ac:dyDescent="0.35">
      <c r="A25" s="134" t="s">
        <v>154</v>
      </c>
      <c r="B25" s="134" t="s">
        <v>158</v>
      </c>
      <c r="C25" s="168" t="s">
        <v>153</v>
      </c>
      <c r="D25" s="135">
        <v>5796</v>
      </c>
      <c r="E25" s="50" t="s">
        <v>94</v>
      </c>
      <c r="F25" s="134" t="s">
        <v>155</v>
      </c>
      <c r="G25" s="171">
        <v>5806000</v>
      </c>
      <c r="H25" s="100">
        <f t="shared" si="0"/>
        <v>2.9624526352049596E-2</v>
      </c>
      <c r="I25" s="170">
        <v>3107522000</v>
      </c>
      <c r="J25" s="73"/>
      <c r="K25" s="100">
        <f t="shared" si="2"/>
        <v>0.33723750848273792</v>
      </c>
      <c r="L25" s="103">
        <f t="shared" si="3"/>
        <v>535.22597313124356</v>
      </c>
      <c r="M25" s="116">
        <f t="shared" si="1"/>
        <v>9.2344025730028215E-2</v>
      </c>
    </row>
    <row r="26" spans="1:13" x14ac:dyDescent="0.35">
      <c r="A26" s="134" t="s">
        <v>157</v>
      </c>
      <c r="B26" s="134" t="s">
        <v>160</v>
      </c>
      <c r="C26" s="168" t="s">
        <v>155</v>
      </c>
      <c r="D26" s="135">
        <v>6046</v>
      </c>
      <c r="E26" s="50" t="s">
        <v>94</v>
      </c>
      <c r="F26" s="134" t="s">
        <v>158</v>
      </c>
      <c r="G26" s="171">
        <v>5978000</v>
      </c>
      <c r="H26" s="100">
        <f t="shared" si="0"/>
        <v>2.5928404148544582E-2</v>
      </c>
      <c r="I26" s="170">
        <v>3801000000</v>
      </c>
      <c r="J26" s="73"/>
      <c r="K26" s="100">
        <f t="shared" si="2"/>
        <v>0.22316109105583171</v>
      </c>
      <c r="L26" s="103">
        <f t="shared" si="3"/>
        <v>635.83138173302109</v>
      </c>
      <c r="M26" s="116">
        <f t="shared" si="1"/>
        <v>0.10516562714737365</v>
      </c>
    </row>
    <row r="27" spans="1:13" x14ac:dyDescent="0.35">
      <c r="A27" s="134" t="s">
        <v>159</v>
      </c>
      <c r="B27" s="134" t="s">
        <v>162</v>
      </c>
      <c r="C27" s="134" t="s">
        <v>158</v>
      </c>
      <c r="D27" s="135">
        <v>6296</v>
      </c>
      <c r="E27" s="36"/>
      <c r="F27" s="134" t="s">
        <v>160</v>
      </c>
      <c r="G27" s="171">
        <v>6133000</v>
      </c>
      <c r="H27" s="100">
        <f t="shared" si="0"/>
        <v>2.2990379911951742E-2</v>
      </c>
      <c r="I27" s="170">
        <v>4301000000</v>
      </c>
      <c r="J27" s="73"/>
      <c r="K27" s="100">
        <f t="shared" si="2"/>
        <v>0.13154433043935798</v>
      </c>
      <c r="L27" s="103">
        <f t="shared" si="3"/>
        <v>701.28811348442855</v>
      </c>
      <c r="M27" s="116">
        <f t="shared" si="1"/>
        <v>0.11138629502611636</v>
      </c>
    </row>
    <row r="28" spans="1:13" x14ac:dyDescent="0.35">
      <c r="A28" s="134" t="s">
        <v>161</v>
      </c>
      <c r="B28" s="134" t="s">
        <v>164</v>
      </c>
      <c r="C28" s="134" t="s">
        <v>160</v>
      </c>
      <c r="D28" s="135">
        <v>6631</v>
      </c>
      <c r="E28" s="36"/>
      <c r="F28" s="134" t="s">
        <v>162</v>
      </c>
      <c r="G28" s="171">
        <v>6274000</v>
      </c>
      <c r="H28" s="100">
        <f t="shared" si="0"/>
        <v>1.7054510678992774E-2</v>
      </c>
      <c r="I28" s="170">
        <v>4976685000</v>
      </c>
      <c r="J28" s="164">
        <v>13000000</v>
      </c>
      <c r="K28" s="100">
        <f t="shared" si="2"/>
        <v>0.15709951174145553</v>
      </c>
      <c r="L28" s="103">
        <f t="shared" si="3"/>
        <v>791.15157794070774</v>
      </c>
      <c r="M28" s="116">
        <f t="shared" si="1"/>
        <v>0.11931105081295547</v>
      </c>
    </row>
    <row r="29" spans="1:13" x14ac:dyDescent="0.35">
      <c r="A29" s="134" t="s">
        <v>163</v>
      </c>
      <c r="B29" s="134" t="s">
        <v>166</v>
      </c>
      <c r="C29" s="134" t="s">
        <v>162</v>
      </c>
      <c r="D29" s="135">
        <v>7006</v>
      </c>
      <c r="E29" s="36"/>
      <c r="F29" s="134" t="s">
        <v>164</v>
      </c>
      <c r="G29" s="171">
        <v>6381000</v>
      </c>
      <c r="H29" s="100">
        <f t="shared" si="0"/>
        <v>1.5984955336154183E-2</v>
      </c>
      <c r="I29" s="170">
        <v>6323685000</v>
      </c>
      <c r="J29" s="164">
        <v>16000000</v>
      </c>
      <c r="K29" s="100">
        <f t="shared" si="2"/>
        <v>0.27066209735998958</v>
      </c>
      <c r="L29" s="103">
        <f t="shared" si="3"/>
        <v>988.5104215640182</v>
      </c>
      <c r="M29" s="116">
        <f t="shared" si="1"/>
        <v>0.14109483607822126</v>
      </c>
    </row>
    <row r="30" spans="1:13" x14ac:dyDescent="0.35">
      <c r="A30" s="134" t="s">
        <v>165</v>
      </c>
      <c r="B30" s="134" t="s">
        <v>168</v>
      </c>
      <c r="C30" s="134" t="s">
        <v>164</v>
      </c>
      <c r="D30" s="135">
        <v>7499</v>
      </c>
      <c r="E30" s="36"/>
      <c r="F30" s="134" t="s">
        <v>166</v>
      </c>
      <c r="G30" s="171">
        <v>6483000</v>
      </c>
      <c r="H30" s="100">
        <f t="shared" si="0"/>
        <v>1.9743945704149279E-2</v>
      </c>
      <c r="I30" s="170">
        <v>7512533000</v>
      </c>
      <c r="J30" s="164">
        <v>16000000</v>
      </c>
      <c r="K30" s="100">
        <f t="shared" si="2"/>
        <v>0.18799924411162161</v>
      </c>
      <c r="L30" s="103">
        <f t="shared" ref="L30:L37" si="4">((I30-J30)/G30)</f>
        <v>1156.3370353231528</v>
      </c>
      <c r="M30" s="116">
        <f t="shared" ref="M30:M37" si="5">(L30/D30)</f>
        <v>0.15419883122058312</v>
      </c>
    </row>
    <row r="31" spans="1:13" x14ac:dyDescent="0.35">
      <c r="A31" s="134" t="s">
        <v>167</v>
      </c>
      <c r="B31" s="134" t="s">
        <v>170</v>
      </c>
      <c r="C31" s="134" t="s">
        <v>166</v>
      </c>
      <c r="D31" s="135">
        <v>7839</v>
      </c>
      <c r="E31" s="36"/>
      <c r="F31" s="134" t="s">
        <v>168</v>
      </c>
      <c r="G31" s="171">
        <v>6611000</v>
      </c>
      <c r="H31" s="100">
        <f t="shared" si="0"/>
        <v>1.6941461201028574E-2</v>
      </c>
      <c r="I31" s="164">
        <v>8858398000</v>
      </c>
      <c r="J31" s="164">
        <v>16000000</v>
      </c>
      <c r="K31" s="101">
        <f t="shared" si="2"/>
        <v>0.1791492962493475</v>
      </c>
      <c r="L31" s="103">
        <f t="shared" si="4"/>
        <v>1337.5280592951142</v>
      </c>
      <c r="M31" s="116">
        <f t="shared" si="5"/>
        <v>0.17062483215909097</v>
      </c>
    </row>
    <row r="32" spans="1:13" x14ac:dyDescent="0.35">
      <c r="A32" s="134" t="s">
        <v>169</v>
      </c>
      <c r="B32" s="134" t="s">
        <v>172</v>
      </c>
      <c r="C32" s="134" t="s">
        <v>168</v>
      </c>
      <c r="D32" s="135">
        <v>8148</v>
      </c>
      <c r="E32" s="36"/>
      <c r="F32" s="134" t="s">
        <v>170</v>
      </c>
      <c r="G32" s="171">
        <v>6723000</v>
      </c>
      <c r="H32" s="100">
        <f t="shared" si="0"/>
        <v>1.4428082701175127E-2</v>
      </c>
      <c r="I32" s="164">
        <v>10052106000</v>
      </c>
      <c r="J32" s="164">
        <v>16000000</v>
      </c>
      <c r="K32" s="100">
        <f t="shared" si="2"/>
        <v>0.13475438787013183</v>
      </c>
      <c r="L32" s="103">
        <f t="shared" si="4"/>
        <v>1492.8017254201993</v>
      </c>
      <c r="M32" s="116">
        <f t="shared" si="5"/>
        <v>0.18321081558912608</v>
      </c>
    </row>
    <row r="33" spans="1:14" x14ac:dyDescent="0.35">
      <c r="A33" s="134" t="s">
        <v>171</v>
      </c>
      <c r="B33" s="134" t="s">
        <v>173</v>
      </c>
      <c r="C33" s="134" t="s">
        <v>170</v>
      </c>
      <c r="D33" s="135">
        <v>8400</v>
      </c>
      <c r="E33" s="36"/>
      <c r="F33" s="134" t="s">
        <v>172</v>
      </c>
      <c r="G33" s="171">
        <v>6820000</v>
      </c>
      <c r="H33" s="100">
        <f t="shared" si="0"/>
        <v>-8.7976539589440517E-4</v>
      </c>
      <c r="I33" s="164">
        <v>10579746000</v>
      </c>
      <c r="J33" s="164">
        <v>10000000</v>
      </c>
      <c r="K33" s="100">
        <f t="shared" si="2"/>
        <v>5.2490493036981611E-2</v>
      </c>
      <c r="L33" s="103">
        <f t="shared" si="4"/>
        <v>1549.816129032258</v>
      </c>
      <c r="M33" s="116">
        <f t="shared" si="5"/>
        <v>0.18450192012288785</v>
      </c>
    </row>
    <row r="34" spans="1:14" x14ac:dyDescent="0.35">
      <c r="A34" s="134">
        <v>2006</v>
      </c>
      <c r="B34" s="134" t="s">
        <v>174</v>
      </c>
      <c r="C34" s="134" t="s">
        <v>172</v>
      </c>
      <c r="D34" s="135">
        <v>8783</v>
      </c>
      <c r="E34" s="36"/>
      <c r="F34" s="134" t="s">
        <v>173</v>
      </c>
      <c r="G34" s="171">
        <v>6814000</v>
      </c>
      <c r="H34" s="100">
        <f t="shared" si="0"/>
        <v>-2.6416201937188299E-3</v>
      </c>
      <c r="I34" s="164">
        <v>10567961000</v>
      </c>
      <c r="J34" s="164">
        <v>15000000</v>
      </c>
      <c r="K34" s="100">
        <f t="shared" si="2"/>
        <v>-1.1139208824105795E-3</v>
      </c>
      <c r="L34" s="103">
        <f t="shared" si="4"/>
        <v>1548.7174933959495</v>
      </c>
      <c r="M34" s="116">
        <f t="shared" si="5"/>
        <v>0.17633126419172829</v>
      </c>
    </row>
    <row r="35" spans="1:14" x14ac:dyDescent="0.35">
      <c r="A35" s="134">
        <v>2007</v>
      </c>
      <c r="B35" s="134" t="s">
        <v>175</v>
      </c>
      <c r="C35" s="134" t="s">
        <v>173</v>
      </c>
      <c r="D35" s="135">
        <v>9249</v>
      </c>
      <c r="E35" s="36"/>
      <c r="F35" s="134" t="s">
        <v>174</v>
      </c>
      <c r="G35" s="171">
        <v>6796000</v>
      </c>
      <c r="H35" s="100">
        <f t="shared" si="0"/>
        <v>-1.1477339611536186E-2</v>
      </c>
      <c r="I35" s="164">
        <v>10767961000</v>
      </c>
      <c r="J35" s="164">
        <v>15000000</v>
      </c>
      <c r="K35" s="100">
        <f t="shared" si="2"/>
        <v>1.8925126616194055E-2</v>
      </c>
      <c r="L35" s="103">
        <f t="shared" si="4"/>
        <v>1582.2485285462037</v>
      </c>
      <c r="M35" s="116">
        <f t="shared" si="5"/>
        <v>0.17107238929032367</v>
      </c>
    </row>
    <row r="36" spans="1:14" x14ac:dyDescent="0.35">
      <c r="A36" s="134">
        <v>2008</v>
      </c>
      <c r="B36" s="134" t="s">
        <v>176</v>
      </c>
      <c r="C36" s="134" t="s">
        <v>174</v>
      </c>
      <c r="D36" s="135">
        <v>9796</v>
      </c>
      <c r="E36" s="173"/>
      <c r="F36" s="134" t="s">
        <v>175</v>
      </c>
      <c r="G36" s="171">
        <v>6718000</v>
      </c>
      <c r="H36" s="100">
        <f t="shared" si="0"/>
        <v>-1.7713605239654706E-2</v>
      </c>
      <c r="I36" s="164">
        <v>10932511000</v>
      </c>
      <c r="J36" s="164">
        <v>15000000</v>
      </c>
      <c r="K36" s="100">
        <f t="shared" ref="K36:K41" si="6">(I36/I35)-1</f>
        <v>1.5281444648620024E-2</v>
      </c>
      <c r="L36" s="103">
        <f t="shared" si="4"/>
        <v>1625.1132777612384</v>
      </c>
      <c r="M36" s="116">
        <f t="shared" si="5"/>
        <v>0.16589559797480996</v>
      </c>
    </row>
    <row r="37" spans="1:14" x14ac:dyDescent="0.35">
      <c r="A37" s="134">
        <v>2009</v>
      </c>
      <c r="B37" s="134" t="s">
        <v>177</v>
      </c>
      <c r="C37" s="134" t="s">
        <v>175</v>
      </c>
      <c r="D37" s="135">
        <v>9796</v>
      </c>
      <c r="E37" s="173"/>
      <c r="F37" s="134" t="s">
        <v>176</v>
      </c>
      <c r="G37" s="171">
        <v>6599000</v>
      </c>
      <c r="H37" s="100">
        <f t="shared" si="0"/>
        <v>2.2714047582967911E-3</v>
      </c>
      <c r="I37" s="164">
        <f>22805211000</f>
        <v>22805211000</v>
      </c>
      <c r="J37" s="164">
        <v>15000000</v>
      </c>
      <c r="K37" s="100">
        <f t="shared" si="6"/>
        <v>1.0859993646473347</v>
      </c>
      <c r="L37" s="103">
        <f t="shared" si="4"/>
        <v>3453.585543264131</v>
      </c>
      <c r="M37" s="116">
        <f t="shared" si="5"/>
        <v>0.35255058628666097</v>
      </c>
    </row>
    <row r="38" spans="1:14" x14ac:dyDescent="0.35">
      <c r="A38" s="134">
        <v>2010</v>
      </c>
      <c r="B38" s="134" t="s">
        <v>178</v>
      </c>
      <c r="C38" s="134" t="s">
        <v>176</v>
      </c>
      <c r="D38" s="135">
        <v>10430.94316124312</v>
      </c>
      <c r="E38" s="173"/>
      <c r="F38" s="134" t="s">
        <v>177</v>
      </c>
      <c r="G38" s="171">
        <v>6613989</v>
      </c>
      <c r="H38" s="100">
        <f t="shared" si="0"/>
        <v>-8.4572260401400978E-3</v>
      </c>
      <c r="I38" s="164">
        <v>11505211000</v>
      </c>
      <c r="J38" s="164">
        <v>25000000</v>
      </c>
      <c r="K38" s="100">
        <f t="shared" si="6"/>
        <v>-0.49550078707888301</v>
      </c>
      <c r="L38" s="107">
        <f>((I38-J38)/G37)</f>
        <v>1739.6894984088499</v>
      </c>
      <c r="M38" s="116">
        <f>(L38/D38)</f>
        <v>0.16678161039864398</v>
      </c>
    </row>
    <row r="39" spans="1:14" x14ac:dyDescent="0.35">
      <c r="A39" s="134">
        <v>2011</v>
      </c>
      <c r="B39" s="134" t="s">
        <v>179</v>
      </c>
      <c r="C39" s="134" t="s">
        <v>177</v>
      </c>
      <c r="D39" s="135">
        <v>10660</v>
      </c>
      <c r="E39" s="173"/>
      <c r="F39" s="134" t="s">
        <v>178</v>
      </c>
      <c r="G39" s="171">
        <v>6558053</v>
      </c>
      <c r="H39" s="100">
        <f t="shared" si="0"/>
        <v>-2.3671659866121297E-3</v>
      </c>
      <c r="I39" s="164">
        <v>11465960974</v>
      </c>
      <c r="J39" s="164">
        <v>25000000</v>
      </c>
      <c r="K39" s="100">
        <f t="shared" si="6"/>
        <v>-3.4114998847044609E-3</v>
      </c>
      <c r="L39" s="107">
        <f>((I39-J39)/G38)</f>
        <v>1729.8125191922757</v>
      </c>
      <c r="M39" s="116">
        <f>(L39/D39)</f>
        <v>0.16227134326381573</v>
      </c>
    </row>
    <row r="40" spans="1:14" x14ac:dyDescent="0.35">
      <c r="A40" s="134">
        <v>2012</v>
      </c>
      <c r="B40" s="134" t="s">
        <v>180</v>
      </c>
      <c r="C40" s="134" t="s">
        <v>178</v>
      </c>
      <c r="D40" s="135">
        <v>10826</v>
      </c>
      <c r="E40" s="173"/>
      <c r="F40" s="126" t="s">
        <v>179</v>
      </c>
      <c r="G40" s="171">
        <f>6542529</f>
        <v>6542529</v>
      </c>
      <c r="H40" s="100">
        <f t="shared" si="0"/>
        <v>4.8063982597554844E-3</v>
      </c>
      <c r="I40" s="164">
        <v>11577855236</v>
      </c>
      <c r="J40" s="164">
        <v>25000000</v>
      </c>
      <c r="K40" s="100">
        <f t="shared" si="6"/>
        <v>9.7588211100430033E-3</v>
      </c>
      <c r="L40" s="107">
        <f>((I40-J40)/G39)</f>
        <v>1761.6288303860917</v>
      </c>
      <c r="M40" s="116">
        <f>(L40/D40)</f>
        <v>0.16272204234122406</v>
      </c>
      <c r="N40" s="118"/>
    </row>
    <row r="41" spans="1:14" x14ac:dyDescent="0.35">
      <c r="A41" s="134">
        <v>2013</v>
      </c>
      <c r="B41" s="174" t="s">
        <v>181</v>
      </c>
      <c r="C41" s="126" t="s">
        <v>179</v>
      </c>
      <c r="D41" s="135">
        <f>10812</f>
        <v>10812</v>
      </c>
      <c r="E41" s="173"/>
      <c r="F41" s="134" t="s">
        <v>180</v>
      </c>
      <c r="G41" s="171">
        <v>6573975</v>
      </c>
      <c r="H41" s="100">
        <v>0</v>
      </c>
      <c r="I41" s="164">
        <v>10974865803</v>
      </c>
      <c r="J41" s="164">
        <v>23692500</v>
      </c>
      <c r="K41" s="100">
        <f t="shared" si="6"/>
        <v>-5.2081272455806293E-2</v>
      </c>
      <c r="L41" s="107">
        <f>((I41-J41)/G40)</f>
        <v>1673.844059842914</v>
      </c>
      <c r="M41" s="116">
        <f>(L41/D41)</f>
        <v>0.15481354604540457</v>
      </c>
    </row>
    <row r="42" spans="1:14" x14ac:dyDescent="0.35">
      <c r="A42" s="134">
        <v>2014</v>
      </c>
      <c r="B42" s="126" t="s">
        <v>182</v>
      </c>
      <c r="C42" s="126" t="s">
        <v>180</v>
      </c>
      <c r="D42" s="135">
        <v>10772</v>
      </c>
      <c r="E42" s="173"/>
      <c r="F42" s="134" t="s">
        <v>181</v>
      </c>
      <c r="G42" s="171">
        <v>6592960</v>
      </c>
      <c r="H42" s="100">
        <f t="shared" si="0"/>
        <v>1.5922741833713561E-2</v>
      </c>
      <c r="I42" s="164">
        <v>11472848000</v>
      </c>
      <c r="J42" s="164">
        <f>15000000</f>
        <v>15000000</v>
      </c>
      <c r="K42" s="100">
        <f t="shared" si="2"/>
        <v>4.5374786893874974E-2</v>
      </c>
      <c r="L42" s="103">
        <f t="shared" si="3"/>
        <v>1737.8913265058486</v>
      </c>
      <c r="M42" s="116">
        <f t="shared" si="1"/>
        <v>0.16133413725453477</v>
      </c>
    </row>
    <row r="43" spans="1:14" x14ac:dyDescent="0.35">
      <c r="A43" s="134">
        <v>2015</v>
      </c>
      <c r="B43" s="126" t="s">
        <v>183</v>
      </c>
      <c r="C43" s="126" t="s">
        <v>181</v>
      </c>
      <c r="D43" s="135">
        <v>11271</v>
      </c>
      <c r="E43" s="173"/>
      <c r="F43" s="134" t="s">
        <v>182</v>
      </c>
      <c r="G43" s="171">
        <v>6697938</v>
      </c>
      <c r="H43" s="100">
        <f t="shared" si="0"/>
        <v>1.7389232327919446E-2</v>
      </c>
      <c r="I43" s="164">
        <v>11497848000</v>
      </c>
      <c r="J43" s="164">
        <f>13000000</f>
        <v>13000000</v>
      </c>
      <c r="K43" s="100">
        <f t="shared" si="2"/>
        <v>2.1790578939073768E-3</v>
      </c>
      <c r="L43" s="103">
        <f t="shared" si="3"/>
        <v>1714.6841311460332</v>
      </c>
      <c r="M43" s="116">
        <f t="shared" si="1"/>
        <v>0.15213238675769969</v>
      </c>
    </row>
    <row r="44" spans="1:14" x14ac:dyDescent="0.35">
      <c r="A44" s="134">
        <v>2016</v>
      </c>
      <c r="B44" s="126" t="s">
        <v>184</v>
      </c>
      <c r="C44" s="126" t="s">
        <v>182</v>
      </c>
      <c r="D44" s="135">
        <v>11681</v>
      </c>
      <c r="E44" s="173"/>
      <c r="F44" s="134" t="s">
        <v>183</v>
      </c>
      <c r="G44" s="171">
        <v>6814410</v>
      </c>
      <c r="H44" s="100">
        <f t="shared" si="0"/>
        <v>-9.3140858856455289E-4</v>
      </c>
      <c r="I44" s="164">
        <f>VLOOKUP(A44,var_table,2,FALSE)</f>
        <v>11912848000</v>
      </c>
      <c r="J44" s="164">
        <f>20000000</f>
        <v>20000000</v>
      </c>
      <c r="K44" s="100">
        <f t="shared" si="2"/>
        <v>3.6093710753525299E-2</v>
      </c>
      <c r="L44" s="103">
        <f t="shared" si="3"/>
        <v>1745.2498455478903</v>
      </c>
      <c r="M44" s="116">
        <f t="shared" si="1"/>
        <v>0.14940928392670921</v>
      </c>
    </row>
    <row r="45" spans="1:14" x14ac:dyDescent="0.35">
      <c r="A45" s="134">
        <v>2017</v>
      </c>
      <c r="B45" s="126" t="s">
        <v>185</v>
      </c>
      <c r="C45" s="126" t="s">
        <v>183</v>
      </c>
      <c r="D45" s="135">
        <v>12070</v>
      </c>
      <c r="E45" s="173"/>
      <c r="F45" s="134" t="s">
        <v>184</v>
      </c>
      <c r="G45" s="171">
        <v>6808063</v>
      </c>
      <c r="H45" s="100">
        <f t="shared" si="0"/>
        <v>1.412575059895893E-2</v>
      </c>
      <c r="I45" s="164">
        <f>VLOOKUP(A45,var_table,2,FALSE)</f>
        <v>12002848000</v>
      </c>
      <c r="J45" s="164">
        <f t="shared" ref="J45:J50" si="7">VLOOKUP(A45,var_table,3,FALSE)</f>
        <v>21400000</v>
      </c>
      <c r="K45" s="100">
        <f t="shared" si="2"/>
        <v>7.5548684915647257E-3</v>
      </c>
      <c r="L45" s="103">
        <f t="shared" si="3"/>
        <v>1759.8908823258539</v>
      </c>
      <c r="M45" s="116">
        <f t="shared" si="1"/>
        <v>0.14580703250421326</v>
      </c>
    </row>
    <row r="46" spans="1:14" x14ac:dyDescent="0.35">
      <c r="A46" s="134">
        <v>2018</v>
      </c>
      <c r="B46" s="126" t="s">
        <v>186</v>
      </c>
      <c r="C46" s="126" t="s">
        <v>184</v>
      </c>
      <c r="D46" s="135">
        <v>12537</v>
      </c>
      <c r="E46" s="173"/>
      <c r="F46" s="134" t="s">
        <v>185</v>
      </c>
      <c r="G46" s="171">
        <v>6904232</v>
      </c>
      <c r="H46" s="100">
        <f t="shared" si="0"/>
        <v>3.2734415645360615E-2</v>
      </c>
      <c r="I46" s="164">
        <f>VLOOKUP(A46,var_table,2,FALSE)</f>
        <v>12277848000</v>
      </c>
      <c r="J46" s="164">
        <f t="shared" si="7"/>
        <v>21000000</v>
      </c>
      <c r="K46" s="100">
        <f t="shared" si="2"/>
        <v>2.291122906830112E-2</v>
      </c>
      <c r="L46" s="103">
        <f t="shared" si="3"/>
        <v>1775.2659528242968</v>
      </c>
      <c r="M46" s="116">
        <f t="shared" si="1"/>
        <v>0.14160213390957141</v>
      </c>
    </row>
    <row r="47" spans="1:14" x14ac:dyDescent="0.35">
      <c r="A47" s="134">
        <v>2019</v>
      </c>
      <c r="B47" s="126" t="s">
        <v>187</v>
      </c>
      <c r="C47" s="126" t="s">
        <v>185</v>
      </c>
      <c r="D47" s="135">
        <v>12987</v>
      </c>
      <c r="E47" s="173"/>
      <c r="F47" s="134" t="s">
        <v>186</v>
      </c>
      <c r="G47" s="171">
        <v>7130238</v>
      </c>
      <c r="H47" s="100">
        <f t="shared" si="0"/>
        <v>2.0776585578209383E-2</v>
      </c>
      <c r="I47" s="164">
        <f>VLOOKUP(A47,var_table,2,FALSE)</f>
        <v>12364392000</v>
      </c>
      <c r="J47" s="164">
        <f t="shared" si="7"/>
        <v>20000000</v>
      </c>
      <c r="K47" s="100">
        <f t="shared" si="2"/>
        <v>7.0487922639210776E-3</v>
      </c>
      <c r="L47" s="103">
        <f t="shared" si="3"/>
        <v>1731.2734862426753</v>
      </c>
      <c r="M47" s="116">
        <f t="shared" si="1"/>
        <v>0.13330819174887776</v>
      </c>
    </row>
    <row r="48" spans="1:14" x14ac:dyDescent="0.35">
      <c r="A48" s="134">
        <v>2020</v>
      </c>
      <c r="B48" s="126" t="s">
        <v>188</v>
      </c>
      <c r="C48" s="126" t="s">
        <v>186</v>
      </c>
      <c r="D48" s="135">
        <v>13588</v>
      </c>
      <c r="E48" s="173"/>
      <c r="F48" s="134" t="s">
        <v>187</v>
      </c>
      <c r="G48" s="171">
        <v>7278380</v>
      </c>
      <c r="H48" s="100">
        <f t="shared" si="0"/>
        <v>-8.7902802546721004E-3</v>
      </c>
      <c r="I48" s="164">
        <f>VLOOKUP(A48,'Approp Path'!A14:B30,2,FALSE)</f>
        <v>12764392000</v>
      </c>
      <c r="J48" s="164">
        <f t="shared" si="7"/>
        <v>10000000</v>
      </c>
      <c r="K48" s="100">
        <f t="shared" si="2"/>
        <v>3.2350963961673251E-2</v>
      </c>
      <c r="L48" s="103">
        <f t="shared" si="3"/>
        <v>1752.3668728480789</v>
      </c>
      <c r="M48" s="116">
        <f t="shared" si="1"/>
        <v>0.12896429738357953</v>
      </c>
    </row>
    <row r="49" spans="1:13" ht="13.15" thickBot="1" x14ac:dyDescent="0.4">
      <c r="A49" s="134">
        <v>2021</v>
      </c>
      <c r="B49" s="126" t="s">
        <v>189</v>
      </c>
      <c r="C49" s="134" t="s">
        <v>187</v>
      </c>
      <c r="D49" s="135">
        <v>13895</v>
      </c>
      <c r="E49" s="173"/>
      <c r="F49" s="134" t="s">
        <v>188</v>
      </c>
      <c r="G49" s="171">
        <v>7214401</v>
      </c>
      <c r="H49" s="100">
        <f t="shared" si="0"/>
        <v>1.9185931028785408E-2</v>
      </c>
      <c r="I49" s="164">
        <f>IFERROR(VLOOKUP(A49,'Approp Path'!A15:B31,2,FALSE),I48)</f>
        <v>15517457000</v>
      </c>
      <c r="J49" s="164">
        <f t="shared" si="7"/>
        <v>25000000</v>
      </c>
      <c r="K49" s="102">
        <f t="shared" ref="K49:K57" si="8">(I49/I48)-1</f>
        <v>0.21568320684604481</v>
      </c>
      <c r="L49" s="136">
        <f t="shared" ref="L49:L57" si="9">((I49-J49)/G49)</f>
        <v>2147.4349706926464</v>
      </c>
      <c r="M49" s="117">
        <f t="shared" ref="M49:M57" si="10">(L49/D49)</f>
        <v>0.15454731707035957</v>
      </c>
    </row>
    <row r="50" spans="1:13" ht="13.15" thickBot="1" x14ac:dyDescent="0.4">
      <c r="A50" s="134">
        <v>2022</v>
      </c>
      <c r="B50" s="126" t="s">
        <v>190</v>
      </c>
      <c r="C50" s="134" t="s">
        <v>188</v>
      </c>
      <c r="D50" s="135">
        <v>13902.907597209101</v>
      </c>
      <c r="E50" s="173"/>
      <c r="F50" s="134" t="s">
        <v>189</v>
      </c>
      <c r="G50" s="179">
        <v>7352816</v>
      </c>
      <c r="H50" s="100">
        <f t="shared" si="0"/>
        <v>3.7758186795372017E-2</v>
      </c>
      <c r="I50" s="164">
        <f>IFERROR(VLOOKUP(A50,'Approp Path'!A16:B32,2,FALSE),I49)</f>
        <v>13343704000</v>
      </c>
      <c r="J50" s="164">
        <f t="shared" si="7"/>
        <v>20000000</v>
      </c>
      <c r="K50" s="100">
        <f t="shared" si="8"/>
        <v>-0.14008435789446683</v>
      </c>
      <c r="L50" s="103">
        <f t="shared" si="9"/>
        <v>1812.0545924173814</v>
      </c>
      <c r="M50" s="116">
        <f>(L50/D50)</f>
        <v>0.13033637602404385</v>
      </c>
    </row>
    <row r="51" spans="1:13" ht="13.15" thickBot="1" x14ac:dyDescent="0.4">
      <c r="A51" s="134">
        <v>2023</v>
      </c>
      <c r="B51" s="126" t="s">
        <v>191</v>
      </c>
      <c r="C51" s="134" t="s">
        <v>189</v>
      </c>
      <c r="D51" s="135">
        <v>14889.689472898197</v>
      </c>
      <c r="E51" s="173"/>
      <c r="F51" s="182" t="s">
        <v>190</v>
      </c>
      <c r="G51" s="104">
        <v>7630445</v>
      </c>
      <c r="H51" s="100">
        <f t="shared" si="0"/>
        <v>1.605122637015266E-2</v>
      </c>
      <c r="I51" s="175">
        <f>IFERROR(VLOOKUP(A51,'Approp Path'!A17:B33,2,FALSE),I50)</f>
        <v>14193704000</v>
      </c>
      <c r="J51" s="175">
        <f>J50</f>
        <v>20000000</v>
      </c>
      <c r="K51" s="100">
        <f t="shared" si="8"/>
        <v>6.3700453787044475E-2</v>
      </c>
      <c r="L51" s="103">
        <f t="shared" si="9"/>
        <v>1857.5199742610032</v>
      </c>
      <c r="M51" s="116">
        <f t="shared" si="10"/>
        <v>0.12475209625036236</v>
      </c>
    </row>
    <row r="52" spans="1:13" x14ac:dyDescent="0.35">
      <c r="A52" s="134">
        <v>2024</v>
      </c>
      <c r="B52" s="126" t="s">
        <v>192</v>
      </c>
      <c r="C52" s="134" t="s">
        <v>190</v>
      </c>
      <c r="D52" s="135">
        <v>16523.681519013742</v>
      </c>
      <c r="E52" s="173"/>
      <c r="F52" s="134" t="s">
        <v>191</v>
      </c>
      <c r="G52" s="104">
        <f t="shared" ref="G52:G57" si="11">ROUND((1+AVERAGE(H48:H50))*G51,0)</f>
        <v>7752923</v>
      </c>
      <c r="H52" s="100">
        <f t="shared" si="0"/>
        <v>2.4331726240541807E-2</v>
      </c>
      <c r="I52" s="99">
        <f>IFERROR(VLOOKUP(A52,'Approp Path'!A18:B34,2,FALSE),I51)</f>
        <v>14213704000</v>
      </c>
      <c r="J52" s="99">
        <f>27500000</f>
        <v>27500000</v>
      </c>
      <c r="K52" s="100">
        <f t="shared" si="8"/>
        <v>1.4090754604998423E-3</v>
      </c>
      <c r="L52" s="103">
        <f t="shared" si="9"/>
        <v>1829.7878103523019</v>
      </c>
      <c r="M52" s="116">
        <f t="shared" si="10"/>
        <v>0.11073729593775887</v>
      </c>
    </row>
    <row r="53" spans="1:13" ht="13.15" thickBot="1" x14ac:dyDescent="0.4">
      <c r="A53" s="134">
        <v>2025</v>
      </c>
      <c r="B53" s="126" t="s">
        <v>193</v>
      </c>
      <c r="C53" s="134" t="s">
        <v>191</v>
      </c>
      <c r="D53" s="129">
        <v>17441.99367233762</v>
      </c>
      <c r="E53" s="173"/>
      <c r="F53" s="134" t="s">
        <v>192</v>
      </c>
      <c r="G53" s="104">
        <f t="shared" si="11"/>
        <v>7941565</v>
      </c>
      <c r="H53" s="100">
        <f t="shared" si="0"/>
        <v>2.6047007107541154E-2</v>
      </c>
      <c r="I53" s="99">
        <f>IFERROR(VLOOKUP(A53,'Approp Path'!A19:B35,2,FALSE),I52)</f>
        <v>14213703999.999996</v>
      </c>
      <c r="J53" s="99">
        <f>27500000</f>
        <v>27500000</v>
      </c>
      <c r="K53" s="100">
        <f t="shared" si="8"/>
        <v>0</v>
      </c>
      <c r="L53" s="103">
        <f t="shared" si="9"/>
        <v>1786.3234765439804</v>
      </c>
      <c r="M53" s="116">
        <f t="shared" si="10"/>
        <v>0.10241509715583866</v>
      </c>
    </row>
    <row r="54" spans="1:13" x14ac:dyDescent="0.35">
      <c r="A54" s="134">
        <v>2026</v>
      </c>
      <c r="B54" s="126" t="s">
        <v>194</v>
      </c>
      <c r="C54" s="134" t="s">
        <v>192</v>
      </c>
      <c r="D54" s="105">
        <f>D53*(E54+1)</f>
        <v>17895.120081466186</v>
      </c>
      <c r="E54" s="177">
        <f>VLOOKUP("FY Inflation",FY_Inflation,MATCH(A52,FY_Inflation_year_row,0),0)</f>
        <v>2.5979049049146639E-2</v>
      </c>
      <c r="F54" s="126" t="s">
        <v>193</v>
      </c>
      <c r="G54" s="104">
        <f t="shared" si="11"/>
        <v>8148419</v>
      </c>
      <c r="H54" s="100">
        <f t="shared" si="0"/>
        <v>2.2143313936114462E-2</v>
      </c>
      <c r="I54" s="99">
        <f>IFERROR(VLOOKUP(A54,'Approp Path'!A20:B36,2,FALSE),I53)</f>
        <v>14341248697</v>
      </c>
      <c r="J54" s="99">
        <f>J53</f>
        <v>27500000</v>
      </c>
      <c r="K54" s="100">
        <f t="shared" si="8"/>
        <v>8.9733609902109546E-3</v>
      </c>
      <c r="L54" s="103">
        <f t="shared" si="9"/>
        <v>1756.628948143192</v>
      </c>
      <c r="M54" s="116">
        <f t="shared" si="10"/>
        <v>9.8162456588515246E-2</v>
      </c>
    </row>
    <row r="55" spans="1:13" x14ac:dyDescent="0.35">
      <c r="A55" s="134">
        <v>2027</v>
      </c>
      <c r="B55" s="126" t="s">
        <v>467</v>
      </c>
      <c r="C55" s="134" t="s">
        <v>193</v>
      </c>
      <c r="D55" s="105">
        <f>D54*(E55+1)</f>
        <v>18377.385358891021</v>
      </c>
      <c r="E55" s="177">
        <f>VLOOKUP("FY Inflation",FY_Inflation,MATCH(A53,FY_Inflation_year_row,0),0)</f>
        <v>2.6949541284403685E-2</v>
      </c>
      <c r="F55" s="134" t="s">
        <v>194</v>
      </c>
      <c r="G55" s="104">
        <f t="shared" si="11"/>
        <v>8328852</v>
      </c>
      <c r="H55" s="100">
        <f t="shared" si="0"/>
        <v>2.4174039831659888E-2</v>
      </c>
      <c r="I55" s="99">
        <f>IFERROR(VLOOKUP(A55,'Approp Path'!A21:B37,2,FALSE),I54)</f>
        <v>15400819000</v>
      </c>
      <c r="J55" s="99">
        <f>J54</f>
        <v>27500000</v>
      </c>
      <c r="K55" s="100">
        <f t="shared" si="8"/>
        <v>7.3882708917923479E-2</v>
      </c>
      <c r="L55" s="103">
        <f>((I55-J55)/G55)</f>
        <v>1845.7908724995955</v>
      </c>
      <c r="M55" s="116">
        <f t="shared" si="10"/>
        <v>0.10043816551991699</v>
      </c>
    </row>
    <row r="56" spans="1:13" x14ac:dyDescent="0.35">
      <c r="A56" s="134">
        <v>2028</v>
      </c>
      <c r="B56" s="126" t="s">
        <v>468</v>
      </c>
      <c r="C56" s="134" t="s">
        <v>194</v>
      </c>
      <c r="D56" s="105">
        <f>D55*(E56+1)</f>
        <v>18872.647464319849</v>
      </c>
      <c r="E56" s="177">
        <f>VLOOKUP("FY Inflation",FY_Inflation,MATCH(A53,FY_Inflation_year_row,0),0)</f>
        <v>2.6949541284403685E-2</v>
      </c>
      <c r="F56" s="134" t="s">
        <v>467</v>
      </c>
      <c r="G56" s="104">
        <f t="shared" si="11"/>
        <v>8530194</v>
      </c>
      <c r="H56" s="100">
        <f t="shared" si="0"/>
        <v>2.4121491257994787E-2</v>
      </c>
      <c r="I56" s="99">
        <f>IFERROR(VLOOKUP(A56,'Approp Path'!A22:B38,2,FALSE),I55)</f>
        <v>15400819000</v>
      </c>
      <c r="J56" s="99">
        <f>J54</f>
        <v>27500000</v>
      </c>
      <c r="K56" s="100">
        <f t="shared" si="8"/>
        <v>0</v>
      </c>
      <c r="L56" s="103">
        <f t="shared" si="9"/>
        <v>1802.2238415679644</v>
      </c>
      <c r="M56" s="116">
        <f t="shared" si="10"/>
        <v>9.5493959974359902E-2</v>
      </c>
    </row>
    <row r="57" spans="1:13" x14ac:dyDescent="0.35">
      <c r="A57" s="134">
        <v>2029</v>
      </c>
      <c r="B57" s="126" t="s">
        <v>469</v>
      </c>
      <c r="C57" s="134" t="s">
        <v>467</v>
      </c>
      <c r="D57" s="105">
        <f>D56*(E57+1)</f>
        <v>19319.937784762977</v>
      </c>
      <c r="E57" s="177">
        <f>VLOOKUP("FY Inflation",FY_Inflation,MATCH(A54,FY_Inflation_year_row,0),0)</f>
        <v>2.3700454389812761E-2</v>
      </c>
      <c r="F57" s="134" t="s">
        <v>468</v>
      </c>
      <c r="G57" s="104">
        <f t="shared" si="11"/>
        <v>8735955</v>
      </c>
      <c r="H57" s="100">
        <f t="shared" si="0"/>
        <v>-1</v>
      </c>
      <c r="I57" s="99">
        <f>IFERROR(VLOOKUP(A57,'Approp Path'!A23:B39,2,FALSE),I56)</f>
        <v>15400819000</v>
      </c>
      <c r="J57" s="99">
        <f>J55</f>
        <v>27500000</v>
      </c>
      <c r="K57" s="100">
        <f t="shared" si="8"/>
        <v>0</v>
      </c>
      <c r="L57" s="103">
        <f t="shared" si="9"/>
        <v>1759.7754338249224</v>
      </c>
      <c r="M57" s="116">
        <f t="shared" si="10"/>
        <v>9.1085978300240775E-2</v>
      </c>
    </row>
  </sheetData>
  <phoneticPr fontId="29" type="noConversion"/>
  <pageMargins left="0.7" right="0.7" top="0.75" bottom="0.75" header="0.3" footer="0.3"/>
  <pageSetup scale="53"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N71"/>
  <sheetViews>
    <sheetView workbookViewId="0">
      <selection activeCell="B12" sqref="B12"/>
    </sheetView>
  </sheetViews>
  <sheetFormatPr defaultColWidth="9.265625" defaultRowHeight="13.15" x14ac:dyDescent="0.4"/>
  <cols>
    <col min="1" max="1" width="49.59765625" style="15" customWidth="1"/>
    <col min="2" max="8" width="13.73046875" style="15" customWidth="1"/>
    <col min="9" max="9" width="9.265625" style="15"/>
    <col min="10" max="10" width="31.3984375" style="15" bestFit="1" customWidth="1"/>
    <col min="11" max="11" width="13.73046875" style="15" bestFit="1" customWidth="1"/>
    <col min="12" max="12" width="29" style="15" bestFit="1" customWidth="1"/>
    <col min="13" max="13" width="13.73046875" style="15" bestFit="1" customWidth="1"/>
    <col min="14" max="14" width="14.73046875" style="45" bestFit="1" customWidth="1"/>
    <col min="15" max="16384" width="9.265625" style="15"/>
  </cols>
  <sheetData>
    <row r="1" spans="1:14" s="22" customFormat="1" ht="13.5" x14ac:dyDescent="0.4">
      <c r="A1" s="20" t="s">
        <v>205</v>
      </c>
      <c r="B1" s="21"/>
      <c r="C1" s="21"/>
      <c r="D1" s="21"/>
      <c r="E1" s="21"/>
      <c r="F1" s="21"/>
      <c r="G1" s="21"/>
      <c r="H1" s="21"/>
      <c r="I1" s="183"/>
      <c r="J1" s="183"/>
      <c r="K1" s="183"/>
      <c r="L1" s="183"/>
      <c r="M1" s="183"/>
      <c r="N1" s="184"/>
    </row>
    <row r="2" spans="1:14" s="23" customFormat="1" ht="13.5" x14ac:dyDescent="0.4">
      <c r="A2" s="21"/>
      <c r="B2" s="21"/>
      <c r="C2" s="21"/>
      <c r="D2" s="21"/>
      <c r="E2" s="21"/>
      <c r="F2" s="21"/>
      <c r="G2" s="21"/>
      <c r="H2" s="21"/>
      <c r="N2" s="44"/>
    </row>
    <row r="3" spans="1:14" s="24" customFormat="1" ht="13.5" x14ac:dyDescent="0.45">
      <c r="A3" s="13" t="s">
        <v>1</v>
      </c>
      <c r="B3" s="14" t="s">
        <v>204</v>
      </c>
      <c r="C3" s="14" t="s">
        <v>199</v>
      </c>
      <c r="D3" s="14" t="s">
        <v>200</v>
      </c>
      <c r="E3" s="14" t="s">
        <v>201</v>
      </c>
      <c r="F3" s="14" t="s">
        <v>202</v>
      </c>
      <c r="G3" s="14" t="s">
        <v>203</v>
      </c>
      <c r="H3" s="14" t="s">
        <v>198</v>
      </c>
      <c r="L3" s="23"/>
      <c r="M3" s="23"/>
      <c r="N3" s="45"/>
    </row>
    <row r="4" spans="1:14" ht="13.5" x14ac:dyDescent="0.45">
      <c r="A4" s="15" t="s">
        <v>2</v>
      </c>
      <c r="B4" s="16">
        <v>84772</v>
      </c>
      <c r="C4" s="16">
        <v>7111</v>
      </c>
      <c r="D4" s="16">
        <v>33539</v>
      </c>
      <c r="E4" s="16">
        <v>38936</v>
      </c>
      <c r="F4" s="16">
        <v>72475</v>
      </c>
      <c r="G4" s="16">
        <v>31564</v>
      </c>
      <c r="H4" s="16">
        <v>5186</v>
      </c>
      <c r="L4" s="24"/>
      <c r="M4" s="24"/>
    </row>
    <row r="5" spans="1:14" x14ac:dyDescent="0.4">
      <c r="A5" s="15" t="s">
        <v>3</v>
      </c>
      <c r="B5" s="16">
        <v>17535</v>
      </c>
      <c r="C5" s="16">
        <v>1954</v>
      </c>
      <c r="D5" s="16">
        <v>7827</v>
      </c>
      <c r="E5" s="16">
        <v>6876</v>
      </c>
      <c r="F5" s="16">
        <v>14703</v>
      </c>
      <c r="G5" s="16">
        <v>5316</v>
      </c>
      <c r="H5" s="15">
        <v>878</v>
      </c>
    </row>
    <row r="6" spans="1:14" x14ac:dyDescent="0.4">
      <c r="A6" s="15" t="s">
        <v>4</v>
      </c>
      <c r="B6" s="16">
        <v>131136</v>
      </c>
      <c r="C6" s="16">
        <v>14097</v>
      </c>
      <c r="D6" s="16">
        <v>57025</v>
      </c>
      <c r="E6" s="16">
        <v>54172</v>
      </c>
      <c r="F6" s="16">
        <v>111197</v>
      </c>
      <c r="G6" s="16">
        <v>39853</v>
      </c>
      <c r="H6" s="16">
        <v>5842</v>
      </c>
    </row>
    <row r="7" spans="1:14" x14ac:dyDescent="0.4">
      <c r="A7" s="15" t="s">
        <v>5</v>
      </c>
      <c r="B7" s="16">
        <v>65965</v>
      </c>
      <c r="C7" s="16">
        <v>11795</v>
      </c>
      <c r="D7" s="16">
        <v>24311</v>
      </c>
      <c r="E7" s="16">
        <v>26938</v>
      </c>
      <c r="F7" s="16">
        <v>51249</v>
      </c>
      <c r="G7" s="16">
        <v>21278</v>
      </c>
      <c r="H7" s="16">
        <v>2921</v>
      </c>
    </row>
    <row r="8" spans="1:14" x14ac:dyDescent="0.4">
      <c r="A8" s="15" t="s">
        <v>6</v>
      </c>
      <c r="B8" s="16">
        <v>670904</v>
      </c>
      <c r="C8" s="16">
        <v>68002</v>
      </c>
      <c r="D8" s="16">
        <v>273987</v>
      </c>
      <c r="E8" s="16">
        <v>298052</v>
      </c>
      <c r="F8" s="16">
        <v>572039</v>
      </c>
      <c r="G8" s="16">
        <v>226513</v>
      </c>
      <c r="H8" s="16">
        <v>30863</v>
      </c>
    </row>
    <row r="9" spans="1:14" x14ac:dyDescent="0.4">
      <c r="A9" s="15" t="s">
        <v>7</v>
      </c>
      <c r="B9" s="16">
        <v>83077</v>
      </c>
      <c r="C9" s="16">
        <v>10802</v>
      </c>
      <c r="D9" s="16">
        <v>34301</v>
      </c>
      <c r="E9" s="16">
        <v>33585</v>
      </c>
      <c r="F9" s="16">
        <v>67886</v>
      </c>
      <c r="G9" s="16">
        <v>25796</v>
      </c>
      <c r="H9" s="16">
        <v>4389</v>
      </c>
    </row>
    <row r="10" spans="1:14" x14ac:dyDescent="0.4">
      <c r="A10" s="15" t="s">
        <v>8</v>
      </c>
      <c r="B10" s="16">
        <v>68987</v>
      </c>
      <c r="C10" s="16">
        <v>7660</v>
      </c>
      <c r="D10" s="16">
        <v>26543</v>
      </c>
      <c r="E10" s="16">
        <v>31386</v>
      </c>
      <c r="F10" s="16">
        <v>57929</v>
      </c>
      <c r="G10" s="16">
        <v>24087</v>
      </c>
      <c r="H10" s="16">
        <v>3398</v>
      </c>
    </row>
    <row r="11" spans="1:14" x14ac:dyDescent="0.4">
      <c r="A11" s="15" t="s">
        <v>9</v>
      </c>
      <c r="B11" s="16">
        <v>19435</v>
      </c>
      <c r="C11" s="16">
        <v>2264</v>
      </c>
      <c r="D11" s="16">
        <v>7942</v>
      </c>
      <c r="E11" s="16">
        <v>8298</v>
      </c>
      <c r="F11" s="16">
        <v>16240</v>
      </c>
      <c r="G11" s="16">
        <v>6362</v>
      </c>
      <c r="H11" s="15">
        <v>931</v>
      </c>
    </row>
    <row r="12" spans="1:14" x14ac:dyDescent="0.4">
      <c r="A12" s="15" t="s">
        <v>10</v>
      </c>
      <c r="B12" s="16">
        <v>10863</v>
      </c>
      <c r="C12" s="15">
        <v>567</v>
      </c>
      <c r="D12" s="16">
        <v>3549</v>
      </c>
      <c r="E12" s="16">
        <v>5834</v>
      </c>
      <c r="F12" s="16">
        <v>9383</v>
      </c>
      <c r="G12" s="16">
        <v>4778</v>
      </c>
      <c r="H12" s="15">
        <v>913</v>
      </c>
    </row>
    <row r="13" spans="1:14" x14ac:dyDescent="0.4">
      <c r="A13" s="15" t="s">
        <v>11</v>
      </c>
      <c r="B13" s="16">
        <v>391092</v>
      </c>
      <c r="C13" s="16">
        <v>32819</v>
      </c>
      <c r="D13" s="16">
        <v>159882</v>
      </c>
      <c r="E13" s="16">
        <v>178372</v>
      </c>
      <c r="F13" s="16">
        <v>338254</v>
      </c>
      <c r="G13" s="16">
        <v>137222</v>
      </c>
      <c r="H13" s="16">
        <v>20019</v>
      </c>
    </row>
    <row r="14" spans="1:14" x14ac:dyDescent="0.4">
      <c r="A14" s="15" t="s">
        <v>12</v>
      </c>
      <c r="B14" s="16">
        <v>189424</v>
      </c>
      <c r="C14" s="16">
        <v>18454</v>
      </c>
      <c r="D14" s="16">
        <v>83152</v>
      </c>
      <c r="E14" s="16">
        <v>80595</v>
      </c>
      <c r="F14" s="16">
        <v>163747</v>
      </c>
      <c r="G14" s="16">
        <v>59192</v>
      </c>
      <c r="H14" s="16">
        <v>7223</v>
      </c>
    </row>
    <row r="15" spans="1:14" x14ac:dyDescent="0.4">
      <c r="A15" s="15" t="s">
        <v>13</v>
      </c>
      <c r="B15" s="16">
        <v>20441</v>
      </c>
      <c r="C15" s="16">
        <v>2477</v>
      </c>
      <c r="D15" s="16">
        <v>7497</v>
      </c>
      <c r="E15" s="16">
        <v>9823</v>
      </c>
      <c r="F15" s="16">
        <v>17320</v>
      </c>
      <c r="G15" s="16">
        <v>7364</v>
      </c>
      <c r="H15" s="15">
        <v>644</v>
      </c>
    </row>
    <row r="16" spans="1:14" x14ac:dyDescent="0.4">
      <c r="A16" s="15" t="s">
        <v>14</v>
      </c>
      <c r="B16" s="16">
        <v>27989</v>
      </c>
      <c r="C16" s="16">
        <v>3976</v>
      </c>
      <c r="D16" s="16">
        <v>11982</v>
      </c>
      <c r="E16" s="16">
        <v>10915</v>
      </c>
      <c r="F16" s="16">
        <v>22897</v>
      </c>
      <c r="G16" s="16">
        <v>8228</v>
      </c>
      <c r="H16" s="16">
        <v>1116</v>
      </c>
    </row>
    <row r="17" spans="1:8" x14ac:dyDescent="0.4">
      <c r="A17" s="15" t="s">
        <v>15</v>
      </c>
      <c r="B17" s="16">
        <v>321668</v>
      </c>
      <c r="C17" s="16">
        <v>36957</v>
      </c>
      <c r="D17" s="16">
        <v>129220</v>
      </c>
      <c r="E17" s="16">
        <v>140099</v>
      </c>
      <c r="F17" s="16">
        <v>269319</v>
      </c>
      <c r="G17" s="16">
        <v>108236</v>
      </c>
      <c r="H17" s="16">
        <v>15392</v>
      </c>
    </row>
    <row r="18" spans="1:8" x14ac:dyDescent="0.4">
      <c r="A18" s="15" t="s">
        <v>16</v>
      </c>
      <c r="B18" s="16">
        <v>179076</v>
      </c>
      <c r="C18" s="16">
        <v>19530</v>
      </c>
      <c r="D18" s="16">
        <v>76593</v>
      </c>
      <c r="E18" s="16">
        <v>73578</v>
      </c>
      <c r="F18" s="16">
        <v>150171</v>
      </c>
      <c r="G18" s="16">
        <v>58279</v>
      </c>
      <c r="H18" s="16">
        <v>9375</v>
      </c>
    </row>
    <row r="19" spans="1:8" x14ac:dyDescent="0.4">
      <c r="A19" s="15" t="s">
        <v>17</v>
      </c>
      <c r="B19" s="16">
        <v>69204</v>
      </c>
      <c r="C19" s="16">
        <v>5872</v>
      </c>
      <c r="D19" s="16">
        <v>26700</v>
      </c>
      <c r="E19" s="16">
        <v>33156</v>
      </c>
      <c r="F19" s="16">
        <v>59856</v>
      </c>
      <c r="G19" s="16">
        <v>25852</v>
      </c>
      <c r="H19" s="16">
        <v>3476</v>
      </c>
    </row>
    <row r="20" spans="1:8" x14ac:dyDescent="0.4">
      <c r="A20" s="15" t="s">
        <v>18</v>
      </c>
      <c r="B20" s="16">
        <v>65712</v>
      </c>
      <c r="C20" s="16">
        <v>9608</v>
      </c>
      <c r="D20" s="16">
        <v>27036</v>
      </c>
      <c r="E20" s="16">
        <v>26142</v>
      </c>
      <c r="F20" s="16">
        <v>53178</v>
      </c>
      <c r="G20" s="16">
        <v>20137</v>
      </c>
      <c r="H20" s="16">
        <v>2926</v>
      </c>
    </row>
    <row r="21" spans="1:8" x14ac:dyDescent="0.4">
      <c r="A21" s="15" t="s">
        <v>19</v>
      </c>
      <c r="B21" s="16">
        <v>109187</v>
      </c>
      <c r="C21" s="16">
        <v>20591</v>
      </c>
      <c r="D21" s="16">
        <v>48572</v>
      </c>
      <c r="E21" s="16">
        <v>36221</v>
      </c>
      <c r="F21" s="16">
        <v>84793</v>
      </c>
      <c r="G21" s="16">
        <v>27330</v>
      </c>
      <c r="H21" s="16">
        <v>3803</v>
      </c>
    </row>
    <row r="22" spans="1:8" x14ac:dyDescent="0.4">
      <c r="A22" s="15" t="s">
        <v>20</v>
      </c>
      <c r="B22" s="16">
        <v>88153</v>
      </c>
      <c r="C22" s="16">
        <v>10151</v>
      </c>
      <c r="D22" s="16">
        <v>38902</v>
      </c>
      <c r="E22" s="16">
        <v>34677</v>
      </c>
      <c r="F22" s="16">
        <v>73579</v>
      </c>
      <c r="G22" s="16">
        <v>26969</v>
      </c>
      <c r="H22" s="16">
        <v>4423</v>
      </c>
    </row>
    <row r="23" spans="1:8" x14ac:dyDescent="0.4">
      <c r="A23" s="15" t="s">
        <v>21</v>
      </c>
      <c r="B23" s="16">
        <v>34425</v>
      </c>
      <c r="C23" s="16">
        <v>3889</v>
      </c>
      <c r="D23" s="16">
        <v>13795</v>
      </c>
      <c r="E23" s="16">
        <v>15250</v>
      </c>
      <c r="F23" s="16">
        <v>29045</v>
      </c>
      <c r="G23" s="16">
        <v>11703</v>
      </c>
      <c r="H23" s="16">
        <v>1491</v>
      </c>
    </row>
    <row r="24" spans="1:8" x14ac:dyDescent="0.4">
      <c r="A24" s="15" t="s">
        <v>22</v>
      </c>
      <c r="B24" s="16">
        <v>104585</v>
      </c>
      <c r="C24" s="16">
        <v>11752</v>
      </c>
      <c r="D24" s="16">
        <v>41664</v>
      </c>
      <c r="E24" s="16">
        <v>46502</v>
      </c>
      <c r="F24" s="16">
        <v>88166</v>
      </c>
      <c r="G24" s="16">
        <v>35381</v>
      </c>
      <c r="H24" s="16">
        <v>4667</v>
      </c>
    </row>
    <row r="25" spans="1:8" x14ac:dyDescent="0.4">
      <c r="A25" s="15" t="s">
        <v>23</v>
      </c>
      <c r="B25" s="16">
        <v>166747</v>
      </c>
      <c r="C25" s="16">
        <v>15920</v>
      </c>
      <c r="D25" s="16">
        <v>66711</v>
      </c>
      <c r="E25" s="16">
        <v>76275</v>
      </c>
      <c r="F25" s="16">
        <v>142986</v>
      </c>
      <c r="G25" s="16">
        <v>57410</v>
      </c>
      <c r="H25" s="16">
        <v>7841</v>
      </c>
    </row>
    <row r="26" spans="1:8" x14ac:dyDescent="0.4">
      <c r="A26" s="15" t="s">
        <v>24</v>
      </c>
      <c r="B26" s="16">
        <v>236576</v>
      </c>
      <c r="C26" s="16">
        <v>24097</v>
      </c>
      <c r="D26" s="16">
        <v>96472</v>
      </c>
      <c r="E26" s="16">
        <v>103427</v>
      </c>
      <c r="F26" s="16">
        <v>199899</v>
      </c>
      <c r="G26" s="16">
        <v>81217</v>
      </c>
      <c r="H26" s="16">
        <v>12580</v>
      </c>
    </row>
    <row r="27" spans="1:8" x14ac:dyDescent="0.4">
      <c r="A27" s="15" t="s">
        <v>25</v>
      </c>
      <c r="B27" s="16">
        <v>119332</v>
      </c>
      <c r="C27" s="16">
        <v>14286</v>
      </c>
      <c r="D27" s="16">
        <v>47447</v>
      </c>
      <c r="E27" s="16">
        <v>50513</v>
      </c>
      <c r="F27" s="16">
        <v>97960</v>
      </c>
      <c r="G27" s="16">
        <v>40722</v>
      </c>
      <c r="H27" s="16">
        <v>7086</v>
      </c>
    </row>
    <row r="28" spans="1:8" x14ac:dyDescent="0.4">
      <c r="A28" s="15" t="s">
        <v>26</v>
      </c>
      <c r="B28" s="16">
        <v>65717</v>
      </c>
      <c r="C28" s="16">
        <v>8422</v>
      </c>
      <c r="D28" s="16">
        <v>27796</v>
      </c>
      <c r="E28" s="16">
        <v>26247</v>
      </c>
      <c r="F28" s="16">
        <v>54043</v>
      </c>
      <c r="G28" s="16">
        <v>21093</v>
      </c>
      <c r="H28" s="16">
        <v>3252</v>
      </c>
    </row>
    <row r="29" spans="1:8" x14ac:dyDescent="0.4">
      <c r="A29" s="15" t="s">
        <v>27</v>
      </c>
      <c r="B29" s="16">
        <v>138292</v>
      </c>
      <c r="C29" s="16">
        <v>15629</v>
      </c>
      <c r="D29" s="16">
        <v>57862</v>
      </c>
      <c r="E29" s="16">
        <v>57381</v>
      </c>
      <c r="F29" s="16">
        <v>115243</v>
      </c>
      <c r="G29" s="16">
        <v>45813</v>
      </c>
      <c r="H29" s="16">
        <v>7420</v>
      </c>
    </row>
    <row r="30" spans="1:8" x14ac:dyDescent="0.4">
      <c r="A30" s="15" t="s">
        <v>28</v>
      </c>
      <c r="B30" s="16">
        <v>18158</v>
      </c>
      <c r="C30" s="16">
        <v>1971</v>
      </c>
      <c r="D30" s="16">
        <v>7293</v>
      </c>
      <c r="E30" s="16">
        <v>8107</v>
      </c>
      <c r="F30" s="16">
        <v>15400</v>
      </c>
      <c r="G30" s="16">
        <v>6287</v>
      </c>
      <c r="H30" s="15">
        <v>787</v>
      </c>
    </row>
    <row r="31" spans="1:8" x14ac:dyDescent="0.4">
      <c r="A31" s="15" t="s">
        <v>29</v>
      </c>
      <c r="B31" s="16">
        <v>45687</v>
      </c>
      <c r="C31" s="16">
        <v>5179</v>
      </c>
      <c r="D31" s="16">
        <v>20047</v>
      </c>
      <c r="E31" s="16">
        <v>18295</v>
      </c>
      <c r="F31" s="16">
        <v>38342</v>
      </c>
      <c r="G31" s="16">
        <v>13910</v>
      </c>
      <c r="H31" s="16">
        <v>2166</v>
      </c>
    </row>
    <row r="32" spans="1:8" x14ac:dyDescent="0.4">
      <c r="A32" s="15" t="s">
        <v>30</v>
      </c>
      <c r="B32" s="16">
        <v>48332</v>
      </c>
      <c r="C32" s="16">
        <v>5715</v>
      </c>
      <c r="D32" s="16">
        <v>20372</v>
      </c>
      <c r="E32" s="16">
        <v>20446</v>
      </c>
      <c r="F32" s="16">
        <v>40818</v>
      </c>
      <c r="G32" s="16">
        <v>14912</v>
      </c>
      <c r="H32" s="16">
        <v>1799</v>
      </c>
    </row>
    <row r="33" spans="1:8" x14ac:dyDescent="0.4">
      <c r="A33" s="15" t="s">
        <v>31</v>
      </c>
      <c r="B33" s="16">
        <v>32274</v>
      </c>
      <c r="C33" s="16">
        <v>2523</v>
      </c>
      <c r="D33" s="16">
        <v>11337</v>
      </c>
      <c r="E33" s="16">
        <v>15718</v>
      </c>
      <c r="F33" s="16">
        <v>27055</v>
      </c>
      <c r="G33" s="16">
        <v>13088</v>
      </c>
      <c r="H33" s="16">
        <v>2696</v>
      </c>
    </row>
    <row r="34" spans="1:8" x14ac:dyDescent="0.4">
      <c r="A34" s="15" t="s">
        <v>32</v>
      </c>
      <c r="B34" s="16">
        <v>250099</v>
      </c>
      <c r="C34" s="16">
        <v>19580</v>
      </c>
      <c r="D34" s="16">
        <v>105315</v>
      </c>
      <c r="E34" s="16">
        <v>113232</v>
      </c>
      <c r="F34" s="16">
        <v>218547</v>
      </c>
      <c r="G34" s="16">
        <v>86516</v>
      </c>
      <c r="H34" s="16">
        <v>11972</v>
      </c>
    </row>
    <row r="35" spans="1:8" x14ac:dyDescent="0.4">
      <c r="A35" s="15" t="s">
        <v>33</v>
      </c>
      <c r="B35" s="16">
        <v>46384</v>
      </c>
      <c r="C35" s="16">
        <v>6337</v>
      </c>
      <c r="D35" s="16">
        <v>18187</v>
      </c>
      <c r="E35" s="16">
        <v>19353</v>
      </c>
      <c r="F35" s="16">
        <v>37540</v>
      </c>
      <c r="G35" s="16">
        <v>15587</v>
      </c>
      <c r="H35" s="16">
        <v>2507</v>
      </c>
    </row>
    <row r="36" spans="1:8" x14ac:dyDescent="0.4">
      <c r="A36" s="15" t="s">
        <v>34</v>
      </c>
      <c r="B36" s="16">
        <v>453715</v>
      </c>
      <c r="C36" s="16">
        <v>63040</v>
      </c>
      <c r="D36" s="16">
        <v>168162</v>
      </c>
      <c r="E36" s="16">
        <v>198598</v>
      </c>
      <c r="F36" s="16">
        <v>366760</v>
      </c>
      <c r="G36" s="16">
        <v>155341</v>
      </c>
      <c r="H36" s="16">
        <v>23915</v>
      </c>
    </row>
    <row r="37" spans="1:8" x14ac:dyDescent="0.4">
      <c r="A37" s="15" t="s">
        <v>35</v>
      </c>
      <c r="B37" s="16">
        <v>191668</v>
      </c>
      <c r="C37" s="16">
        <v>19914</v>
      </c>
      <c r="D37" s="16">
        <v>84498</v>
      </c>
      <c r="E37" s="16">
        <v>78231</v>
      </c>
      <c r="F37" s="16">
        <v>162729</v>
      </c>
      <c r="G37" s="16">
        <v>60411</v>
      </c>
      <c r="H37" s="16">
        <v>9025</v>
      </c>
    </row>
    <row r="38" spans="1:8" x14ac:dyDescent="0.4">
      <c r="A38" s="15" t="s">
        <v>36</v>
      </c>
      <c r="B38" s="16">
        <v>13616</v>
      </c>
      <c r="C38" s="16">
        <v>1560</v>
      </c>
      <c r="D38" s="16">
        <v>5721</v>
      </c>
      <c r="E38" s="16">
        <v>5678</v>
      </c>
      <c r="F38" s="16">
        <v>11399</v>
      </c>
      <c r="G38" s="16">
        <v>4428</v>
      </c>
      <c r="H38" s="15">
        <v>657</v>
      </c>
    </row>
    <row r="39" spans="1:8" x14ac:dyDescent="0.4">
      <c r="A39" s="15" t="s">
        <v>37</v>
      </c>
      <c r="B39" s="16">
        <v>269742</v>
      </c>
      <c r="C39" s="16">
        <v>23137</v>
      </c>
      <c r="D39" s="16">
        <v>102462</v>
      </c>
      <c r="E39" s="16">
        <v>126397</v>
      </c>
      <c r="F39" s="16">
        <v>228859</v>
      </c>
      <c r="G39" s="16">
        <v>103134</v>
      </c>
      <c r="H39" s="16">
        <v>17746</v>
      </c>
    </row>
    <row r="40" spans="1:8" x14ac:dyDescent="0.4">
      <c r="A40" s="15" t="s">
        <v>38</v>
      </c>
      <c r="B40" s="16">
        <v>95323</v>
      </c>
      <c r="C40" s="16">
        <v>7617</v>
      </c>
      <c r="D40" s="16">
        <v>40309</v>
      </c>
      <c r="E40" s="16">
        <v>42834</v>
      </c>
      <c r="F40" s="16">
        <v>83143</v>
      </c>
      <c r="G40" s="16">
        <v>33216</v>
      </c>
      <c r="H40" s="16">
        <v>4563</v>
      </c>
    </row>
    <row r="41" spans="1:8" x14ac:dyDescent="0.4">
      <c r="A41" s="15" t="s">
        <v>39</v>
      </c>
      <c r="B41" s="16">
        <v>78264</v>
      </c>
      <c r="C41" s="16">
        <v>8572</v>
      </c>
      <c r="D41" s="16">
        <v>33605</v>
      </c>
      <c r="E41" s="16">
        <v>32241</v>
      </c>
      <c r="F41" s="16">
        <v>65846</v>
      </c>
      <c r="G41" s="16">
        <v>24470</v>
      </c>
      <c r="H41" s="16">
        <v>3846</v>
      </c>
    </row>
    <row r="42" spans="1:8" x14ac:dyDescent="0.4">
      <c r="A42" s="15" t="s">
        <v>40</v>
      </c>
      <c r="B42" s="16">
        <v>293865</v>
      </c>
      <c r="C42" s="16">
        <v>28145</v>
      </c>
      <c r="D42" s="16">
        <v>109932</v>
      </c>
      <c r="E42" s="16">
        <v>139348</v>
      </c>
      <c r="F42" s="16">
        <v>249280</v>
      </c>
      <c r="G42" s="16">
        <v>110374</v>
      </c>
      <c r="H42" s="16">
        <v>16440</v>
      </c>
    </row>
    <row r="43" spans="1:8" x14ac:dyDescent="0.4">
      <c r="A43" s="15" t="s">
        <v>41</v>
      </c>
      <c r="B43" s="16">
        <v>29033</v>
      </c>
      <c r="C43" s="16">
        <v>2967</v>
      </c>
      <c r="D43" s="16">
        <v>11286</v>
      </c>
      <c r="E43" s="16">
        <v>13366</v>
      </c>
      <c r="F43" s="16">
        <v>24652</v>
      </c>
      <c r="G43" s="16">
        <v>10281</v>
      </c>
      <c r="H43" s="16">
        <v>1414</v>
      </c>
    </row>
    <row r="44" spans="1:8" x14ac:dyDescent="0.4">
      <c r="A44" s="15" t="s">
        <v>42</v>
      </c>
      <c r="B44" s="16">
        <v>103731</v>
      </c>
      <c r="C44" s="16">
        <v>10472</v>
      </c>
      <c r="D44" s="16">
        <v>44438</v>
      </c>
      <c r="E44" s="16">
        <v>43276</v>
      </c>
      <c r="F44" s="16">
        <v>87714</v>
      </c>
      <c r="G44" s="16">
        <v>34955</v>
      </c>
      <c r="H44" s="16">
        <v>5545</v>
      </c>
    </row>
    <row r="45" spans="1:8" x14ac:dyDescent="0.4">
      <c r="A45" s="15" t="s">
        <v>43</v>
      </c>
      <c r="B45" s="16">
        <v>17971</v>
      </c>
      <c r="C45" s="16">
        <v>2683</v>
      </c>
      <c r="D45" s="16">
        <v>8331</v>
      </c>
      <c r="E45" s="16">
        <v>6153</v>
      </c>
      <c r="F45" s="16">
        <v>14484</v>
      </c>
      <c r="G45" s="16">
        <v>4790</v>
      </c>
      <c r="H45" s="15">
        <v>804</v>
      </c>
    </row>
    <row r="46" spans="1:8" x14ac:dyDescent="0.4">
      <c r="A46" s="15" t="s">
        <v>44</v>
      </c>
      <c r="B46" s="16">
        <v>120925</v>
      </c>
      <c r="C46" s="16">
        <v>12264</v>
      </c>
      <c r="D46" s="16">
        <v>51579</v>
      </c>
      <c r="E46" s="16">
        <v>51002</v>
      </c>
      <c r="F46" s="16">
        <v>102581</v>
      </c>
      <c r="G46" s="16">
        <v>40512</v>
      </c>
      <c r="H46" s="16">
        <v>6080</v>
      </c>
    </row>
    <row r="47" spans="1:8" x14ac:dyDescent="0.4">
      <c r="A47" s="15" t="s">
        <v>45</v>
      </c>
      <c r="B47" s="16">
        <v>472749</v>
      </c>
      <c r="C47" s="16">
        <v>37528</v>
      </c>
      <c r="D47" s="16">
        <v>183620</v>
      </c>
      <c r="E47" s="16">
        <v>227607</v>
      </c>
      <c r="F47" s="16">
        <v>411227</v>
      </c>
      <c r="G47" s="16">
        <v>173602</v>
      </c>
      <c r="H47" s="16">
        <v>23994</v>
      </c>
    </row>
    <row r="48" spans="1:8" x14ac:dyDescent="0.4">
      <c r="A48" s="15" t="s">
        <v>46</v>
      </c>
      <c r="B48" s="16">
        <v>63066</v>
      </c>
      <c r="C48" s="16">
        <v>8023</v>
      </c>
      <c r="D48" s="16">
        <v>28941</v>
      </c>
      <c r="E48" s="16">
        <v>23681</v>
      </c>
      <c r="F48" s="16">
        <v>52622</v>
      </c>
      <c r="G48" s="16">
        <v>17243</v>
      </c>
      <c r="H48" s="16">
        <v>2421</v>
      </c>
    </row>
    <row r="49" spans="1:14" x14ac:dyDescent="0.4">
      <c r="A49" s="15" t="s">
        <v>47</v>
      </c>
      <c r="B49" s="16" t="s">
        <v>206</v>
      </c>
      <c r="C49" s="16" t="s">
        <v>206</v>
      </c>
      <c r="D49" s="16" t="s">
        <v>206</v>
      </c>
      <c r="E49" s="16" t="s">
        <v>206</v>
      </c>
      <c r="F49" s="16" t="s">
        <v>206</v>
      </c>
      <c r="G49" s="16" t="s">
        <v>206</v>
      </c>
      <c r="H49" s="15" t="s">
        <v>206</v>
      </c>
    </row>
    <row r="50" spans="1:14" x14ac:dyDescent="0.4">
      <c r="A50" s="15" t="s">
        <v>48</v>
      </c>
      <c r="B50" s="16">
        <v>168496</v>
      </c>
      <c r="C50" s="16">
        <v>16845</v>
      </c>
      <c r="D50" s="16">
        <v>66317</v>
      </c>
      <c r="E50" s="16">
        <v>76027</v>
      </c>
      <c r="F50" s="16">
        <v>142344</v>
      </c>
      <c r="G50" s="16">
        <v>60808</v>
      </c>
      <c r="H50" s="16">
        <v>9307</v>
      </c>
    </row>
    <row r="51" spans="1:14" x14ac:dyDescent="0.4">
      <c r="A51" s="15" t="s">
        <v>49</v>
      </c>
      <c r="B51" s="16">
        <v>123698</v>
      </c>
      <c r="C51" s="16">
        <v>13529</v>
      </c>
      <c r="D51" s="16">
        <v>54459</v>
      </c>
      <c r="E51" s="16">
        <v>49706</v>
      </c>
      <c r="F51" s="16">
        <v>104165</v>
      </c>
      <c r="G51" s="16">
        <v>38236</v>
      </c>
      <c r="H51" s="16">
        <v>6004</v>
      </c>
    </row>
    <row r="52" spans="1:14" x14ac:dyDescent="0.4">
      <c r="A52" s="15" t="s">
        <v>50</v>
      </c>
      <c r="B52" s="16">
        <v>47855</v>
      </c>
      <c r="C52" s="16">
        <v>5849</v>
      </c>
      <c r="D52" s="16">
        <v>20720</v>
      </c>
      <c r="E52" s="16">
        <v>18902</v>
      </c>
      <c r="F52" s="16">
        <v>39622</v>
      </c>
      <c r="G52" s="16">
        <v>15226</v>
      </c>
      <c r="H52" s="16">
        <v>2384</v>
      </c>
    </row>
    <row r="53" spans="1:14" x14ac:dyDescent="0.4">
      <c r="A53" s="15" t="s">
        <v>51</v>
      </c>
      <c r="B53" s="16">
        <v>126496</v>
      </c>
      <c r="C53" s="16">
        <v>14867</v>
      </c>
      <c r="D53" s="16">
        <v>49526</v>
      </c>
      <c r="E53" s="16">
        <v>56247</v>
      </c>
      <c r="F53" s="16">
        <v>105773</v>
      </c>
      <c r="G53" s="16">
        <v>44572</v>
      </c>
      <c r="H53" s="16">
        <v>5856</v>
      </c>
    </row>
    <row r="54" spans="1:14" x14ac:dyDescent="0.4">
      <c r="A54" s="15" t="s">
        <v>52</v>
      </c>
      <c r="B54" s="16">
        <v>14254</v>
      </c>
      <c r="C54" s="16">
        <v>2842</v>
      </c>
      <c r="D54" s="16">
        <v>5760</v>
      </c>
      <c r="E54" s="16">
        <v>5025</v>
      </c>
      <c r="F54" s="16">
        <v>10785</v>
      </c>
      <c r="G54" s="16">
        <v>3914</v>
      </c>
      <c r="H54" s="15">
        <v>627</v>
      </c>
    </row>
    <row r="55" spans="1:14" x14ac:dyDescent="0.4">
      <c r="A55" s="15" t="s">
        <v>59</v>
      </c>
      <c r="B55" s="16">
        <v>7057</v>
      </c>
      <c r="C55" s="15">
        <v>325</v>
      </c>
      <c r="D55" s="16">
        <v>3164</v>
      </c>
      <c r="E55" s="16">
        <v>3203</v>
      </c>
      <c r="F55" s="16">
        <v>6367</v>
      </c>
      <c r="G55" s="16">
        <v>2389</v>
      </c>
      <c r="H55" s="15">
        <v>365</v>
      </c>
    </row>
    <row r="56" spans="1:14" s="25" customFormat="1" x14ac:dyDescent="0.4">
      <c r="A56" s="15" t="s">
        <v>53</v>
      </c>
      <c r="B56" s="16">
        <v>1171</v>
      </c>
      <c r="C56" s="15">
        <v>169</v>
      </c>
      <c r="D56" s="15">
        <v>406</v>
      </c>
      <c r="E56" s="15">
        <v>572</v>
      </c>
      <c r="F56" s="16">
        <v>978</v>
      </c>
      <c r="G56" s="15">
        <v>381</v>
      </c>
      <c r="H56" s="15">
        <v>24</v>
      </c>
      <c r="L56" s="15"/>
      <c r="M56" s="15"/>
      <c r="N56" s="45"/>
    </row>
    <row r="57" spans="1:14" x14ac:dyDescent="0.4">
      <c r="A57" s="15" t="s">
        <v>54</v>
      </c>
      <c r="B57" s="16">
        <v>2259</v>
      </c>
      <c r="C57" s="15">
        <v>162</v>
      </c>
      <c r="D57" s="15">
        <v>657</v>
      </c>
      <c r="E57" s="16">
        <v>1247</v>
      </c>
      <c r="F57" s="16">
        <v>1904</v>
      </c>
      <c r="G57" s="16">
        <v>1077</v>
      </c>
      <c r="H57" s="15">
        <v>193</v>
      </c>
    </row>
    <row r="58" spans="1:14" x14ac:dyDescent="0.4">
      <c r="A58" s="15" t="s">
        <v>55</v>
      </c>
      <c r="B58" s="15">
        <v>784</v>
      </c>
      <c r="C58" s="15">
        <v>78</v>
      </c>
      <c r="D58" s="15">
        <v>294</v>
      </c>
      <c r="E58" s="15">
        <v>366</v>
      </c>
      <c r="F58" s="15">
        <v>660</v>
      </c>
      <c r="G58" s="15">
        <v>281</v>
      </c>
      <c r="H58" s="15">
        <v>46</v>
      </c>
    </row>
    <row r="59" spans="1:14" x14ac:dyDescent="0.4">
      <c r="A59" s="15" t="s">
        <v>56</v>
      </c>
      <c r="B59" s="16">
        <v>99680</v>
      </c>
      <c r="C59" s="16">
        <v>9644</v>
      </c>
      <c r="D59" s="16">
        <v>46169</v>
      </c>
      <c r="E59" s="16">
        <v>39934</v>
      </c>
      <c r="F59" s="16">
        <v>86103</v>
      </c>
      <c r="G59" s="16">
        <v>27522</v>
      </c>
      <c r="H59" s="16">
        <v>3933</v>
      </c>
    </row>
    <row r="60" spans="1:14" x14ac:dyDescent="0.4">
      <c r="A60" s="15" t="s">
        <v>57</v>
      </c>
      <c r="B60" s="16">
        <v>1557</v>
      </c>
      <c r="C60" s="15">
        <v>152</v>
      </c>
      <c r="D60" s="15">
        <v>402</v>
      </c>
      <c r="E60" s="15">
        <v>863</v>
      </c>
      <c r="F60" s="16">
        <v>1265</v>
      </c>
      <c r="G60" s="15">
        <v>757</v>
      </c>
      <c r="H60" s="15">
        <v>140</v>
      </c>
    </row>
    <row r="61" spans="1:14" x14ac:dyDescent="0.4">
      <c r="A61" s="26"/>
    </row>
    <row r="62" spans="1:14" x14ac:dyDescent="0.4">
      <c r="A62" s="26" t="s">
        <v>207</v>
      </c>
    </row>
    <row r="63" spans="1:14" x14ac:dyDescent="0.4">
      <c r="A63" s="26" t="s">
        <v>208</v>
      </c>
    </row>
    <row r="64" spans="1:14" x14ac:dyDescent="0.4">
      <c r="A64" s="26" t="s">
        <v>209</v>
      </c>
    </row>
    <row r="65" spans="1:1" x14ac:dyDescent="0.4">
      <c r="A65" s="26"/>
    </row>
    <row r="66" spans="1:1" x14ac:dyDescent="0.4">
      <c r="A66" s="26" t="s">
        <v>210</v>
      </c>
    </row>
    <row r="67" spans="1:1" x14ac:dyDescent="0.4">
      <c r="A67" s="26" t="s">
        <v>211</v>
      </c>
    </row>
    <row r="68" spans="1:1" x14ac:dyDescent="0.4">
      <c r="A68" s="26"/>
    </row>
    <row r="69" spans="1:1" x14ac:dyDescent="0.4">
      <c r="A69" s="26" t="s">
        <v>212</v>
      </c>
    </row>
    <row r="70" spans="1:1" x14ac:dyDescent="0.4">
      <c r="A70" s="26"/>
    </row>
    <row r="71" spans="1:1" x14ac:dyDescent="0.4">
      <c r="A71" s="26"/>
    </row>
  </sheetData>
  <phoneticPr fontId="0"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X63"/>
  <sheetViews>
    <sheetView topLeftCell="A36" workbookViewId="0">
      <selection activeCell="B59" sqref="B59"/>
    </sheetView>
  </sheetViews>
  <sheetFormatPr defaultRowHeight="12.75" x14ac:dyDescent="0.35"/>
  <cols>
    <col min="1" max="1" width="26.73046875" bestFit="1" customWidth="1"/>
    <col min="2" max="2" width="12.265625" bestFit="1" customWidth="1"/>
    <col min="3" max="9" width="12.59765625" bestFit="1" customWidth="1"/>
    <col min="10" max="11" width="12.265625" bestFit="1" customWidth="1"/>
    <col min="12" max="18" width="13.3984375" bestFit="1" customWidth="1"/>
    <col min="19" max="20" width="12.265625" bestFit="1" customWidth="1"/>
    <col min="21" max="22" width="13.59765625" bestFit="1" customWidth="1"/>
    <col min="23" max="23" width="13" customWidth="1"/>
    <col min="24" max="24" width="13.265625" customWidth="1"/>
  </cols>
  <sheetData>
    <row r="1" spans="1:24" ht="20.25" x14ac:dyDescent="0.55000000000000004">
      <c r="A1" s="35" t="s">
        <v>213</v>
      </c>
    </row>
    <row r="2" spans="1:24" x14ac:dyDescent="0.35">
      <c r="B2" s="82">
        <f t="shared" ref="B2:H2" si="0">IF((VLOOKUP("FY Inflation",FY_Inflation,MATCH(B$3-1,FY_Inflation_year_row,0),0)+1)&gt;1,(VLOOKUP("FY Inflation",FY_Inflation,MATCH(B$3-1,FY_Inflation_year_row,0),0)+1),1)</f>
        <v>1.0204081632653061</v>
      </c>
      <c r="C2" s="82">
        <f t="shared" si="0"/>
        <v>1.031891891891892</v>
      </c>
      <c r="D2" s="82">
        <f t="shared" si="0"/>
        <v>1.0434782608695652</v>
      </c>
      <c r="E2" s="82">
        <f t="shared" si="0"/>
        <v>1.0130522088353415</v>
      </c>
      <c r="F2" s="82">
        <f t="shared" si="0"/>
        <v>1.0353617443012884</v>
      </c>
      <c r="G2" s="82">
        <f t="shared" si="0"/>
        <v>1.036551862771375</v>
      </c>
      <c r="H2" s="82">
        <f t="shared" si="0"/>
        <v>1</v>
      </c>
      <c r="I2" s="82">
        <f t="shared" ref="I2:X2" si="1">IF((VLOOKUP("FY Inflation",FY_Inflation,MATCH(I$3-1,FY_Inflation_year_row,0),0)+1)&gt;1,(VLOOKUP("FY Inflation",FY_Inflation,MATCH(I$3-1,FY_Inflation_year_row,0),0)+1),1)</f>
        <v>1.0117218760552695</v>
      </c>
      <c r="J2" s="82">
        <f t="shared" si="1"/>
        <v>1.035251999213574</v>
      </c>
      <c r="K2" s="82">
        <f t="shared" si="1"/>
        <v>1.0216234359887113</v>
      </c>
      <c r="L2" s="82">
        <f t="shared" si="1"/>
        <v>1.009636127046434</v>
      </c>
      <c r="M2" s="82">
        <f t="shared" si="1"/>
        <v>1.0166434021563204</v>
      </c>
      <c r="N2" s="82">
        <f t="shared" si="1"/>
        <v>1.0017057443573556</v>
      </c>
      <c r="O2" s="82">
        <f t="shared" si="1"/>
        <v>1.016359875209176</v>
      </c>
      <c r="P2" s="82">
        <f t="shared" si="1"/>
        <v>1.0204112870197617</v>
      </c>
      <c r="Q2" s="82">
        <f t="shared" si="1"/>
        <v>1.0252246992860703</v>
      </c>
      <c r="R2" s="82">
        <f t="shared" si="1"/>
        <v>1.0176404294442138</v>
      </c>
      <c r="S2" s="82">
        <f t="shared" si="1"/>
        <v>1.0118206616772749</v>
      </c>
      <c r="T2" s="82">
        <f t="shared" si="1"/>
        <v>1.062218689033289</v>
      </c>
      <c r="U2" s="82">
        <f t="shared" si="1"/>
        <v>1.0774542733080492</v>
      </c>
      <c r="V2" s="82">
        <f t="shared" si="1"/>
        <v>1.032411446518932</v>
      </c>
      <c r="W2" s="82">
        <f t="shared" si="1"/>
        <v>1.0259790490491467</v>
      </c>
      <c r="X2" s="82">
        <f t="shared" si="1"/>
        <v>1.0269495412844036</v>
      </c>
    </row>
    <row r="3" spans="1:24" x14ac:dyDescent="0.35">
      <c r="A3" s="185" t="s">
        <v>214</v>
      </c>
      <c r="B3" s="186">
        <v>2004</v>
      </c>
      <c r="C3" s="186">
        <v>2005</v>
      </c>
      <c r="D3" s="186">
        <v>2006</v>
      </c>
      <c r="E3" s="186">
        <v>2007</v>
      </c>
      <c r="F3" s="186">
        <v>2008</v>
      </c>
      <c r="G3" s="186">
        <v>2009</v>
      </c>
      <c r="H3" s="186">
        <v>2010</v>
      </c>
      <c r="I3" s="186">
        <v>2011</v>
      </c>
      <c r="J3" s="130">
        <v>2012</v>
      </c>
      <c r="K3" s="115">
        <v>2013</v>
      </c>
      <c r="L3" s="115">
        <v>2014</v>
      </c>
      <c r="M3" s="115">
        <v>2015</v>
      </c>
      <c r="N3" s="115">
        <v>2016</v>
      </c>
      <c r="O3" s="115">
        <v>2017</v>
      </c>
      <c r="P3" s="115">
        <v>2018</v>
      </c>
      <c r="Q3" s="115">
        <v>2019</v>
      </c>
      <c r="R3" s="115">
        <v>2020</v>
      </c>
      <c r="S3" s="115">
        <v>2021</v>
      </c>
      <c r="T3" s="115">
        <v>2022</v>
      </c>
      <c r="U3" s="115">
        <v>2023</v>
      </c>
      <c r="V3" s="115">
        <v>2024</v>
      </c>
      <c r="W3" s="115">
        <v>2025</v>
      </c>
      <c r="X3" s="115">
        <v>2026</v>
      </c>
    </row>
    <row r="4" spans="1:24" ht="15" x14ac:dyDescent="0.4">
      <c r="A4" s="4" t="s">
        <v>2</v>
      </c>
      <c r="B4" s="28">
        <v>3008812</v>
      </c>
      <c r="C4" s="29">
        <f t="shared" ref="C4:I4" si="2">B4*(C$2)</f>
        <v>3104768.7070270274</v>
      </c>
      <c r="D4" s="29">
        <f t="shared" si="2"/>
        <v>3239758.6508108112</v>
      </c>
      <c r="E4" s="29">
        <f t="shared" si="2"/>
        <v>3282044.6572972983</v>
      </c>
      <c r="F4" s="29">
        <f t="shared" si="2"/>
        <v>3398103.4812540552</v>
      </c>
      <c r="G4" s="74">
        <f t="shared" si="2"/>
        <v>3522310.4933837852</v>
      </c>
      <c r="H4" s="73">
        <f t="shared" si="2"/>
        <v>3522310.4933837852</v>
      </c>
      <c r="I4" s="73">
        <f t="shared" si="2"/>
        <v>3563598.5804154053</v>
      </c>
      <c r="J4" s="131">
        <f t="shared" ref="J4:O53" si="3">ROUND(I4*(J$2),0)</f>
        <v>3689223</v>
      </c>
      <c r="K4" s="113">
        <f t="shared" si="3"/>
        <v>3768997</v>
      </c>
      <c r="L4" s="113">
        <f t="shared" si="3"/>
        <v>3805316</v>
      </c>
      <c r="M4" s="113">
        <f t="shared" si="3"/>
        <v>3868649</v>
      </c>
      <c r="N4" s="113">
        <f t="shared" si="3"/>
        <v>3875248</v>
      </c>
      <c r="O4" s="113">
        <f t="shared" si="3"/>
        <v>3938647</v>
      </c>
      <c r="P4" s="113">
        <f t="shared" ref="P4:T8" si="4">ROUND(O4*(P$2),0)</f>
        <v>4019040</v>
      </c>
      <c r="Q4" s="113">
        <f t="shared" si="4"/>
        <v>4120419</v>
      </c>
      <c r="R4" s="113">
        <f t="shared" si="4"/>
        <v>4193105</v>
      </c>
      <c r="S4" s="113">
        <f t="shared" si="4"/>
        <v>4242670</v>
      </c>
      <c r="T4" s="113">
        <f t="shared" si="4"/>
        <v>4506643</v>
      </c>
      <c r="U4" s="113">
        <f t="shared" ref="U4:X19" si="5">ROUND(T4*(U$2),0)</f>
        <v>4855702</v>
      </c>
      <c r="V4" s="113">
        <f t="shared" ref="V4:X8" si="6">ROUND(U4*(V$2),0)</f>
        <v>5013082</v>
      </c>
      <c r="W4" s="113">
        <f t="shared" si="6"/>
        <v>5143317</v>
      </c>
      <c r="X4" s="113">
        <f t="shared" si="6"/>
        <v>5281927</v>
      </c>
    </row>
    <row r="5" spans="1:24" ht="15" x14ac:dyDescent="0.4">
      <c r="A5" s="4" t="s">
        <v>3</v>
      </c>
      <c r="B5" s="28">
        <v>800000</v>
      </c>
      <c r="C5" s="29">
        <f t="shared" ref="C5:H5" si="7">B5*(C$2)</f>
        <v>825513.51351351361</v>
      </c>
      <c r="D5" s="29">
        <f t="shared" si="7"/>
        <v>861405.40540540544</v>
      </c>
      <c r="E5" s="29">
        <f t="shared" si="7"/>
        <v>872648.64864864887</v>
      </c>
      <c r="F5" s="29">
        <f t="shared" si="7"/>
        <v>903507.02702702722</v>
      </c>
      <c r="G5" s="74">
        <f t="shared" si="7"/>
        <v>936531.89189189218</v>
      </c>
      <c r="H5" s="73">
        <f t="shared" si="7"/>
        <v>936531.89189189218</v>
      </c>
      <c r="I5" s="73">
        <f>H5*(I$2)</f>
        <v>947509.80265045608</v>
      </c>
      <c r="J5" s="131">
        <f t="shared" si="3"/>
        <v>980911</v>
      </c>
      <c r="K5" s="113">
        <f t="shared" si="3"/>
        <v>1002122</v>
      </c>
      <c r="L5" s="113">
        <f t="shared" si="3"/>
        <v>1011779</v>
      </c>
      <c r="M5" s="113">
        <f t="shared" si="3"/>
        <v>1028618</v>
      </c>
      <c r="N5" s="113">
        <f t="shared" si="3"/>
        <v>1030373</v>
      </c>
      <c r="O5" s="113">
        <f t="shared" si="3"/>
        <v>1047230</v>
      </c>
      <c r="P5" s="113">
        <f t="shared" si="4"/>
        <v>1068605</v>
      </c>
      <c r="Q5" s="113">
        <f t="shared" si="4"/>
        <v>1095560</v>
      </c>
      <c r="R5" s="113">
        <f t="shared" si="4"/>
        <v>1114886</v>
      </c>
      <c r="S5" s="113">
        <f t="shared" si="4"/>
        <v>1128065</v>
      </c>
      <c r="T5" s="113">
        <f t="shared" si="4"/>
        <v>1198252</v>
      </c>
      <c r="U5" s="113">
        <f t="shared" si="5"/>
        <v>1291062</v>
      </c>
      <c r="V5" s="113">
        <f t="shared" si="6"/>
        <v>1332907</v>
      </c>
      <c r="W5" s="113">
        <f t="shared" si="6"/>
        <v>1367535</v>
      </c>
      <c r="X5" s="113">
        <f t="shared" si="6"/>
        <v>1404389</v>
      </c>
    </row>
    <row r="6" spans="1:24" ht="15" x14ac:dyDescent="0.4">
      <c r="A6" s="4" t="s">
        <v>4</v>
      </c>
      <c r="B6" s="28">
        <v>2443468</v>
      </c>
      <c r="C6" s="29">
        <f t="shared" ref="C6:I6" si="8">B6*(C$2)</f>
        <v>2521394.8172972975</v>
      </c>
      <c r="D6" s="29">
        <f t="shared" si="8"/>
        <v>2631020.6789189191</v>
      </c>
      <c r="E6" s="29">
        <f t="shared" si="8"/>
        <v>2665361.3102702708</v>
      </c>
      <c r="F6" s="29">
        <f t="shared" si="8"/>
        <v>2759613.1353945951</v>
      </c>
      <c r="G6" s="74">
        <f t="shared" si="8"/>
        <v>2860482.1360216225</v>
      </c>
      <c r="H6" s="73">
        <f t="shared" si="8"/>
        <v>2860482.1360216225</v>
      </c>
      <c r="I6" s="73">
        <f t="shared" si="8"/>
        <v>2894012.3530783807</v>
      </c>
      <c r="J6" s="131">
        <f t="shared" si="3"/>
        <v>2996032</v>
      </c>
      <c r="K6" s="113">
        <f t="shared" si="3"/>
        <v>3060817</v>
      </c>
      <c r="L6" s="113">
        <f t="shared" si="3"/>
        <v>3090311</v>
      </c>
      <c r="M6" s="113">
        <f t="shared" si="3"/>
        <v>3141744</v>
      </c>
      <c r="N6" s="113">
        <f t="shared" si="3"/>
        <v>3147103</v>
      </c>
      <c r="O6" s="113">
        <f t="shared" si="3"/>
        <v>3198589</v>
      </c>
      <c r="P6" s="113">
        <f t="shared" si="4"/>
        <v>3263876</v>
      </c>
      <c r="Q6" s="113">
        <f t="shared" si="4"/>
        <v>3346206</v>
      </c>
      <c r="R6" s="113">
        <f t="shared" si="4"/>
        <v>3405235</v>
      </c>
      <c r="S6" s="113">
        <f t="shared" si="4"/>
        <v>3445487</v>
      </c>
      <c r="T6" s="113">
        <f t="shared" si="4"/>
        <v>3659861</v>
      </c>
      <c r="U6" s="113">
        <f t="shared" si="5"/>
        <v>3943333</v>
      </c>
      <c r="V6" s="113">
        <f t="shared" si="6"/>
        <v>4071142</v>
      </c>
      <c r="W6" s="113">
        <f t="shared" si="6"/>
        <v>4176906</v>
      </c>
      <c r="X6" s="113">
        <f t="shared" si="6"/>
        <v>4289472</v>
      </c>
    </row>
    <row r="7" spans="1:24" ht="15" x14ac:dyDescent="0.4">
      <c r="A7" s="4" t="s">
        <v>5</v>
      </c>
      <c r="B7" s="28">
        <v>1707733</v>
      </c>
      <c r="C7" s="29">
        <f t="shared" ref="C7:I7" si="9">B7*(C$2)</f>
        <v>1762195.8362162164</v>
      </c>
      <c r="D7" s="29">
        <f t="shared" si="9"/>
        <v>1838813.0464864867</v>
      </c>
      <c r="E7" s="29">
        <f t="shared" si="9"/>
        <v>1862813.6183783789</v>
      </c>
      <c r="F7" s="29">
        <f t="shared" si="9"/>
        <v>1928685.9572324329</v>
      </c>
      <c r="G7" s="74">
        <f t="shared" si="9"/>
        <v>1999183.0216702709</v>
      </c>
      <c r="H7" s="73">
        <f t="shared" si="9"/>
        <v>1999183.0216702709</v>
      </c>
      <c r="I7" s="73">
        <f t="shared" si="9"/>
        <v>2022617.197262089</v>
      </c>
      <c r="J7" s="131">
        <f t="shared" si="3"/>
        <v>2093918</v>
      </c>
      <c r="K7" s="113">
        <f t="shared" si="3"/>
        <v>2139196</v>
      </c>
      <c r="L7" s="113">
        <f t="shared" si="3"/>
        <v>2159810</v>
      </c>
      <c r="M7" s="113">
        <f t="shared" si="3"/>
        <v>2195757</v>
      </c>
      <c r="N7" s="113">
        <f t="shared" si="3"/>
        <v>2199502</v>
      </c>
      <c r="O7" s="113">
        <f t="shared" si="3"/>
        <v>2235486</v>
      </c>
      <c r="P7" s="113">
        <f t="shared" si="4"/>
        <v>2281115</v>
      </c>
      <c r="Q7" s="113">
        <f t="shared" si="4"/>
        <v>2338655</v>
      </c>
      <c r="R7" s="113">
        <f t="shared" si="4"/>
        <v>2379910</v>
      </c>
      <c r="S7" s="113">
        <f t="shared" si="4"/>
        <v>2408042</v>
      </c>
      <c r="T7" s="113">
        <f t="shared" si="4"/>
        <v>2557867</v>
      </c>
      <c r="U7" s="113">
        <f t="shared" si="5"/>
        <v>2755985</v>
      </c>
      <c r="V7" s="113">
        <f t="shared" si="6"/>
        <v>2845310</v>
      </c>
      <c r="W7" s="113">
        <f t="shared" si="6"/>
        <v>2919228</v>
      </c>
      <c r="X7" s="113">
        <f t="shared" si="6"/>
        <v>2997900</v>
      </c>
    </row>
    <row r="8" spans="1:24" ht="15" x14ac:dyDescent="0.4">
      <c r="A8" s="4" t="s">
        <v>6</v>
      </c>
      <c r="B8" s="28">
        <v>17984412</v>
      </c>
      <c r="C8" s="29">
        <f t="shared" ref="C8:I8" si="10">B8*(C$2)</f>
        <v>18557968.923243247</v>
      </c>
      <c r="D8" s="29">
        <f t="shared" si="10"/>
        <v>19364837.137297302</v>
      </c>
      <c r="E8" s="29">
        <f t="shared" si="10"/>
        <v>19617591.035675686</v>
      </c>
      <c r="F8" s="29">
        <f t="shared" si="10"/>
        <v>20311303.273686495</v>
      </c>
      <c r="G8" s="74">
        <f t="shared" si="10"/>
        <v>21053719.243654065</v>
      </c>
      <c r="H8" s="73">
        <f t="shared" si="10"/>
        <v>21053719.243654065</v>
      </c>
      <c r="I8" s="73">
        <f t="shared" si="10"/>
        <v>21300508.33113062</v>
      </c>
      <c r="J8" s="131">
        <f t="shared" si="3"/>
        <v>22051394</v>
      </c>
      <c r="K8" s="113">
        <f t="shared" si="3"/>
        <v>22528221</v>
      </c>
      <c r="L8" s="113">
        <f t="shared" si="3"/>
        <v>22745306</v>
      </c>
      <c r="M8" s="113">
        <f t="shared" si="3"/>
        <v>23123865</v>
      </c>
      <c r="N8" s="113">
        <f t="shared" si="3"/>
        <v>23163308</v>
      </c>
      <c r="O8" s="113">
        <f t="shared" si="3"/>
        <v>23542257</v>
      </c>
      <c r="P8" s="113">
        <f t="shared" si="4"/>
        <v>24022785</v>
      </c>
      <c r="Q8" s="113">
        <f t="shared" si="4"/>
        <v>24628753</v>
      </c>
      <c r="R8" s="113">
        <f t="shared" si="4"/>
        <v>25063215</v>
      </c>
      <c r="S8" s="113">
        <f t="shared" si="4"/>
        <v>25359479</v>
      </c>
      <c r="T8" s="113">
        <f t="shared" si="4"/>
        <v>26937313</v>
      </c>
      <c r="U8" s="113">
        <f t="shared" si="5"/>
        <v>29023723</v>
      </c>
      <c r="V8" s="113">
        <f t="shared" si="6"/>
        <v>29964424</v>
      </c>
      <c r="W8" s="113">
        <f t="shared" si="6"/>
        <v>30742871</v>
      </c>
      <c r="X8" s="113">
        <f t="shared" si="6"/>
        <v>31571377</v>
      </c>
    </row>
    <row r="9" spans="1:24" ht="15" x14ac:dyDescent="0.4">
      <c r="A9" s="4" t="s">
        <v>7</v>
      </c>
      <c r="B9" s="28">
        <v>2200584</v>
      </c>
      <c r="C9" s="29">
        <f t="shared" ref="C9:I9" si="11">B9*(C$2)</f>
        <v>2270764.7870270275</v>
      </c>
      <c r="D9" s="29">
        <f t="shared" si="11"/>
        <v>2369493.6908108112</v>
      </c>
      <c r="E9" s="29">
        <f t="shared" si="11"/>
        <v>2400420.817297298</v>
      </c>
      <c r="F9" s="29">
        <f t="shared" si="11"/>
        <v>2485303.8844540548</v>
      </c>
      <c r="G9" s="74">
        <f t="shared" si="11"/>
        <v>2576146.3709837846</v>
      </c>
      <c r="H9" s="73">
        <f t="shared" si="11"/>
        <v>2576146.3709837846</v>
      </c>
      <c r="I9" s="73">
        <f t="shared" si="11"/>
        <v>2606343.6394446888</v>
      </c>
      <c r="J9" s="131">
        <f t="shared" si="3"/>
        <v>2698222</v>
      </c>
      <c r="K9" s="113">
        <f t="shared" si="3"/>
        <v>2756567</v>
      </c>
      <c r="L9" s="113">
        <f t="shared" si="3"/>
        <v>2783130</v>
      </c>
      <c r="M9" s="113">
        <f t="shared" si="3"/>
        <v>2829451</v>
      </c>
      <c r="N9" s="113">
        <f t="shared" si="3"/>
        <v>2834277</v>
      </c>
      <c r="O9" s="113">
        <f t="shared" ref="O9:T61" si="12">ROUND(N9*(O$2),0)</f>
        <v>2880645</v>
      </c>
      <c r="P9" s="113">
        <f t="shared" si="12"/>
        <v>2939443</v>
      </c>
      <c r="Q9" s="113">
        <f t="shared" si="12"/>
        <v>3013590</v>
      </c>
      <c r="R9" s="113">
        <f t="shared" si="12"/>
        <v>3066751</v>
      </c>
      <c r="S9" s="113">
        <f t="shared" si="12"/>
        <v>3103002</v>
      </c>
      <c r="T9" s="113">
        <f t="shared" si="12"/>
        <v>3296067</v>
      </c>
      <c r="U9" s="113">
        <f t="shared" si="5"/>
        <v>3551361</v>
      </c>
      <c r="V9" s="113">
        <f t="shared" si="5"/>
        <v>3666466</v>
      </c>
      <c r="W9" s="113">
        <f t="shared" si="5"/>
        <v>3761717</v>
      </c>
      <c r="X9" s="113">
        <f t="shared" si="5"/>
        <v>3863094</v>
      </c>
    </row>
    <row r="10" spans="1:24" ht="15" x14ac:dyDescent="0.4">
      <c r="A10" s="4" t="s">
        <v>8</v>
      </c>
      <c r="B10" s="28">
        <v>2354685</v>
      </c>
      <c r="C10" s="29">
        <f t="shared" ref="C10:I10" si="13">B10*(C$2)</f>
        <v>2429780.3594594598</v>
      </c>
      <c r="D10" s="29">
        <f t="shared" si="13"/>
        <v>2535422.9837837839</v>
      </c>
      <c r="E10" s="29">
        <f t="shared" si="13"/>
        <v>2568515.8540540547</v>
      </c>
      <c r="F10" s="29">
        <f t="shared" si="13"/>
        <v>2659343.0549189197</v>
      </c>
      <c r="G10" s="74">
        <f t="shared" si="13"/>
        <v>2756546.9973243251</v>
      </c>
      <c r="H10" s="73">
        <f t="shared" si="13"/>
        <v>2756546.9973243251</v>
      </c>
      <c r="I10" s="73">
        <f t="shared" si="13"/>
        <v>2788858.8995674863</v>
      </c>
      <c r="J10" s="131">
        <f t="shared" si="3"/>
        <v>2887172</v>
      </c>
      <c r="K10" s="113">
        <f t="shared" si="3"/>
        <v>2949603</v>
      </c>
      <c r="L10" s="113">
        <f t="shared" si="3"/>
        <v>2978026</v>
      </c>
      <c r="M10" s="113">
        <f t="shared" si="3"/>
        <v>3027590</v>
      </c>
      <c r="N10" s="113">
        <f t="shared" si="3"/>
        <v>3032754</v>
      </c>
      <c r="O10" s="113">
        <f t="shared" si="12"/>
        <v>3082369</v>
      </c>
      <c r="P10" s="113">
        <f t="shared" si="12"/>
        <v>3145284</v>
      </c>
      <c r="Q10" s="113">
        <f t="shared" si="12"/>
        <v>3224623</v>
      </c>
      <c r="R10" s="113">
        <f t="shared" si="12"/>
        <v>3281507</v>
      </c>
      <c r="S10" s="113">
        <f t="shared" si="12"/>
        <v>3320297</v>
      </c>
      <c r="T10" s="113">
        <f t="shared" si="12"/>
        <v>3526882</v>
      </c>
      <c r="U10" s="113">
        <f t="shared" si="5"/>
        <v>3800054</v>
      </c>
      <c r="V10" s="113">
        <f t="shared" si="5"/>
        <v>3923219</v>
      </c>
      <c r="W10" s="113">
        <f t="shared" si="5"/>
        <v>4025140</v>
      </c>
      <c r="X10" s="113">
        <f t="shared" si="5"/>
        <v>4133616</v>
      </c>
    </row>
    <row r="11" spans="1:24" ht="15" x14ac:dyDescent="0.4">
      <c r="A11" s="4" t="s">
        <v>9</v>
      </c>
      <c r="B11" s="28">
        <v>800000</v>
      </c>
      <c r="C11" s="29">
        <f t="shared" ref="C11:I11" si="14">B11*(C$2)</f>
        <v>825513.51351351361</v>
      </c>
      <c r="D11" s="29">
        <f t="shared" si="14"/>
        <v>861405.40540540544</v>
      </c>
      <c r="E11" s="29">
        <f t="shared" si="14"/>
        <v>872648.64864864887</v>
      </c>
      <c r="F11" s="29">
        <f t="shared" si="14"/>
        <v>903507.02702702722</v>
      </c>
      <c r="G11" s="74">
        <f t="shared" si="14"/>
        <v>936531.89189189218</v>
      </c>
      <c r="H11" s="73">
        <f t="shared" si="14"/>
        <v>936531.89189189218</v>
      </c>
      <c r="I11" s="73">
        <f t="shared" si="14"/>
        <v>947509.80265045608</v>
      </c>
      <c r="J11" s="131">
        <f t="shared" si="3"/>
        <v>980911</v>
      </c>
      <c r="K11" s="113">
        <f t="shared" si="3"/>
        <v>1002122</v>
      </c>
      <c r="L11" s="113">
        <f t="shared" si="3"/>
        <v>1011779</v>
      </c>
      <c r="M11" s="113">
        <f t="shared" si="3"/>
        <v>1028618</v>
      </c>
      <c r="N11" s="113">
        <f t="shared" si="3"/>
        <v>1030373</v>
      </c>
      <c r="O11" s="113">
        <f t="shared" si="12"/>
        <v>1047230</v>
      </c>
      <c r="P11" s="113">
        <f t="shared" si="12"/>
        <v>1068605</v>
      </c>
      <c r="Q11" s="113">
        <f t="shared" si="12"/>
        <v>1095560</v>
      </c>
      <c r="R11" s="113">
        <f t="shared" si="12"/>
        <v>1114886</v>
      </c>
      <c r="S11" s="113">
        <f t="shared" si="12"/>
        <v>1128065</v>
      </c>
      <c r="T11" s="113">
        <f t="shared" si="12"/>
        <v>1198252</v>
      </c>
      <c r="U11" s="113">
        <f t="shared" si="5"/>
        <v>1291062</v>
      </c>
      <c r="V11" s="113">
        <f t="shared" si="5"/>
        <v>1332907</v>
      </c>
      <c r="W11" s="113">
        <f t="shared" si="5"/>
        <v>1367535</v>
      </c>
      <c r="X11" s="113">
        <f t="shared" si="5"/>
        <v>1404389</v>
      </c>
    </row>
    <row r="12" spans="1:24" ht="15" x14ac:dyDescent="0.4">
      <c r="A12" s="4" t="s">
        <v>10</v>
      </c>
      <c r="B12" s="28">
        <v>800000</v>
      </c>
      <c r="C12" s="29">
        <f t="shared" ref="C12:I12" si="15">B12*(C$2)</f>
        <v>825513.51351351361</v>
      </c>
      <c r="D12" s="29">
        <f t="shared" si="15"/>
        <v>861405.40540540544</v>
      </c>
      <c r="E12" s="29">
        <f t="shared" si="15"/>
        <v>872648.64864864887</v>
      </c>
      <c r="F12" s="29">
        <f t="shared" si="15"/>
        <v>903507.02702702722</v>
      </c>
      <c r="G12" s="74">
        <f t="shared" si="15"/>
        <v>936531.89189189218</v>
      </c>
      <c r="H12" s="73">
        <f t="shared" si="15"/>
        <v>936531.89189189218</v>
      </c>
      <c r="I12" s="73">
        <f t="shared" si="15"/>
        <v>947509.80265045608</v>
      </c>
      <c r="J12" s="131">
        <f t="shared" si="3"/>
        <v>980911</v>
      </c>
      <c r="K12" s="113">
        <f t="shared" si="3"/>
        <v>1002122</v>
      </c>
      <c r="L12" s="113">
        <f t="shared" si="3"/>
        <v>1011779</v>
      </c>
      <c r="M12" s="113">
        <f t="shared" si="3"/>
        <v>1028618</v>
      </c>
      <c r="N12" s="113">
        <f t="shared" si="3"/>
        <v>1030373</v>
      </c>
      <c r="O12" s="113">
        <f t="shared" si="12"/>
        <v>1047230</v>
      </c>
      <c r="P12" s="113">
        <f t="shared" si="12"/>
        <v>1068605</v>
      </c>
      <c r="Q12" s="113">
        <f t="shared" si="12"/>
        <v>1095560</v>
      </c>
      <c r="R12" s="113">
        <f t="shared" si="12"/>
        <v>1114886</v>
      </c>
      <c r="S12" s="113">
        <f t="shared" si="12"/>
        <v>1128065</v>
      </c>
      <c r="T12" s="113">
        <f t="shared" si="12"/>
        <v>1198252</v>
      </c>
      <c r="U12" s="113">
        <f t="shared" si="5"/>
        <v>1291062</v>
      </c>
      <c r="V12" s="113">
        <f t="shared" si="5"/>
        <v>1332907</v>
      </c>
      <c r="W12" s="113">
        <f t="shared" si="5"/>
        <v>1367535</v>
      </c>
      <c r="X12" s="113">
        <f t="shared" si="5"/>
        <v>1404389</v>
      </c>
    </row>
    <row r="13" spans="1:24" ht="15" x14ac:dyDescent="0.4">
      <c r="A13" s="4" t="s">
        <v>11</v>
      </c>
      <c r="B13" s="28">
        <v>9941092</v>
      </c>
      <c r="C13" s="29">
        <f t="shared" ref="C13:I13" si="16">B13*(C$2)</f>
        <v>10258132.231351353</v>
      </c>
      <c r="D13" s="29">
        <f t="shared" si="16"/>
        <v>10704137.980540542</v>
      </c>
      <c r="E13" s="29">
        <f t="shared" si="16"/>
        <v>10843850.624864869</v>
      </c>
      <c r="F13" s="29">
        <f t="shared" si="16"/>
        <v>11227308.097902706</v>
      </c>
      <c r="G13" s="74">
        <f t="shared" si="16"/>
        <v>11637687.122789193</v>
      </c>
      <c r="H13" s="73">
        <f t="shared" si="16"/>
        <v>11637687.122789193</v>
      </c>
      <c r="I13" s="73">
        <f t="shared" si="16"/>
        <v>11774102.648812534</v>
      </c>
      <c r="J13" s="131">
        <f t="shared" si="3"/>
        <v>12189163</v>
      </c>
      <c r="K13" s="113">
        <f t="shared" si="3"/>
        <v>12452735</v>
      </c>
      <c r="L13" s="113">
        <f t="shared" si="3"/>
        <v>12572731</v>
      </c>
      <c r="M13" s="113">
        <f t="shared" si="3"/>
        <v>12781984</v>
      </c>
      <c r="N13" s="113">
        <f t="shared" si="3"/>
        <v>12803787</v>
      </c>
      <c r="O13" s="113">
        <f t="shared" si="12"/>
        <v>13013255</v>
      </c>
      <c r="P13" s="113">
        <f t="shared" si="12"/>
        <v>13278872</v>
      </c>
      <c r="Q13" s="113">
        <f t="shared" si="12"/>
        <v>13613828</v>
      </c>
      <c r="R13" s="113">
        <f t="shared" si="12"/>
        <v>13853982</v>
      </c>
      <c r="S13" s="113">
        <f t="shared" si="12"/>
        <v>14017745</v>
      </c>
      <c r="T13" s="113">
        <f t="shared" si="12"/>
        <v>14889911</v>
      </c>
      <c r="U13" s="113">
        <f t="shared" si="5"/>
        <v>16043198</v>
      </c>
      <c r="V13" s="113">
        <f t="shared" si="5"/>
        <v>16563181</v>
      </c>
      <c r="W13" s="113">
        <f t="shared" si="5"/>
        <v>16993477</v>
      </c>
      <c r="X13" s="113">
        <f t="shared" si="5"/>
        <v>17451443</v>
      </c>
    </row>
    <row r="14" spans="1:24" ht="15" x14ac:dyDescent="0.4">
      <c r="A14" s="4" t="s">
        <v>12</v>
      </c>
      <c r="B14" s="28">
        <v>4345983</v>
      </c>
      <c r="C14" s="29">
        <f t="shared" ref="C14:I14" si="17">B14*(C$2)</f>
        <v>4484584.62</v>
      </c>
      <c r="D14" s="29">
        <f t="shared" si="17"/>
        <v>4679566.5599999996</v>
      </c>
      <c r="E14" s="29">
        <f t="shared" si="17"/>
        <v>4740645.24</v>
      </c>
      <c r="F14" s="29">
        <f t="shared" si="17"/>
        <v>4908282.7248</v>
      </c>
      <c r="G14" s="74">
        <f t="shared" si="17"/>
        <v>5087689.6014</v>
      </c>
      <c r="H14" s="73">
        <f t="shared" si="17"/>
        <v>5087689.6014</v>
      </c>
      <c r="I14" s="73">
        <f t="shared" si="17"/>
        <v>5147326.8683152944</v>
      </c>
      <c r="J14" s="131">
        <f t="shared" si="3"/>
        <v>5328780</v>
      </c>
      <c r="K14" s="113">
        <f t="shared" si="3"/>
        <v>5444007</v>
      </c>
      <c r="L14" s="113">
        <f t="shared" si="3"/>
        <v>5496466</v>
      </c>
      <c r="M14" s="113">
        <f t="shared" si="3"/>
        <v>5587946</v>
      </c>
      <c r="N14" s="113">
        <f t="shared" si="3"/>
        <v>5597478</v>
      </c>
      <c r="O14" s="113">
        <f t="shared" si="12"/>
        <v>5689052</v>
      </c>
      <c r="P14" s="113">
        <f t="shared" si="12"/>
        <v>5805173</v>
      </c>
      <c r="Q14" s="113">
        <f t="shared" si="12"/>
        <v>5951607</v>
      </c>
      <c r="R14" s="113">
        <f t="shared" si="12"/>
        <v>6056596</v>
      </c>
      <c r="S14" s="113">
        <f t="shared" si="12"/>
        <v>6128189</v>
      </c>
      <c r="T14" s="113">
        <f t="shared" si="12"/>
        <v>6509477</v>
      </c>
      <c r="U14" s="113">
        <f t="shared" si="5"/>
        <v>7013664</v>
      </c>
      <c r="V14" s="113">
        <f t="shared" si="5"/>
        <v>7240987</v>
      </c>
      <c r="W14" s="113">
        <f t="shared" si="5"/>
        <v>7429101</v>
      </c>
      <c r="X14" s="113">
        <f t="shared" si="5"/>
        <v>7629312</v>
      </c>
    </row>
    <row r="15" spans="1:24" ht="15" x14ac:dyDescent="0.4">
      <c r="A15" s="4" t="s">
        <v>13</v>
      </c>
      <c r="B15" s="28">
        <v>800000</v>
      </c>
      <c r="C15" s="29">
        <f t="shared" ref="C15:I15" si="18">B15*(C$2)</f>
        <v>825513.51351351361</v>
      </c>
      <c r="D15" s="29">
        <f t="shared" si="18"/>
        <v>861405.40540540544</v>
      </c>
      <c r="E15" s="29">
        <f t="shared" si="18"/>
        <v>872648.64864864887</v>
      </c>
      <c r="F15" s="29">
        <f t="shared" si="18"/>
        <v>903507.02702702722</v>
      </c>
      <c r="G15" s="74">
        <f t="shared" si="18"/>
        <v>936531.89189189218</v>
      </c>
      <c r="H15" s="73">
        <f t="shared" si="18"/>
        <v>936531.89189189218</v>
      </c>
      <c r="I15" s="73">
        <f t="shared" si="18"/>
        <v>947509.80265045608</v>
      </c>
      <c r="J15" s="131">
        <f t="shared" si="3"/>
        <v>980911</v>
      </c>
      <c r="K15" s="113">
        <f t="shared" si="3"/>
        <v>1002122</v>
      </c>
      <c r="L15" s="113">
        <f t="shared" si="3"/>
        <v>1011779</v>
      </c>
      <c r="M15" s="113">
        <f t="shared" si="3"/>
        <v>1028618</v>
      </c>
      <c r="N15" s="113">
        <f t="shared" si="3"/>
        <v>1030373</v>
      </c>
      <c r="O15" s="113">
        <f t="shared" si="12"/>
        <v>1047230</v>
      </c>
      <c r="P15" s="113">
        <f t="shared" si="12"/>
        <v>1068605</v>
      </c>
      <c r="Q15" s="113">
        <f t="shared" si="12"/>
        <v>1095560</v>
      </c>
      <c r="R15" s="113">
        <f t="shared" si="12"/>
        <v>1114886</v>
      </c>
      <c r="S15" s="113">
        <f t="shared" si="12"/>
        <v>1128065</v>
      </c>
      <c r="T15" s="113">
        <f t="shared" si="12"/>
        <v>1198252</v>
      </c>
      <c r="U15" s="113">
        <f t="shared" si="5"/>
        <v>1291062</v>
      </c>
      <c r="V15" s="113">
        <f t="shared" si="5"/>
        <v>1332907</v>
      </c>
      <c r="W15" s="113">
        <f t="shared" si="5"/>
        <v>1367535</v>
      </c>
      <c r="X15" s="113">
        <f t="shared" si="5"/>
        <v>1404389</v>
      </c>
    </row>
    <row r="16" spans="1:24" ht="15" x14ac:dyDescent="0.4">
      <c r="A16" s="4" t="s">
        <v>14</v>
      </c>
      <c r="B16" s="28">
        <v>800000</v>
      </c>
      <c r="C16" s="29">
        <f t="shared" ref="C16:I16" si="19">B16*(C$2)</f>
        <v>825513.51351351361</v>
      </c>
      <c r="D16" s="29">
        <f t="shared" si="19"/>
        <v>861405.40540540544</v>
      </c>
      <c r="E16" s="29">
        <f t="shared" si="19"/>
        <v>872648.64864864887</v>
      </c>
      <c r="F16" s="29">
        <f t="shared" si="19"/>
        <v>903507.02702702722</v>
      </c>
      <c r="G16" s="74">
        <f t="shared" si="19"/>
        <v>936531.89189189218</v>
      </c>
      <c r="H16" s="73">
        <f t="shared" si="19"/>
        <v>936531.89189189218</v>
      </c>
      <c r="I16" s="73">
        <f t="shared" si="19"/>
        <v>947509.80265045608</v>
      </c>
      <c r="J16" s="131">
        <f t="shared" si="3"/>
        <v>980911</v>
      </c>
      <c r="K16" s="113">
        <f t="shared" si="3"/>
        <v>1002122</v>
      </c>
      <c r="L16" s="113">
        <f t="shared" si="3"/>
        <v>1011779</v>
      </c>
      <c r="M16" s="113">
        <f t="shared" si="3"/>
        <v>1028618</v>
      </c>
      <c r="N16" s="113">
        <f t="shared" si="3"/>
        <v>1030373</v>
      </c>
      <c r="O16" s="113">
        <f t="shared" si="12"/>
        <v>1047230</v>
      </c>
      <c r="P16" s="113">
        <f t="shared" si="12"/>
        <v>1068605</v>
      </c>
      <c r="Q16" s="113">
        <f t="shared" si="12"/>
        <v>1095560</v>
      </c>
      <c r="R16" s="113">
        <f t="shared" si="12"/>
        <v>1114886</v>
      </c>
      <c r="S16" s="113">
        <f t="shared" si="12"/>
        <v>1128065</v>
      </c>
      <c r="T16" s="113">
        <f t="shared" si="12"/>
        <v>1198252</v>
      </c>
      <c r="U16" s="113">
        <f t="shared" si="5"/>
        <v>1291062</v>
      </c>
      <c r="V16" s="113">
        <f t="shared" si="5"/>
        <v>1332907</v>
      </c>
      <c r="W16" s="113">
        <f t="shared" si="5"/>
        <v>1367535</v>
      </c>
      <c r="X16" s="113">
        <f t="shared" si="5"/>
        <v>1404389</v>
      </c>
    </row>
    <row r="17" spans="1:24" ht="15" x14ac:dyDescent="0.4">
      <c r="A17" s="4" t="s">
        <v>15</v>
      </c>
      <c r="B17" s="28">
        <v>8145623</v>
      </c>
      <c r="C17" s="29">
        <f t="shared" ref="C17:I17" si="20">B17*(C$2)</f>
        <v>8405402.3281081095</v>
      </c>
      <c r="D17" s="29">
        <f t="shared" si="20"/>
        <v>8770854.6032432448</v>
      </c>
      <c r="E17" s="29">
        <f t="shared" si="20"/>
        <v>8885333.6291891914</v>
      </c>
      <c r="F17" s="29">
        <f t="shared" si="20"/>
        <v>9199534.5250162184</v>
      </c>
      <c r="G17" s="74">
        <f t="shared" si="20"/>
        <v>9535794.648535138</v>
      </c>
      <c r="H17" s="73">
        <f t="shared" si="20"/>
        <v>9535794.648535138</v>
      </c>
      <c r="I17" s="73">
        <f t="shared" si="20"/>
        <v>9647572.0514937695</v>
      </c>
      <c r="J17" s="131">
        <f t="shared" si="3"/>
        <v>9987668</v>
      </c>
      <c r="K17" s="113">
        <f t="shared" si="3"/>
        <v>10203636</v>
      </c>
      <c r="L17" s="113">
        <f t="shared" si="3"/>
        <v>10301960</v>
      </c>
      <c r="M17" s="113">
        <f t="shared" si="3"/>
        <v>10473420</v>
      </c>
      <c r="N17" s="113">
        <f t="shared" si="3"/>
        <v>10491285</v>
      </c>
      <c r="O17" s="113">
        <f t="shared" si="12"/>
        <v>10662921</v>
      </c>
      <c r="P17" s="113">
        <f t="shared" si="12"/>
        <v>10880565</v>
      </c>
      <c r="Q17" s="113">
        <f t="shared" si="12"/>
        <v>11155024</v>
      </c>
      <c r="R17" s="113">
        <f t="shared" si="12"/>
        <v>11351803</v>
      </c>
      <c r="S17" s="113">
        <f t="shared" si="12"/>
        <v>11485989</v>
      </c>
      <c r="T17" s="113">
        <f t="shared" si="12"/>
        <v>12200632</v>
      </c>
      <c r="U17" s="113">
        <f t="shared" si="5"/>
        <v>13145623</v>
      </c>
      <c r="V17" s="113">
        <f t="shared" si="5"/>
        <v>13571692</v>
      </c>
      <c r="W17" s="113">
        <f t="shared" si="5"/>
        <v>13924272</v>
      </c>
      <c r="X17" s="113">
        <f t="shared" si="5"/>
        <v>14299525</v>
      </c>
    </row>
    <row r="18" spans="1:24" ht="15" x14ac:dyDescent="0.4">
      <c r="A18" s="4" t="s">
        <v>16</v>
      </c>
      <c r="B18" s="28">
        <v>4258647</v>
      </c>
      <c r="C18" s="29">
        <f t="shared" ref="C18:I18" si="21">B18*(C$2)</f>
        <v>4394463.3097297298</v>
      </c>
      <c r="D18" s="29">
        <f t="shared" si="21"/>
        <v>4585526.9318918921</v>
      </c>
      <c r="E18" s="29">
        <f t="shared" si="21"/>
        <v>4645378.1870270278</v>
      </c>
      <c r="F18" s="29">
        <f t="shared" si="21"/>
        <v>4809646.8626594599</v>
      </c>
      <c r="G18" s="74">
        <f t="shared" si="21"/>
        <v>4985448.4147621626</v>
      </c>
      <c r="H18" s="73">
        <f t="shared" si="21"/>
        <v>4985448.4147621626</v>
      </c>
      <c r="I18" s="73">
        <f t="shared" si="21"/>
        <v>5043887.2231599446</v>
      </c>
      <c r="J18" s="131">
        <f t="shared" si="3"/>
        <v>5221694</v>
      </c>
      <c r="K18" s="113">
        <f t="shared" si="3"/>
        <v>5334605</v>
      </c>
      <c r="L18" s="113">
        <f t="shared" si="3"/>
        <v>5386010</v>
      </c>
      <c r="M18" s="113">
        <f t="shared" si="3"/>
        <v>5475652</v>
      </c>
      <c r="N18" s="113">
        <f t="shared" si="3"/>
        <v>5484992</v>
      </c>
      <c r="O18" s="113">
        <f t="shared" si="12"/>
        <v>5574726</v>
      </c>
      <c r="P18" s="113">
        <f t="shared" si="12"/>
        <v>5688513</v>
      </c>
      <c r="Q18" s="113">
        <f t="shared" si="12"/>
        <v>5832004</v>
      </c>
      <c r="R18" s="113">
        <f t="shared" si="12"/>
        <v>5934883</v>
      </c>
      <c r="S18" s="113">
        <f t="shared" si="12"/>
        <v>6005037</v>
      </c>
      <c r="T18" s="113">
        <f t="shared" si="12"/>
        <v>6378663</v>
      </c>
      <c r="U18" s="113">
        <f t="shared" si="5"/>
        <v>6872718</v>
      </c>
      <c r="V18" s="113">
        <f t="shared" si="5"/>
        <v>7095473</v>
      </c>
      <c r="W18" s="113">
        <f t="shared" si="5"/>
        <v>7279807</v>
      </c>
      <c r="X18" s="113">
        <f t="shared" si="5"/>
        <v>7475994</v>
      </c>
    </row>
    <row r="19" spans="1:24" ht="15" x14ac:dyDescent="0.4">
      <c r="A19" s="4" t="s">
        <v>17</v>
      </c>
      <c r="B19" s="28">
        <v>2094894</v>
      </c>
      <c r="C19" s="29">
        <f t="shared" ref="C19:I19" si="22">B19*(C$2)</f>
        <v>2161704.1329729734</v>
      </c>
      <c r="D19" s="29">
        <f t="shared" si="22"/>
        <v>2255691.2691891897</v>
      </c>
      <c r="E19" s="29">
        <f t="shared" si="22"/>
        <v>2285133.0227027037</v>
      </c>
      <c r="F19" s="29">
        <f t="shared" si="22"/>
        <v>2365939.3123459467</v>
      </c>
      <c r="G19" s="74">
        <f t="shared" si="22"/>
        <v>2452418.8014162169</v>
      </c>
      <c r="H19" s="73">
        <f t="shared" si="22"/>
        <v>2452418.8014162169</v>
      </c>
      <c r="I19" s="73">
        <f t="shared" si="22"/>
        <v>2481165.7506420305</v>
      </c>
      <c r="J19" s="131">
        <f t="shared" si="3"/>
        <v>2568632</v>
      </c>
      <c r="K19" s="113">
        <f t="shared" si="3"/>
        <v>2624175</v>
      </c>
      <c r="L19" s="113">
        <f t="shared" si="3"/>
        <v>2649462</v>
      </c>
      <c r="M19" s="113">
        <f t="shared" si="3"/>
        <v>2693558</v>
      </c>
      <c r="N19" s="113">
        <f t="shared" si="3"/>
        <v>2698153</v>
      </c>
      <c r="O19" s="113">
        <f t="shared" si="12"/>
        <v>2742294</v>
      </c>
      <c r="P19" s="113">
        <f t="shared" si="12"/>
        <v>2798268</v>
      </c>
      <c r="Q19" s="113">
        <f t="shared" si="12"/>
        <v>2868853</v>
      </c>
      <c r="R19" s="113">
        <f t="shared" si="12"/>
        <v>2919461</v>
      </c>
      <c r="S19" s="113">
        <f t="shared" si="12"/>
        <v>2953971</v>
      </c>
      <c r="T19" s="113">
        <f t="shared" si="12"/>
        <v>3137763</v>
      </c>
      <c r="U19" s="113">
        <f t="shared" si="5"/>
        <v>3380796</v>
      </c>
      <c r="V19" s="113">
        <f t="shared" si="5"/>
        <v>3490372</v>
      </c>
      <c r="W19" s="113">
        <f t="shared" si="5"/>
        <v>3581049</v>
      </c>
      <c r="X19" s="113">
        <f t="shared" si="5"/>
        <v>3677557</v>
      </c>
    </row>
    <row r="20" spans="1:24" ht="15" x14ac:dyDescent="0.4">
      <c r="A20" s="4" t="s">
        <v>18</v>
      </c>
      <c r="B20" s="28">
        <v>1704623</v>
      </c>
      <c r="C20" s="29">
        <f t="shared" ref="C20:I20" si="23">B20*(C$2)</f>
        <v>1758986.6524324326</v>
      </c>
      <c r="D20" s="29">
        <f t="shared" si="23"/>
        <v>1835464.3329729731</v>
      </c>
      <c r="E20" s="29">
        <f t="shared" si="23"/>
        <v>1859421.1967567571</v>
      </c>
      <c r="F20" s="29">
        <f t="shared" si="23"/>
        <v>1925173.5736648652</v>
      </c>
      <c r="G20" s="74">
        <f t="shared" si="23"/>
        <v>1995542.2539405411</v>
      </c>
      <c r="H20" s="73">
        <f t="shared" si="23"/>
        <v>1995542.2539405411</v>
      </c>
      <c r="I20" s="73">
        <f t="shared" si="23"/>
        <v>2018933.7529042852</v>
      </c>
      <c r="J20" s="131">
        <f t="shared" si="3"/>
        <v>2090105</v>
      </c>
      <c r="K20" s="113">
        <f t="shared" si="3"/>
        <v>2135300</v>
      </c>
      <c r="L20" s="113">
        <f t="shared" si="3"/>
        <v>2155876</v>
      </c>
      <c r="M20" s="113">
        <f t="shared" si="3"/>
        <v>2191757</v>
      </c>
      <c r="N20" s="113">
        <f t="shared" si="3"/>
        <v>2195496</v>
      </c>
      <c r="O20" s="113">
        <f t="shared" si="12"/>
        <v>2231414</v>
      </c>
      <c r="P20" s="113">
        <f t="shared" si="12"/>
        <v>2276960</v>
      </c>
      <c r="Q20" s="113">
        <f t="shared" si="12"/>
        <v>2334396</v>
      </c>
      <c r="R20" s="113">
        <f t="shared" si="12"/>
        <v>2375576</v>
      </c>
      <c r="S20" s="113">
        <f t="shared" si="12"/>
        <v>2403657</v>
      </c>
      <c r="T20" s="113">
        <f t="shared" si="12"/>
        <v>2553209</v>
      </c>
      <c r="U20" s="113">
        <f t="shared" ref="U20:X54" si="24">ROUND(T20*(U$2),0)</f>
        <v>2750966</v>
      </c>
      <c r="V20" s="113">
        <f t="shared" si="24"/>
        <v>2840129</v>
      </c>
      <c r="W20" s="113">
        <f t="shared" si="24"/>
        <v>2913913</v>
      </c>
      <c r="X20" s="113">
        <f t="shared" si="24"/>
        <v>2992442</v>
      </c>
    </row>
    <row r="21" spans="1:24" ht="15" x14ac:dyDescent="0.4">
      <c r="A21" s="4" t="s">
        <v>19</v>
      </c>
      <c r="B21" s="28">
        <v>2618787</v>
      </c>
      <c r="C21" s="29">
        <f t="shared" ref="C21:I21" si="25">B21*(C$2)</f>
        <v>2702305.0718918922</v>
      </c>
      <c r="D21" s="29">
        <f t="shared" si="25"/>
        <v>2819796.5967567572</v>
      </c>
      <c r="E21" s="29">
        <f t="shared" si="25"/>
        <v>2856601.1708108117</v>
      </c>
      <c r="F21" s="29">
        <f t="shared" si="25"/>
        <v>2957615.5709837847</v>
      </c>
      <c r="G21" s="74">
        <f t="shared" si="25"/>
        <v>3065721.9294648659</v>
      </c>
      <c r="H21" s="73">
        <f t="shared" si="25"/>
        <v>3065721.9294648659</v>
      </c>
      <c r="I21" s="73">
        <f t="shared" si="25"/>
        <v>3101657.9419419747</v>
      </c>
      <c r="J21" s="131">
        <f t="shared" si="3"/>
        <v>3210998</v>
      </c>
      <c r="K21" s="113">
        <f t="shared" si="3"/>
        <v>3280431</v>
      </c>
      <c r="L21" s="113">
        <f t="shared" si="3"/>
        <v>3312042</v>
      </c>
      <c r="M21" s="113">
        <f t="shared" si="3"/>
        <v>3367166</v>
      </c>
      <c r="N21" s="113">
        <f t="shared" si="3"/>
        <v>3372910</v>
      </c>
      <c r="O21" s="113">
        <f t="shared" si="12"/>
        <v>3428090</v>
      </c>
      <c r="P21" s="113">
        <f t="shared" si="12"/>
        <v>3498062</v>
      </c>
      <c r="Q21" s="113">
        <f t="shared" si="12"/>
        <v>3586300</v>
      </c>
      <c r="R21" s="113">
        <f t="shared" si="12"/>
        <v>3649564</v>
      </c>
      <c r="S21" s="113">
        <f t="shared" si="12"/>
        <v>3692704</v>
      </c>
      <c r="T21" s="113">
        <f t="shared" si="12"/>
        <v>3922459</v>
      </c>
      <c r="U21" s="113">
        <f t="shared" si="24"/>
        <v>4226270</v>
      </c>
      <c r="V21" s="113">
        <f t="shared" si="24"/>
        <v>4363250</v>
      </c>
      <c r="W21" s="113">
        <f t="shared" si="24"/>
        <v>4476603</v>
      </c>
      <c r="X21" s="113">
        <f t="shared" si="24"/>
        <v>4597245</v>
      </c>
    </row>
    <row r="22" spans="1:24" ht="15" x14ac:dyDescent="0.4">
      <c r="A22" s="4" t="s">
        <v>20</v>
      </c>
      <c r="B22" s="28">
        <v>2856959</v>
      </c>
      <c r="C22" s="29">
        <f t="shared" ref="C22:I22" si="26">B22*(C$2)</f>
        <v>2948072.827567568</v>
      </c>
      <c r="D22" s="29">
        <f t="shared" si="26"/>
        <v>3076249.9070270276</v>
      </c>
      <c r="E22" s="29">
        <f t="shared" si="26"/>
        <v>3116401.7632432445</v>
      </c>
      <c r="F22" s="29">
        <f t="shared" si="26"/>
        <v>3226603.1655351361</v>
      </c>
      <c r="G22" s="74">
        <f t="shared" si="26"/>
        <v>3344541.5216594609</v>
      </c>
      <c r="H22" s="73">
        <f t="shared" si="26"/>
        <v>3344541.5216594609</v>
      </c>
      <c r="I22" s="73">
        <f t="shared" si="26"/>
        <v>3383745.8228380554</v>
      </c>
      <c r="J22" s="131">
        <f t="shared" si="3"/>
        <v>3503030</v>
      </c>
      <c r="K22" s="113">
        <f t="shared" si="3"/>
        <v>3578778</v>
      </c>
      <c r="L22" s="113">
        <f t="shared" si="3"/>
        <v>3613264</v>
      </c>
      <c r="M22" s="113">
        <f t="shared" si="3"/>
        <v>3673401</v>
      </c>
      <c r="N22" s="113">
        <f t="shared" si="3"/>
        <v>3679667</v>
      </c>
      <c r="O22" s="113">
        <f t="shared" si="12"/>
        <v>3739866</v>
      </c>
      <c r="P22" s="113">
        <f t="shared" si="12"/>
        <v>3816201</v>
      </c>
      <c r="Q22" s="113">
        <f t="shared" si="12"/>
        <v>3912464</v>
      </c>
      <c r="R22" s="113">
        <f t="shared" si="12"/>
        <v>3981482</v>
      </c>
      <c r="S22" s="113">
        <f t="shared" si="12"/>
        <v>4028546</v>
      </c>
      <c r="T22" s="113">
        <f t="shared" si="12"/>
        <v>4279197</v>
      </c>
      <c r="U22" s="113">
        <f t="shared" si="24"/>
        <v>4610639</v>
      </c>
      <c r="V22" s="113">
        <f t="shared" si="24"/>
        <v>4760076</v>
      </c>
      <c r="W22" s="113">
        <f t="shared" si="24"/>
        <v>4883738</v>
      </c>
      <c r="X22" s="113">
        <f t="shared" si="24"/>
        <v>5015352</v>
      </c>
    </row>
    <row r="23" spans="1:24" ht="15" x14ac:dyDescent="0.4">
      <c r="A23" s="4" t="s">
        <v>21</v>
      </c>
      <c r="B23" s="28">
        <v>1002763</v>
      </c>
      <c r="C23" s="29">
        <f t="shared" ref="C23:I23" si="27">B23*(C$2)</f>
        <v>1034743.0091891893</v>
      </c>
      <c r="D23" s="29">
        <f t="shared" si="27"/>
        <v>1079731.8356756757</v>
      </c>
      <c r="E23" s="29">
        <f t="shared" si="27"/>
        <v>1093824.7210810813</v>
      </c>
      <c r="F23" s="29">
        <f t="shared" si="27"/>
        <v>1132504.2711783785</v>
      </c>
      <c r="G23" s="74">
        <f t="shared" si="27"/>
        <v>1173899.4118864867</v>
      </c>
      <c r="H23" s="73">
        <f t="shared" si="27"/>
        <v>1173899.4118864867</v>
      </c>
      <c r="I23" s="73">
        <f t="shared" si="27"/>
        <v>1187659.7152939739</v>
      </c>
      <c r="J23" s="131">
        <f t="shared" si="3"/>
        <v>1229527</v>
      </c>
      <c r="K23" s="113">
        <f t="shared" si="3"/>
        <v>1256114</v>
      </c>
      <c r="L23" s="113">
        <f t="shared" si="3"/>
        <v>1268218</v>
      </c>
      <c r="M23" s="113">
        <f t="shared" si="3"/>
        <v>1289325</v>
      </c>
      <c r="N23" s="113">
        <f t="shared" si="3"/>
        <v>1291524</v>
      </c>
      <c r="O23" s="113">
        <f t="shared" si="12"/>
        <v>1312653</v>
      </c>
      <c r="P23" s="113">
        <f t="shared" si="12"/>
        <v>1339446</v>
      </c>
      <c r="Q23" s="113">
        <f t="shared" si="12"/>
        <v>1373233</v>
      </c>
      <c r="R23" s="113">
        <f t="shared" si="12"/>
        <v>1397457</v>
      </c>
      <c r="S23" s="113">
        <f t="shared" si="12"/>
        <v>1413976</v>
      </c>
      <c r="T23" s="113">
        <f t="shared" ref="T23:T60" si="28">ROUND(S23*(T$2),0)</f>
        <v>1501952</v>
      </c>
      <c r="U23" s="113">
        <f t="shared" si="24"/>
        <v>1618285</v>
      </c>
      <c r="V23" s="113">
        <f t="shared" si="24"/>
        <v>1670736</v>
      </c>
      <c r="W23" s="113">
        <f t="shared" si="24"/>
        <v>1714140</v>
      </c>
      <c r="X23" s="113">
        <f t="shared" si="24"/>
        <v>1760335</v>
      </c>
    </row>
    <row r="24" spans="1:24" ht="15" x14ac:dyDescent="0.4">
      <c r="A24" s="4" t="s">
        <v>22</v>
      </c>
      <c r="B24" s="28">
        <v>3222132</v>
      </c>
      <c r="C24" s="29">
        <f t="shared" ref="C24:I24" si="29">B24*(C$2)</f>
        <v>3324891.8854054059</v>
      </c>
      <c r="D24" s="29">
        <f t="shared" si="29"/>
        <v>3469452.4021621626</v>
      </c>
      <c r="E24" s="29">
        <f t="shared" si="29"/>
        <v>3514736.4194594603</v>
      </c>
      <c r="F24" s="29">
        <f t="shared" si="29"/>
        <v>3639023.6300108116</v>
      </c>
      <c r="G24" s="74">
        <f t="shared" si="29"/>
        <v>3772036.7223567576</v>
      </c>
      <c r="H24" s="73">
        <f t="shared" si="29"/>
        <v>3772036.7223567576</v>
      </c>
      <c r="I24" s="73">
        <f t="shared" si="29"/>
        <v>3816252.0692921486</v>
      </c>
      <c r="J24" s="131">
        <f t="shared" si="3"/>
        <v>3950783</v>
      </c>
      <c r="K24" s="113">
        <f t="shared" si="3"/>
        <v>4036213</v>
      </c>
      <c r="L24" s="113">
        <f t="shared" si="3"/>
        <v>4075106</v>
      </c>
      <c r="M24" s="113">
        <f t="shared" si="3"/>
        <v>4142930</v>
      </c>
      <c r="N24" s="113">
        <f t="shared" si="3"/>
        <v>4149997</v>
      </c>
      <c r="O24" s="113">
        <f t="shared" si="12"/>
        <v>4217890</v>
      </c>
      <c r="P24" s="113">
        <f t="shared" si="12"/>
        <v>4303983</v>
      </c>
      <c r="Q24" s="113">
        <f t="shared" si="12"/>
        <v>4412550</v>
      </c>
      <c r="R24" s="113">
        <f t="shared" si="12"/>
        <v>4490389</v>
      </c>
      <c r="S24" s="113">
        <f t="shared" si="12"/>
        <v>4543468</v>
      </c>
      <c r="T24" s="113">
        <f t="shared" si="28"/>
        <v>4826157</v>
      </c>
      <c r="U24" s="113">
        <f t="shared" si="24"/>
        <v>5199963</v>
      </c>
      <c r="V24" s="113">
        <f t="shared" si="24"/>
        <v>5368501</v>
      </c>
      <c r="W24" s="113">
        <f t="shared" si="24"/>
        <v>5507970</v>
      </c>
      <c r="X24" s="113">
        <f t="shared" si="24"/>
        <v>5656407</v>
      </c>
    </row>
    <row r="25" spans="1:24" ht="15" x14ac:dyDescent="0.4">
      <c r="A25" s="4" t="s">
        <v>23</v>
      </c>
      <c r="B25" s="28">
        <v>4897191</v>
      </c>
      <c r="C25" s="29">
        <f t="shared" ref="C25:I25" si="30">B25*(C$2)</f>
        <v>5053371.6859459467</v>
      </c>
      <c r="D25" s="29">
        <f t="shared" si="30"/>
        <v>5273083.4983783793</v>
      </c>
      <c r="E25" s="29">
        <f t="shared" si="30"/>
        <v>5341908.8854054073</v>
      </c>
      <c r="F25" s="29">
        <f t="shared" si="30"/>
        <v>5530808.1014918936</v>
      </c>
      <c r="G25" s="74">
        <f t="shared" si="30"/>
        <v>5732969.4402324343</v>
      </c>
      <c r="H25" s="73">
        <f t="shared" si="30"/>
        <v>5732969.4402324343</v>
      </c>
      <c r="I25" s="73">
        <f t="shared" si="30"/>
        <v>5800170.5974394865</v>
      </c>
      <c r="J25" s="131">
        <f t="shared" si="3"/>
        <v>6004638</v>
      </c>
      <c r="K25" s="113">
        <f t="shared" si="3"/>
        <v>6134479</v>
      </c>
      <c r="L25" s="113">
        <f t="shared" si="3"/>
        <v>6193592</v>
      </c>
      <c r="M25" s="113">
        <f t="shared" si="3"/>
        <v>6296674</v>
      </c>
      <c r="N25" s="113">
        <f t="shared" si="3"/>
        <v>6307415</v>
      </c>
      <c r="O25" s="113">
        <f t="shared" si="12"/>
        <v>6410604</v>
      </c>
      <c r="P25" s="113">
        <f t="shared" si="12"/>
        <v>6541453</v>
      </c>
      <c r="Q25" s="113">
        <f t="shared" si="12"/>
        <v>6706459</v>
      </c>
      <c r="R25" s="113">
        <f t="shared" si="12"/>
        <v>6824764</v>
      </c>
      <c r="S25" s="113">
        <f t="shared" si="12"/>
        <v>6905437</v>
      </c>
      <c r="T25" s="113">
        <f t="shared" si="28"/>
        <v>7335084</v>
      </c>
      <c r="U25" s="113">
        <f t="shared" si="24"/>
        <v>7903218</v>
      </c>
      <c r="V25" s="113">
        <f t="shared" si="24"/>
        <v>8159373</v>
      </c>
      <c r="W25" s="113">
        <f t="shared" si="24"/>
        <v>8371346</v>
      </c>
      <c r="X25" s="113">
        <f t="shared" si="24"/>
        <v>8596950</v>
      </c>
    </row>
    <row r="26" spans="1:24" ht="15" x14ac:dyDescent="0.4">
      <c r="A26" s="4" t="s">
        <v>24</v>
      </c>
      <c r="B26" s="28">
        <v>5960498</v>
      </c>
      <c r="C26" s="29">
        <f t="shared" ref="C26:I26" si="31">B26*(C$2)</f>
        <v>6150589.5578378383</v>
      </c>
      <c r="D26" s="29">
        <f t="shared" si="31"/>
        <v>6418006.495135135</v>
      </c>
      <c r="E26" s="29">
        <f t="shared" si="31"/>
        <v>6501775.6562162172</v>
      </c>
      <c r="F26" s="29">
        <f t="shared" si="31"/>
        <v>6731689.7844756767</v>
      </c>
      <c r="G26" s="74">
        <f t="shared" si="31"/>
        <v>6977745.5856972989</v>
      </c>
      <c r="H26" s="73">
        <f t="shared" si="31"/>
        <v>6977745.5856972989</v>
      </c>
      <c r="I26" s="73">
        <f t="shared" si="31"/>
        <v>7059537.8545980463</v>
      </c>
      <c r="J26" s="131">
        <f t="shared" si="3"/>
        <v>7308401</v>
      </c>
      <c r="K26" s="113">
        <f t="shared" si="3"/>
        <v>7466434</v>
      </c>
      <c r="L26" s="113">
        <f t="shared" si="3"/>
        <v>7538382</v>
      </c>
      <c r="M26" s="113">
        <f t="shared" si="3"/>
        <v>7663846</v>
      </c>
      <c r="N26" s="113">
        <f t="shared" si="3"/>
        <v>7676919</v>
      </c>
      <c r="O26" s="113">
        <f t="shared" si="12"/>
        <v>7802512</v>
      </c>
      <c r="P26" s="113">
        <f t="shared" si="12"/>
        <v>7961771</v>
      </c>
      <c r="Q26" s="113">
        <f t="shared" si="12"/>
        <v>8162604</v>
      </c>
      <c r="R26" s="113">
        <f t="shared" si="12"/>
        <v>8306596</v>
      </c>
      <c r="S26" s="113">
        <f t="shared" si="12"/>
        <v>8404785</v>
      </c>
      <c r="T26" s="113">
        <f t="shared" si="28"/>
        <v>8927720</v>
      </c>
      <c r="U26" s="113">
        <f t="shared" si="24"/>
        <v>9619210</v>
      </c>
      <c r="V26" s="113">
        <f t="shared" si="24"/>
        <v>9930983</v>
      </c>
      <c r="W26" s="113">
        <f t="shared" si="24"/>
        <v>10188980</v>
      </c>
      <c r="X26" s="113">
        <f t="shared" si="24"/>
        <v>10463568</v>
      </c>
    </row>
    <row r="27" spans="1:24" ht="15" x14ac:dyDescent="0.4">
      <c r="A27" s="4" t="s">
        <v>25</v>
      </c>
      <c r="B27" s="28">
        <v>3117243</v>
      </c>
      <c r="C27" s="29">
        <f t="shared" ref="C27:I27" si="32">B27*(C$2)</f>
        <v>3216657.7767567569</v>
      </c>
      <c r="D27" s="29">
        <f t="shared" si="32"/>
        <v>3356512.4627027027</v>
      </c>
      <c r="E27" s="29">
        <f t="shared" si="32"/>
        <v>3400322.3643243248</v>
      </c>
      <c r="F27" s="29">
        <f t="shared" si="32"/>
        <v>3520563.6943135136</v>
      </c>
      <c r="G27" s="74">
        <f t="shared" si="32"/>
        <v>3649246.8553459463</v>
      </c>
      <c r="H27" s="73">
        <f t="shared" si="32"/>
        <v>3649246.8553459463</v>
      </c>
      <c r="I27" s="73">
        <f t="shared" si="32"/>
        <v>3692022.8746793936</v>
      </c>
      <c r="J27" s="131">
        <f t="shared" si="3"/>
        <v>3822174</v>
      </c>
      <c r="K27" s="113">
        <f t="shared" si="3"/>
        <v>3904823</v>
      </c>
      <c r="L27" s="113">
        <f t="shared" si="3"/>
        <v>3942450</v>
      </c>
      <c r="M27" s="113">
        <f t="shared" si="3"/>
        <v>4008066</v>
      </c>
      <c r="N27" s="113">
        <f t="shared" si="3"/>
        <v>4014903</v>
      </c>
      <c r="O27" s="113">
        <f t="shared" si="12"/>
        <v>4080586</v>
      </c>
      <c r="P27" s="113">
        <f t="shared" si="12"/>
        <v>4163876</v>
      </c>
      <c r="Q27" s="113">
        <f t="shared" si="12"/>
        <v>4268909</v>
      </c>
      <c r="R27" s="113">
        <f t="shared" si="12"/>
        <v>4344214</v>
      </c>
      <c r="S27" s="113">
        <f t="shared" si="12"/>
        <v>4395565</v>
      </c>
      <c r="T27" s="113">
        <f t="shared" si="28"/>
        <v>4669051</v>
      </c>
      <c r="U27" s="113">
        <f t="shared" si="24"/>
        <v>5030689</v>
      </c>
      <c r="V27" s="113">
        <f t="shared" si="24"/>
        <v>5193741</v>
      </c>
      <c r="W27" s="113">
        <f t="shared" si="24"/>
        <v>5328669</v>
      </c>
      <c r="X27" s="113">
        <f t="shared" si="24"/>
        <v>5472274</v>
      </c>
    </row>
    <row r="28" spans="1:24" ht="15" x14ac:dyDescent="0.4">
      <c r="A28" s="4" t="s">
        <v>26</v>
      </c>
      <c r="B28" s="28">
        <v>2015632</v>
      </c>
      <c r="C28" s="29">
        <f t="shared" ref="C28:I28" si="33">B28*(C$2)</f>
        <v>2079914.3178378381</v>
      </c>
      <c r="D28" s="29">
        <f t="shared" si="33"/>
        <v>2170345.3751351354</v>
      </c>
      <c r="E28" s="29">
        <f t="shared" si="33"/>
        <v>2198673.1762162168</v>
      </c>
      <c r="F28" s="29">
        <f t="shared" si="33"/>
        <v>2276422.0948756761</v>
      </c>
      <c r="G28" s="74">
        <f t="shared" si="33"/>
        <v>2359629.562897298</v>
      </c>
      <c r="H28" s="73">
        <f t="shared" si="33"/>
        <v>2359629.562897298</v>
      </c>
      <c r="I28" s="73">
        <f t="shared" si="33"/>
        <v>2387288.8481699298</v>
      </c>
      <c r="J28" s="131">
        <f t="shared" si="3"/>
        <v>2471446</v>
      </c>
      <c r="K28" s="113">
        <f t="shared" si="3"/>
        <v>2524887</v>
      </c>
      <c r="L28" s="113">
        <f t="shared" si="3"/>
        <v>2549217</v>
      </c>
      <c r="M28" s="113">
        <f t="shared" si="3"/>
        <v>2591645</v>
      </c>
      <c r="N28" s="113">
        <f t="shared" si="3"/>
        <v>2596066</v>
      </c>
      <c r="O28" s="113">
        <f t="shared" si="12"/>
        <v>2638537</v>
      </c>
      <c r="P28" s="113">
        <f t="shared" si="12"/>
        <v>2692393</v>
      </c>
      <c r="Q28" s="113">
        <f t="shared" si="12"/>
        <v>2760308</v>
      </c>
      <c r="R28" s="113">
        <f t="shared" si="12"/>
        <v>2809001</v>
      </c>
      <c r="S28" s="113">
        <f t="shared" si="12"/>
        <v>2842205</v>
      </c>
      <c r="T28" s="113">
        <f t="shared" si="28"/>
        <v>3019043</v>
      </c>
      <c r="U28" s="113">
        <f t="shared" si="24"/>
        <v>3252881</v>
      </c>
      <c r="V28" s="113">
        <f t="shared" si="24"/>
        <v>3358312</v>
      </c>
      <c r="W28" s="113">
        <f t="shared" si="24"/>
        <v>3445558</v>
      </c>
      <c r="X28" s="113">
        <f t="shared" si="24"/>
        <v>3538414</v>
      </c>
    </row>
    <row r="29" spans="1:24" ht="15" x14ac:dyDescent="0.4">
      <c r="A29" s="4" t="s">
        <v>27</v>
      </c>
      <c r="B29" s="28">
        <v>3869022</v>
      </c>
      <c r="C29" s="29">
        <f t="shared" ref="C29:I29" si="34">B29*(C$2)</f>
        <v>3992412.431351352</v>
      </c>
      <c r="D29" s="29">
        <f t="shared" si="34"/>
        <v>4165995.5805405411</v>
      </c>
      <c r="E29" s="29">
        <f t="shared" si="34"/>
        <v>4220371.0248648664</v>
      </c>
      <c r="F29" s="29">
        <f t="shared" si="34"/>
        <v>4369610.705902704</v>
      </c>
      <c r="G29" s="74">
        <f t="shared" si="34"/>
        <v>4529328.116789191</v>
      </c>
      <c r="H29" s="73">
        <f t="shared" si="34"/>
        <v>4529328.116789191</v>
      </c>
      <c r="I29" s="73">
        <f t="shared" si="34"/>
        <v>4582420.3395878412</v>
      </c>
      <c r="J29" s="131">
        <f t="shared" si="3"/>
        <v>4743960</v>
      </c>
      <c r="K29" s="113">
        <f t="shared" si="3"/>
        <v>4846541</v>
      </c>
      <c r="L29" s="113">
        <f t="shared" si="3"/>
        <v>4893243</v>
      </c>
      <c r="M29" s="113">
        <f t="shared" si="3"/>
        <v>4974683</v>
      </c>
      <c r="N29" s="113">
        <f t="shared" si="3"/>
        <v>4983169</v>
      </c>
      <c r="O29" s="113">
        <f t="shared" si="12"/>
        <v>5064693</v>
      </c>
      <c r="P29" s="113">
        <f t="shared" si="12"/>
        <v>5168070</v>
      </c>
      <c r="Q29" s="113">
        <f t="shared" si="12"/>
        <v>5298433</v>
      </c>
      <c r="R29" s="113">
        <f t="shared" si="12"/>
        <v>5391900</v>
      </c>
      <c r="S29" s="113">
        <f t="shared" si="12"/>
        <v>5455636</v>
      </c>
      <c r="T29" s="113">
        <f t="shared" si="28"/>
        <v>5795079</v>
      </c>
      <c r="U29" s="113">
        <f t="shared" si="24"/>
        <v>6243933</v>
      </c>
      <c r="V29" s="113">
        <f t="shared" si="24"/>
        <v>6446308</v>
      </c>
      <c r="W29" s="113">
        <f t="shared" si="24"/>
        <v>6613777</v>
      </c>
      <c r="X29" s="113">
        <f t="shared" si="24"/>
        <v>6792015</v>
      </c>
    </row>
    <row r="30" spans="1:24" ht="15" x14ac:dyDescent="0.4">
      <c r="A30" s="4" t="s">
        <v>28</v>
      </c>
      <c r="B30" s="28">
        <v>800000</v>
      </c>
      <c r="C30" s="29">
        <f t="shared" ref="C30:I30" si="35">B30*(C$2)</f>
        <v>825513.51351351361</v>
      </c>
      <c r="D30" s="29">
        <f t="shared" si="35"/>
        <v>861405.40540540544</v>
      </c>
      <c r="E30" s="29">
        <f t="shared" si="35"/>
        <v>872648.64864864887</v>
      </c>
      <c r="F30" s="29">
        <f t="shared" si="35"/>
        <v>903507.02702702722</v>
      </c>
      <c r="G30" s="74">
        <f t="shared" si="35"/>
        <v>936531.89189189218</v>
      </c>
      <c r="H30" s="73">
        <f t="shared" si="35"/>
        <v>936531.89189189218</v>
      </c>
      <c r="I30" s="73">
        <f t="shared" si="35"/>
        <v>947509.80265045608</v>
      </c>
      <c r="J30" s="131">
        <f t="shared" si="3"/>
        <v>980911</v>
      </c>
      <c r="K30" s="113">
        <f t="shared" si="3"/>
        <v>1002122</v>
      </c>
      <c r="L30" s="113">
        <f t="shared" si="3"/>
        <v>1011779</v>
      </c>
      <c r="M30" s="113">
        <f t="shared" si="3"/>
        <v>1028618</v>
      </c>
      <c r="N30" s="113">
        <f t="shared" si="3"/>
        <v>1030373</v>
      </c>
      <c r="O30" s="113">
        <f t="shared" si="12"/>
        <v>1047230</v>
      </c>
      <c r="P30" s="113">
        <f t="shared" si="12"/>
        <v>1068605</v>
      </c>
      <c r="Q30" s="113">
        <f t="shared" si="12"/>
        <v>1095560</v>
      </c>
      <c r="R30" s="113">
        <f t="shared" si="12"/>
        <v>1114886</v>
      </c>
      <c r="S30" s="113">
        <f t="shared" si="12"/>
        <v>1128065</v>
      </c>
      <c r="T30" s="113">
        <f t="shared" si="28"/>
        <v>1198252</v>
      </c>
      <c r="U30" s="113">
        <f t="shared" si="24"/>
        <v>1291062</v>
      </c>
      <c r="V30" s="113">
        <f t="shared" si="24"/>
        <v>1332907</v>
      </c>
      <c r="W30" s="113">
        <f t="shared" si="24"/>
        <v>1367535</v>
      </c>
      <c r="X30" s="113">
        <f t="shared" si="24"/>
        <v>1404389</v>
      </c>
    </row>
    <row r="31" spans="1:24" ht="15" x14ac:dyDescent="0.4">
      <c r="A31" s="4" t="s">
        <v>29</v>
      </c>
      <c r="B31" s="28">
        <v>1228093</v>
      </c>
      <c r="C31" s="29">
        <f t="shared" ref="C31:I31" si="36">B31*(C$2)</f>
        <v>1267259.2091891894</v>
      </c>
      <c r="D31" s="29">
        <f t="shared" si="36"/>
        <v>1322357.4356756757</v>
      </c>
      <c r="E31" s="29">
        <f t="shared" si="36"/>
        <v>1339617.1210810815</v>
      </c>
      <c r="F31" s="29">
        <f t="shared" si="36"/>
        <v>1386988.3191783787</v>
      </c>
      <c r="G31" s="74">
        <f t="shared" si="36"/>
        <v>1437685.3258864868</v>
      </c>
      <c r="H31" s="73">
        <f t="shared" si="36"/>
        <v>1437685.3258864868</v>
      </c>
      <c r="I31" s="73">
        <f t="shared" si="36"/>
        <v>1454537.6950830079</v>
      </c>
      <c r="J31" s="131">
        <f t="shared" si="3"/>
        <v>1505813</v>
      </c>
      <c r="K31" s="113">
        <f t="shared" si="3"/>
        <v>1538374</v>
      </c>
      <c r="L31" s="113">
        <f t="shared" si="3"/>
        <v>1553198</v>
      </c>
      <c r="M31" s="113">
        <f t="shared" si="3"/>
        <v>1579048</v>
      </c>
      <c r="N31" s="113">
        <f t="shared" si="3"/>
        <v>1581741</v>
      </c>
      <c r="O31" s="113">
        <f t="shared" si="12"/>
        <v>1607618</v>
      </c>
      <c r="P31" s="113">
        <f t="shared" si="12"/>
        <v>1640432</v>
      </c>
      <c r="Q31" s="113">
        <f t="shared" si="12"/>
        <v>1681811</v>
      </c>
      <c r="R31" s="113">
        <f t="shared" si="12"/>
        <v>1711479</v>
      </c>
      <c r="S31" s="113">
        <f t="shared" si="12"/>
        <v>1731710</v>
      </c>
      <c r="T31" s="113">
        <f t="shared" si="28"/>
        <v>1839455</v>
      </c>
      <c r="U31" s="113">
        <f t="shared" si="24"/>
        <v>1981929</v>
      </c>
      <c r="V31" s="113">
        <f t="shared" si="24"/>
        <v>2046166</v>
      </c>
      <c r="W31" s="113">
        <f t="shared" si="24"/>
        <v>2099323</v>
      </c>
      <c r="X31" s="113">
        <f t="shared" si="24"/>
        <v>2155899</v>
      </c>
    </row>
    <row r="32" spans="1:24" ht="15" x14ac:dyDescent="0.4">
      <c r="A32" s="4" t="s">
        <v>30</v>
      </c>
      <c r="B32" s="28">
        <v>923002</v>
      </c>
      <c r="C32" s="29">
        <f t="shared" ref="C32:I32" si="37">B32*(C$2)</f>
        <v>952438.28000000014</v>
      </c>
      <c r="D32" s="29">
        <f t="shared" si="37"/>
        <v>993848.64000000013</v>
      </c>
      <c r="E32" s="29">
        <f t="shared" si="37"/>
        <v>1006820.5600000003</v>
      </c>
      <c r="F32" s="29">
        <f t="shared" si="37"/>
        <v>1042423.4912000003</v>
      </c>
      <c r="G32" s="74">
        <f t="shared" si="37"/>
        <v>1080526.0116000003</v>
      </c>
      <c r="H32" s="73">
        <f t="shared" si="37"/>
        <v>1080526.0116000003</v>
      </c>
      <c r="I32" s="73">
        <f t="shared" si="37"/>
        <v>1093191.8035824702</v>
      </c>
      <c r="J32" s="131">
        <f t="shared" si="3"/>
        <v>1131729</v>
      </c>
      <c r="K32" s="113">
        <f t="shared" si="3"/>
        <v>1156201</v>
      </c>
      <c r="L32" s="113">
        <f t="shared" si="3"/>
        <v>1167342</v>
      </c>
      <c r="M32" s="113">
        <f t="shared" si="3"/>
        <v>1186771</v>
      </c>
      <c r="N32" s="113">
        <f t="shared" si="3"/>
        <v>1188795</v>
      </c>
      <c r="O32" s="113">
        <f t="shared" si="12"/>
        <v>1208244</v>
      </c>
      <c r="P32" s="113">
        <f t="shared" si="12"/>
        <v>1232906</v>
      </c>
      <c r="Q32" s="113">
        <f t="shared" si="12"/>
        <v>1264006</v>
      </c>
      <c r="R32" s="113">
        <f t="shared" si="12"/>
        <v>1286304</v>
      </c>
      <c r="S32" s="113">
        <f t="shared" si="12"/>
        <v>1301509</v>
      </c>
      <c r="T32" s="113">
        <f t="shared" si="28"/>
        <v>1382487</v>
      </c>
      <c r="U32" s="113">
        <f t="shared" si="24"/>
        <v>1489567</v>
      </c>
      <c r="V32" s="113">
        <f t="shared" si="24"/>
        <v>1537846</v>
      </c>
      <c r="W32" s="113">
        <f t="shared" si="24"/>
        <v>1577798</v>
      </c>
      <c r="X32" s="113">
        <f t="shared" si="24"/>
        <v>1620319</v>
      </c>
    </row>
    <row r="33" spans="1:24" ht="15" x14ac:dyDescent="0.4">
      <c r="A33" s="4" t="s">
        <v>31</v>
      </c>
      <c r="B33" s="28">
        <v>813617</v>
      </c>
      <c r="C33" s="29">
        <f t="shared" ref="C33:I33" si="38">B33*(C$2)</f>
        <v>839564.78540540545</v>
      </c>
      <c r="D33" s="29">
        <f t="shared" si="38"/>
        <v>876067.60216216219</v>
      </c>
      <c r="E33" s="29">
        <f t="shared" si="38"/>
        <v>887502.21945945965</v>
      </c>
      <c r="F33" s="29">
        <f t="shared" si="38"/>
        <v>918885.84601081093</v>
      </c>
      <c r="G33" s="74">
        <f t="shared" si="38"/>
        <v>952472.83535675693</v>
      </c>
      <c r="H33" s="73">
        <f t="shared" si="38"/>
        <v>952472.83535675693</v>
      </c>
      <c r="I33" s="73">
        <f t="shared" si="38"/>
        <v>963637.60387881997</v>
      </c>
      <c r="J33" s="131">
        <f t="shared" si="3"/>
        <v>997608</v>
      </c>
      <c r="K33" s="113">
        <f t="shared" si="3"/>
        <v>1019180</v>
      </c>
      <c r="L33" s="113">
        <f t="shared" si="3"/>
        <v>1029001</v>
      </c>
      <c r="M33" s="113">
        <f t="shared" si="3"/>
        <v>1046127</v>
      </c>
      <c r="N33" s="113">
        <f t="shared" si="3"/>
        <v>1047911</v>
      </c>
      <c r="O33" s="113">
        <f t="shared" si="12"/>
        <v>1065055</v>
      </c>
      <c r="P33" s="113">
        <f t="shared" si="12"/>
        <v>1086794</v>
      </c>
      <c r="Q33" s="113">
        <f t="shared" si="12"/>
        <v>1114208</v>
      </c>
      <c r="R33" s="113">
        <f t="shared" si="12"/>
        <v>1133863</v>
      </c>
      <c r="S33" s="113">
        <f t="shared" si="12"/>
        <v>1147266</v>
      </c>
      <c r="T33" s="113">
        <f t="shared" si="28"/>
        <v>1218647</v>
      </c>
      <c r="U33" s="113">
        <f t="shared" si="24"/>
        <v>1313036</v>
      </c>
      <c r="V33" s="113">
        <f t="shared" si="24"/>
        <v>1355593</v>
      </c>
      <c r="W33" s="113">
        <f t="shared" si="24"/>
        <v>1390810</v>
      </c>
      <c r="X33" s="113">
        <f t="shared" si="24"/>
        <v>1428292</v>
      </c>
    </row>
    <row r="34" spans="1:24" ht="15" x14ac:dyDescent="0.4">
      <c r="A34" s="4" t="s">
        <v>32</v>
      </c>
      <c r="B34" s="28">
        <v>6232884</v>
      </c>
      <c r="C34" s="29">
        <f t="shared" ref="C34:I34" si="39">B34*(C$2)</f>
        <v>6431662.4627027037</v>
      </c>
      <c r="D34" s="29">
        <f t="shared" si="39"/>
        <v>6711299.961081082</v>
      </c>
      <c r="E34" s="29">
        <f t="shared" si="39"/>
        <v>6798897.2497297321</v>
      </c>
      <c r="F34" s="29">
        <f t="shared" si="39"/>
        <v>7039318.1158054071</v>
      </c>
      <c r="G34" s="74">
        <f t="shared" si="39"/>
        <v>7296618.3055783808</v>
      </c>
      <c r="H34" s="73">
        <f t="shared" si="39"/>
        <v>7296618.3055783808</v>
      </c>
      <c r="I34" s="73">
        <f t="shared" si="39"/>
        <v>7382148.3609789815</v>
      </c>
      <c r="J34" s="131">
        <f t="shared" si="3"/>
        <v>7642384</v>
      </c>
      <c r="K34" s="113">
        <f t="shared" si="3"/>
        <v>7807639</v>
      </c>
      <c r="L34" s="113">
        <f t="shared" si="3"/>
        <v>7882874</v>
      </c>
      <c r="M34" s="113">
        <f t="shared" si="3"/>
        <v>8014072</v>
      </c>
      <c r="N34" s="113">
        <f t="shared" si="3"/>
        <v>8027742</v>
      </c>
      <c r="O34" s="113">
        <f t="shared" si="12"/>
        <v>8159075</v>
      </c>
      <c r="P34" s="113">
        <f t="shared" si="12"/>
        <v>8325612</v>
      </c>
      <c r="Q34" s="113">
        <f t="shared" si="12"/>
        <v>8535623</v>
      </c>
      <c r="R34" s="113">
        <f t="shared" si="12"/>
        <v>8686195</v>
      </c>
      <c r="S34" s="113">
        <f t="shared" si="12"/>
        <v>8788872</v>
      </c>
      <c r="T34" s="113">
        <f t="shared" si="28"/>
        <v>9335704</v>
      </c>
      <c r="U34" s="113">
        <f t="shared" si="24"/>
        <v>10058794</v>
      </c>
      <c r="V34" s="113">
        <f t="shared" si="24"/>
        <v>10384814</v>
      </c>
      <c r="W34" s="113">
        <f t="shared" si="24"/>
        <v>10654602</v>
      </c>
      <c r="X34" s="113">
        <f t="shared" si="24"/>
        <v>10941739</v>
      </c>
    </row>
    <row r="35" spans="1:24" ht="15" x14ac:dyDescent="0.4">
      <c r="A35" s="4" t="s">
        <v>33</v>
      </c>
      <c r="B35" s="28">
        <v>1512798</v>
      </c>
      <c r="C35" s="29">
        <f t="shared" ref="C35:I35" si="40">B35*(C$2)</f>
        <v>1561043.9902702705</v>
      </c>
      <c r="D35" s="29">
        <f t="shared" si="40"/>
        <v>1628915.4681081083</v>
      </c>
      <c r="E35" s="29">
        <f t="shared" si="40"/>
        <v>1650176.4129729734</v>
      </c>
      <c r="F35" s="29">
        <f t="shared" si="40"/>
        <v>1708529.529340541</v>
      </c>
      <c r="G35" s="74">
        <f t="shared" si="40"/>
        <v>1770979.4662378384</v>
      </c>
      <c r="H35" s="73">
        <f t="shared" si="40"/>
        <v>1770979.4662378384</v>
      </c>
      <c r="I35" s="73">
        <f t="shared" si="40"/>
        <v>1791738.6680375058</v>
      </c>
      <c r="J35" s="131">
        <f t="shared" si="3"/>
        <v>1854901</v>
      </c>
      <c r="K35" s="113">
        <f t="shared" si="3"/>
        <v>1895010</v>
      </c>
      <c r="L35" s="113">
        <f t="shared" si="3"/>
        <v>1913271</v>
      </c>
      <c r="M35" s="113">
        <f t="shared" si="3"/>
        <v>1945114</v>
      </c>
      <c r="N35" s="113">
        <f t="shared" si="3"/>
        <v>1948432</v>
      </c>
      <c r="O35" s="113">
        <f t="shared" si="12"/>
        <v>1980308</v>
      </c>
      <c r="P35" s="113">
        <f t="shared" si="12"/>
        <v>2020729</v>
      </c>
      <c r="Q35" s="113">
        <f t="shared" si="12"/>
        <v>2071701</v>
      </c>
      <c r="R35" s="113">
        <f t="shared" si="12"/>
        <v>2108247</v>
      </c>
      <c r="S35" s="113">
        <f t="shared" si="12"/>
        <v>2133168</v>
      </c>
      <c r="T35" s="113">
        <f t="shared" si="28"/>
        <v>2265891</v>
      </c>
      <c r="U35" s="113">
        <f t="shared" si="24"/>
        <v>2441394</v>
      </c>
      <c r="V35" s="113">
        <f t="shared" si="24"/>
        <v>2520523</v>
      </c>
      <c r="W35" s="113">
        <f t="shared" si="24"/>
        <v>2586004</v>
      </c>
      <c r="X35" s="113">
        <f t="shared" si="24"/>
        <v>2655696</v>
      </c>
    </row>
    <row r="36" spans="1:24" ht="15" x14ac:dyDescent="0.4">
      <c r="A36" s="4" t="s">
        <v>34</v>
      </c>
      <c r="B36" s="28">
        <v>12711085</v>
      </c>
      <c r="C36" s="29">
        <f t="shared" ref="C36:I36" si="41">B36*(C$2)</f>
        <v>13116465.54864865</v>
      </c>
      <c r="D36" s="29">
        <f t="shared" si="41"/>
        <v>13686746.659459461</v>
      </c>
      <c r="E36" s="29">
        <f t="shared" si="41"/>
        <v>13865388.935135139</v>
      </c>
      <c r="F36" s="29">
        <f t="shared" si="41"/>
        <v>14355693.273297301</v>
      </c>
      <c r="G36" s="74">
        <f t="shared" si="41"/>
        <v>14880420.603810815</v>
      </c>
      <c r="H36" s="73">
        <f t="shared" si="41"/>
        <v>14880420.603810815</v>
      </c>
      <c r="I36" s="73">
        <f t="shared" si="41"/>
        <v>15054847.049778964</v>
      </c>
      <c r="J36" s="131">
        <f t="shared" si="3"/>
        <v>15585561</v>
      </c>
      <c r="K36" s="113">
        <f t="shared" si="3"/>
        <v>15922574</v>
      </c>
      <c r="L36" s="113">
        <f t="shared" si="3"/>
        <v>16076006</v>
      </c>
      <c r="M36" s="113">
        <f t="shared" si="3"/>
        <v>16343565</v>
      </c>
      <c r="N36" s="113">
        <f t="shared" si="3"/>
        <v>16371443</v>
      </c>
      <c r="O36" s="113">
        <f t="shared" si="12"/>
        <v>16639278</v>
      </c>
      <c r="P36" s="113">
        <f t="shared" si="12"/>
        <v>16978907</v>
      </c>
      <c r="Q36" s="113">
        <f t="shared" si="12"/>
        <v>17407195</v>
      </c>
      <c r="R36" s="113">
        <f t="shared" si="12"/>
        <v>17714265</v>
      </c>
      <c r="S36" s="113">
        <f t="shared" si="12"/>
        <v>17923659</v>
      </c>
      <c r="T36" s="113">
        <f t="shared" si="28"/>
        <v>19038846</v>
      </c>
      <c r="U36" s="113">
        <f t="shared" si="24"/>
        <v>20513486</v>
      </c>
      <c r="V36" s="113">
        <f t="shared" si="24"/>
        <v>21178358</v>
      </c>
      <c r="W36" s="113">
        <f t="shared" si="24"/>
        <v>21728552</v>
      </c>
      <c r="X36" s="113">
        <f t="shared" si="24"/>
        <v>22314127</v>
      </c>
    </row>
    <row r="37" spans="1:24" ht="15" x14ac:dyDescent="0.4">
      <c r="A37" s="4" t="s">
        <v>35</v>
      </c>
      <c r="B37" s="28">
        <v>4731265</v>
      </c>
      <c r="C37" s="29">
        <f t="shared" ref="C37:I37" si="42">B37*(C$2)</f>
        <v>4882153.9918918926</v>
      </c>
      <c r="D37" s="29">
        <f t="shared" si="42"/>
        <v>5094421.5567567572</v>
      </c>
      <c r="E37" s="29">
        <f t="shared" si="42"/>
        <v>5160915.010810812</v>
      </c>
      <c r="F37" s="29">
        <f t="shared" si="42"/>
        <v>5343413.9677837845</v>
      </c>
      <c r="G37" s="74">
        <f t="shared" si="42"/>
        <v>5538725.7018648656</v>
      </c>
      <c r="H37" s="73">
        <f t="shared" si="42"/>
        <v>5538725.7018648656</v>
      </c>
      <c r="I37" s="73">
        <f t="shared" si="42"/>
        <v>5603649.9580462612</v>
      </c>
      <c r="J37" s="131">
        <f t="shared" si="3"/>
        <v>5801190</v>
      </c>
      <c r="K37" s="113">
        <f t="shared" si="3"/>
        <v>5926632</v>
      </c>
      <c r="L37" s="113">
        <f t="shared" si="3"/>
        <v>5983742</v>
      </c>
      <c r="M37" s="113">
        <f t="shared" si="3"/>
        <v>6083332</v>
      </c>
      <c r="N37" s="113">
        <f t="shared" si="3"/>
        <v>6093709</v>
      </c>
      <c r="O37" s="113">
        <f t="shared" si="12"/>
        <v>6193401</v>
      </c>
      <c r="P37" s="113">
        <f t="shared" si="12"/>
        <v>6319816</v>
      </c>
      <c r="Q37" s="113">
        <f t="shared" si="12"/>
        <v>6479231</v>
      </c>
      <c r="R37" s="113">
        <f t="shared" si="12"/>
        <v>6593527</v>
      </c>
      <c r="S37" s="113">
        <f t="shared" si="12"/>
        <v>6671467</v>
      </c>
      <c r="T37" s="113">
        <f t="shared" si="28"/>
        <v>7086557</v>
      </c>
      <c r="U37" s="113">
        <f t="shared" si="24"/>
        <v>7635441</v>
      </c>
      <c r="V37" s="113">
        <f t="shared" si="24"/>
        <v>7882917</v>
      </c>
      <c r="W37" s="113">
        <f t="shared" si="24"/>
        <v>8087708</v>
      </c>
      <c r="X37" s="113">
        <f t="shared" si="24"/>
        <v>8305668</v>
      </c>
    </row>
    <row r="38" spans="1:24" ht="15" x14ac:dyDescent="0.4">
      <c r="A38" s="4" t="s">
        <v>36</v>
      </c>
      <c r="B38" s="28">
        <v>800000</v>
      </c>
      <c r="C38" s="29">
        <f t="shared" ref="C38:I38" si="43">B38*(C$2)</f>
        <v>825513.51351351361</v>
      </c>
      <c r="D38" s="29">
        <f t="shared" si="43"/>
        <v>861405.40540540544</v>
      </c>
      <c r="E38" s="29">
        <f t="shared" si="43"/>
        <v>872648.64864864887</v>
      </c>
      <c r="F38" s="29">
        <f t="shared" si="43"/>
        <v>903507.02702702722</v>
      </c>
      <c r="G38" s="74">
        <f t="shared" si="43"/>
        <v>936531.89189189218</v>
      </c>
      <c r="H38" s="73">
        <f t="shared" si="43"/>
        <v>936531.89189189218</v>
      </c>
      <c r="I38" s="73">
        <f t="shared" si="43"/>
        <v>947509.80265045608</v>
      </c>
      <c r="J38" s="131">
        <f t="shared" si="3"/>
        <v>980911</v>
      </c>
      <c r="K38" s="113">
        <f t="shared" si="3"/>
        <v>1002122</v>
      </c>
      <c r="L38" s="113">
        <f t="shared" si="3"/>
        <v>1011779</v>
      </c>
      <c r="M38" s="113">
        <f t="shared" si="3"/>
        <v>1028618</v>
      </c>
      <c r="N38" s="113">
        <f t="shared" si="3"/>
        <v>1030373</v>
      </c>
      <c r="O38" s="113">
        <f t="shared" si="12"/>
        <v>1047230</v>
      </c>
      <c r="P38" s="113">
        <f t="shared" si="12"/>
        <v>1068605</v>
      </c>
      <c r="Q38" s="113">
        <f t="shared" si="12"/>
        <v>1095560</v>
      </c>
      <c r="R38" s="113">
        <f t="shared" si="12"/>
        <v>1114886</v>
      </c>
      <c r="S38" s="113">
        <f t="shared" si="12"/>
        <v>1128065</v>
      </c>
      <c r="T38" s="113">
        <f t="shared" si="28"/>
        <v>1198252</v>
      </c>
      <c r="U38" s="113">
        <f t="shared" si="24"/>
        <v>1291062</v>
      </c>
      <c r="V38" s="113">
        <f t="shared" si="24"/>
        <v>1332907</v>
      </c>
      <c r="W38" s="113">
        <f t="shared" si="24"/>
        <v>1367535</v>
      </c>
      <c r="X38" s="113">
        <f t="shared" si="24"/>
        <v>1404389</v>
      </c>
    </row>
    <row r="39" spans="1:24" ht="15" x14ac:dyDescent="0.4">
      <c r="A39" s="4" t="s">
        <v>37</v>
      </c>
      <c r="B39" s="28">
        <v>6958457</v>
      </c>
      <c r="C39" s="29">
        <f t="shared" ref="C39:I39" si="44">B39*(C$2)</f>
        <v>7180375.3583783796</v>
      </c>
      <c r="D39" s="29">
        <f t="shared" si="44"/>
        <v>7492565.5913513526</v>
      </c>
      <c r="E39" s="29">
        <f t="shared" si="44"/>
        <v>7590360.1221621651</v>
      </c>
      <c r="F39" s="29">
        <f t="shared" si="44"/>
        <v>7858768.4959567599</v>
      </c>
      <c r="G39" s="74">
        <f t="shared" si="44"/>
        <v>8146021.1235729763</v>
      </c>
      <c r="H39" s="73">
        <f t="shared" si="44"/>
        <v>8146021.1235729763</v>
      </c>
      <c r="I39" s="73">
        <f t="shared" si="44"/>
        <v>8241507.7735271063</v>
      </c>
      <c r="J39" s="131">
        <f t="shared" si="3"/>
        <v>8532037</v>
      </c>
      <c r="K39" s="113">
        <f t="shared" si="3"/>
        <v>8716529</v>
      </c>
      <c r="L39" s="113">
        <f t="shared" si="3"/>
        <v>8800523</v>
      </c>
      <c r="M39" s="113">
        <f t="shared" si="3"/>
        <v>8946994</v>
      </c>
      <c r="N39" s="113">
        <f t="shared" si="3"/>
        <v>8962255</v>
      </c>
      <c r="O39" s="113">
        <f t="shared" si="12"/>
        <v>9108876</v>
      </c>
      <c r="P39" s="113">
        <f t="shared" si="12"/>
        <v>9294800</v>
      </c>
      <c r="Q39" s="113">
        <f t="shared" si="12"/>
        <v>9529259</v>
      </c>
      <c r="R39" s="113">
        <f t="shared" si="12"/>
        <v>9697359</v>
      </c>
      <c r="S39" s="113">
        <f t="shared" si="12"/>
        <v>9811988</v>
      </c>
      <c r="T39" s="113">
        <f t="shared" si="28"/>
        <v>10422477</v>
      </c>
      <c r="U39" s="113">
        <f t="shared" si="24"/>
        <v>11229742</v>
      </c>
      <c r="V39" s="113">
        <f t="shared" si="24"/>
        <v>11593714</v>
      </c>
      <c r="W39" s="113">
        <f t="shared" si="24"/>
        <v>11894908</v>
      </c>
      <c r="X39" s="113">
        <f t="shared" si="24"/>
        <v>12215470</v>
      </c>
    </row>
    <row r="40" spans="1:24" ht="15" x14ac:dyDescent="0.4">
      <c r="A40" s="4" t="s">
        <v>38</v>
      </c>
      <c r="B40" s="28">
        <v>2272091</v>
      </c>
      <c r="C40" s="29">
        <f t="shared" ref="C40:I40" si="45">B40*(C$2)</f>
        <v>2344552.2805405408</v>
      </c>
      <c r="D40" s="29">
        <f t="shared" si="45"/>
        <v>2446489.3362162164</v>
      </c>
      <c r="E40" s="29">
        <f t="shared" si="45"/>
        <v>2478421.4259459465</v>
      </c>
      <c r="F40" s="29">
        <f t="shared" si="45"/>
        <v>2566062.7306810813</v>
      </c>
      <c r="G40" s="74">
        <f t="shared" si="45"/>
        <v>2659857.1034756759</v>
      </c>
      <c r="H40" s="73">
        <f t="shared" si="45"/>
        <v>2659857.1034756759</v>
      </c>
      <c r="I40" s="73">
        <f t="shared" si="45"/>
        <v>2691035.6187673458</v>
      </c>
      <c r="J40" s="131">
        <f t="shared" si="3"/>
        <v>2785900</v>
      </c>
      <c r="K40" s="113">
        <f t="shared" si="3"/>
        <v>2846141</v>
      </c>
      <c r="L40" s="113">
        <f t="shared" si="3"/>
        <v>2873567</v>
      </c>
      <c r="M40" s="113">
        <f t="shared" si="3"/>
        <v>2921393</v>
      </c>
      <c r="N40" s="113">
        <f t="shared" si="3"/>
        <v>2926376</v>
      </c>
      <c r="O40" s="113">
        <f t="shared" si="12"/>
        <v>2974251</v>
      </c>
      <c r="P40" s="113">
        <f t="shared" si="12"/>
        <v>3034959</v>
      </c>
      <c r="Q40" s="113">
        <f t="shared" si="12"/>
        <v>3111515</v>
      </c>
      <c r="R40" s="113">
        <f t="shared" si="12"/>
        <v>3166403</v>
      </c>
      <c r="S40" s="113">
        <f t="shared" si="12"/>
        <v>3203832</v>
      </c>
      <c r="T40" s="113">
        <f t="shared" si="28"/>
        <v>3403170</v>
      </c>
      <c r="U40" s="113">
        <f t="shared" si="24"/>
        <v>3666760</v>
      </c>
      <c r="V40" s="113">
        <f t="shared" si="24"/>
        <v>3785605</v>
      </c>
      <c r="W40" s="113">
        <f t="shared" si="24"/>
        <v>3883951</v>
      </c>
      <c r="X40" s="113">
        <f t="shared" si="24"/>
        <v>3988622</v>
      </c>
    </row>
    <row r="41" spans="1:24" ht="15" x14ac:dyDescent="0.4">
      <c r="A41" s="4" t="s">
        <v>39</v>
      </c>
      <c r="B41" s="28">
        <v>1963089</v>
      </c>
      <c r="C41" s="29">
        <f t="shared" ref="C41:I41" si="46">B41*(C$2)</f>
        <v>2025695.6221621623</v>
      </c>
      <c r="D41" s="29">
        <f t="shared" si="46"/>
        <v>2113769.3448648648</v>
      </c>
      <c r="E41" s="29">
        <f t="shared" si="46"/>
        <v>2141358.7037837841</v>
      </c>
      <c r="F41" s="29">
        <f t="shared" si="46"/>
        <v>2217080.8827243247</v>
      </c>
      <c r="G41" s="74">
        <f t="shared" si="46"/>
        <v>2298119.318902703</v>
      </c>
      <c r="H41" s="73">
        <f t="shared" si="46"/>
        <v>2298119.318902703</v>
      </c>
      <c r="I41" s="73">
        <f t="shared" si="46"/>
        <v>2325057.5887191007</v>
      </c>
      <c r="J41" s="131">
        <f t="shared" si="3"/>
        <v>2407021</v>
      </c>
      <c r="K41" s="113">
        <f t="shared" si="3"/>
        <v>2459069</v>
      </c>
      <c r="L41" s="113">
        <f t="shared" si="3"/>
        <v>2482765</v>
      </c>
      <c r="M41" s="113">
        <f t="shared" si="3"/>
        <v>2524087</v>
      </c>
      <c r="N41" s="113">
        <f t="shared" si="3"/>
        <v>2528392</v>
      </c>
      <c r="O41" s="113">
        <f t="shared" si="12"/>
        <v>2569756</v>
      </c>
      <c r="P41" s="113">
        <f t="shared" si="12"/>
        <v>2622208</v>
      </c>
      <c r="Q41" s="113">
        <f t="shared" si="12"/>
        <v>2688352</v>
      </c>
      <c r="R41" s="113">
        <f t="shared" si="12"/>
        <v>2735776</v>
      </c>
      <c r="S41" s="113">
        <f t="shared" si="12"/>
        <v>2768115</v>
      </c>
      <c r="T41" s="113">
        <f t="shared" si="28"/>
        <v>2940343</v>
      </c>
      <c r="U41" s="113">
        <f t="shared" si="24"/>
        <v>3168085</v>
      </c>
      <c r="V41" s="113">
        <f t="shared" si="24"/>
        <v>3270767</v>
      </c>
      <c r="W41" s="113">
        <f t="shared" si="24"/>
        <v>3355738</v>
      </c>
      <c r="X41" s="113">
        <f t="shared" si="24"/>
        <v>3446174</v>
      </c>
    </row>
    <row r="42" spans="1:24" ht="15" x14ac:dyDescent="0.4">
      <c r="A42" s="4" t="s">
        <v>40</v>
      </c>
      <c r="B42" s="28">
        <v>6634827</v>
      </c>
      <c r="C42" s="29">
        <f t="shared" ref="C42:I42" si="47">B42*(C$2)</f>
        <v>6846424.1854054062</v>
      </c>
      <c r="D42" s="29">
        <f t="shared" si="47"/>
        <v>7144094.802162163</v>
      </c>
      <c r="E42" s="29">
        <f t="shared" si="47"/>
        <v>7237341.0194594618</v>
      </c>
      <c r="F42" s="29">
        <f t="shared" si="47"/>
        <v>7493266.0220108125</v>
      </c>
      <c r="G42" s="74">
        <f t="shared" si="47"/>
        <v>7767158.8533567591</v>
      </c>
      <c r="H42" s="73">
        <f t="shared" si="47"/>
        <v>7767158.8533567591</v>
      </c>
      <c r="I42" s="73">
        <f t="shared" si="47"/>
        <v>7858204.5267373966</v>
      </c>
      <c r="J42" s="131">
        <f t="shared" si="3"/>
        <v>8135222</v>
      </c>
      <c r="K42" s="113">
        <f t="shared" si="3"/>
        <v>8311133</v>
      </c>
      <c r="L42" s="113">
        <f t="shared" si="3"/>
        <v>8391220</v>
      </c>
      <c r="M42" s="113">
        <f t="shared" si="3"/>
        <v>8530878</v>
      </c>
      <c r="N42" s="113">
        <f t="shared" si="3"/>
        <v>8545429</v>
      </c>
      <c r="O42" s="113">
        <f t="shared" si="12"/>
        <v>8685231</v>
      </c>
      <c r="P42" s="113">
        <f t="shared" si="12"/>
        <v>8862508</v>
      </c>
      <c r="Q42" s="113">
        <f t="shared" si="12"/>
        <v>9086062</v>
      </c>
      <c r="R42" s="113">
        <f t="shared" si="12"/>
        <v>9246344</v>
      </c>
      <c r="S42" s="113">
        <f t="shared" si="12"/>
        <v>9355642</v>
      </c>
      <c r="T42" s="113">
        <f t="shared" si="28"/>
        <v>9937738</v>
      </c>
      <c r="U42" s="113">
        <f t="shared" si="24"/>
        <v>10707458</v>
      </c>
      <c r="V42" s="113">
        <f t="shared" si="24"/>
        <v>11054502</v>
      </c>
      <c r="W42" s="113">
        <f t="shared" si="24"/>
        <v>11341687</v>
      </c>
      <c r="X42" s="113">
        <f t="shared" si="24"/>
        <v>11647340</v>
      </c>
    </row>
    <row r="43" spans="1:24" ht="15" x14ac:dyDescent="0.4">
      <c r="A43" s="4" t="s">
        <v>41</v>
      </c>
      <c r="B43" s="28">
        <v>800000</v>
      </c>
      <c r="C43" s="29">
        <f t="shared" ref="C43:I43" si="48">B43*(C$2)</f>
        <v>825513.51351351361</v>
      </c>
      <c r="D43" s="29">
        <f t="shared" si="48"/>
        <v>861405.40540540544</v>
      </c>
      <c r="E43" s="29">
        <f t="shared" si="48"/>
        <v>872648.64864864887</v>
      </c>
      <c r="F43" s="29">
        <f t="shared" si="48"/>
        <v>903507.02702702722</v>
      </c>
      <c r="G43" s="74">
        <f t="shared" si="48"/>
        <v>936531.89189189218</v>
      </c>
      <c r="H43" s="73">
        <f t="shared" si="48"/>
        <v>936531.89189189218</v>
      </c>
      <c r="I43" s="73">
        <f t="shared" si="48"/>
        <v>947509.80265045608</v>
      </c>
      <c r="J43" s="131">
        <f t="shared" si="3"/>
        <v>980911</v>
      </c>
      <c r="K43" s="113">
        <f t="shared" si="3"/>
        <v>1002122</v>
      </c>
      <c r="L43" s="113">
        <f t="shared" si="3"/>
        <v>1011779</v>
      </c>
      <c r="M43" s="113">
        <f t="shared" si="3"/>
        <v>1028618</v>
      </c>
      <c r="N43" s="113">
        <f t="shared" si="3"/>
        <v>1030373</v>
      </c>
      <c r="O43" s="113">
        <f t="shared" si="12"/>
        <v>1047230</v>
      </c>
      <c r="P43" s="113">
        <f t="shared" si="12"/>
        <v>1068605</v>
      </c>
      <c r="Q43" s="113">
        <f t="shared" si="12"/>
        <v>1095560</v>
      </c>
      <c r="R43" s="113">
        <f t="shared" si="12"/>
        <v>1114886</v>
      </c>
      <c r="S43" s="113">
        <f t="shared" si="12"/>
        <v>1128065</v>
      </c>
      <c r="T43" s="113">
        <f t="shared" si="28"/>
        <v>1198252</v>
      </c>
      <c r="U43" s="113">
        <f t="shared" si="24"/>
        <v>1291062</v>
      </c>
      <c r="V43" s="113">
        <f t="shared" si="24"/>
        <v>1332907</v>
      </c>
      <c r="W43" s="113">
        <f t="shared" si="24"/>
        <v>1367535</v>
      </c>
      <c r="X43" s="113">
        <f t="shared" si="24"/>
        <v>1404389</v>
      </c>
    </row>
    <row r="44" spans="1:24" ht="15" x14ac:dyDescent="0.4">
      <c r="A44" s="4" t="s">
        <v>42</v>
      </c>
      <c r="B44" s="28">
        <v>2795030</v>
      </c>
      <c r="C44" s="29">
        <f t="shared" ref="C44:I44" si="49">B44*(C$2)</f>
        <v>2884168.7945945947</v>
      </c>
      <c r="D44" s="29">
        <f t="shared" si="49"/>
        <v>3009567.4378378377</v>
      </c>
      <c r="E44" s="29">
        <f t="shared" si="49"/>
        <v>3048848.940540541</v>
      </c>
      <c r="F44" s="29">
        <f t="shared" si="49"/>
        <v>3156661.5571891894</v>
      </c>
      <c r="G44" s="74">
        <f t="shared" si="49"/>
        <v>3272043.4172432437</v>
      </c>
      <c r="H44" s="73">
        <f t="shared" si="49"/>
        <v>3272043.4172432437</v>
      </c>
      <c r="I44" s="73">
        <f t="shared" si="49"/>
        <v>3310397.9046276296</v>
      </c>
      <c r="J44" s="131">
        <f t="shared" si="3"/>
        <v>3427096</v>
      </c>
      <c r="K44" s="113">
        <f t="shared" si="3"/>
        <v>3501202</v>
      </c>
      <c r="L44" s="113">
        <f t="shared" si="3"/>
        <v>3534940</v>
      </c>
      <c r="M44" s="113">
        <f t="shared" si="3"/>
        <v>3593773</v>
      </c>
      <c r="N44" s="113">
        <f t="shared" si="3"/>
        <v>3599903</v>
      </c>
      <c r="O44" s="113">
        <f t="shared" si="12"/>
        <v>3658797</v>
      </c>
      <c r="P44" s="113">
        <f t="shared" si="12"/>
        <v>3733478</v>
      </c>
      <c r="Q44" s="113">
        <f t="shared" si="12"/>
        <v>3827654</v>
      </c>
      <c r="R44" s="113">
        <f t="shared" si="12"/>
        <v>3895175</v>
      </c>
      <c r="S44" s="113">
        <f t="shared" si="12"/>
        <v>3941219</v>
      </c>
      <c r="T44" s="113">
        <f t="shared" si="28"/>
        <v>4186436</v>
      </c>
      <c r="U44" s="113">
        <f t="shared" si="24"/>
        <v>4510693</v>
      </c>
      <c r="V44" s="113">
        <f>ROUND(U44*(V$2),0)</f>
        <v>4656891</v>
      </c>
      <c r="W44" s="113">
        <f>ROUND(V44*(W$2),0)</f>
        <v>4777873</v>
      </c>
      <c r="X44" s="113">
        <f>ROUND(W44*(X$2),0)</f>
        <v>4906634</v>
      </c>
    </row>
    <row r="45" spans="1:24" ht="15" x14ac:dyDescent="0.4">
      <c r="A45" s="4" t="s">
        <v>43</v>
      </c>
      <c r="B45" s="28">
        <v>800000</v>
      </c>
      <c r="C45" s="29">
        <f t="shared" ref="C45:I45" si="50">B45*(C$2)</f>
        <v>825513.51351351361</v>
      </c>
      <c r="D45" s="29">
        <f t="shared" si="50"/>
        <v>861405.40540540544</v>
      </c>
      <c r="E45" s="29">
        <f t="shared" si="50"/>
        <v>872648.64864864887</v>
      </c>
      <c r="F45" s="29">
        <f t="shared" si="50"/>
        <v>903507.02702702722</v>
      </c>
      <c r="G45" s="74">
        <f t="shared" si="50"/>
        <v>936531.89189189218</v>
      </c>
      <c r="H45" s="73">
        <f t="shared" si="50"/>
        <v>936531.89189189218</v>
      </c>
      <c r="I45" s="73">
        <f t="shared" si="50"/>
        <v>947509.80265045608</v>
      </c>
      <c r="J45" s="131">
        <f t="shared" si="3"/>
        <v>980911</v>
      </c>
      <c r="K45" s="113">
        <f t="shared" si="3"/>
        <v>1002122</v>
      </c>
      <c r="L45" s="113">
        <f t="shared" si="3"/>
        <v>1011779</v>
      </c>
      <c r="M45" s="113">
        <f t="shared" si="3"/>
        <v>1028618</v>
      </c>
      <c r="N45" s="113">
        <f t="shared" si="3"/>
        <v>1030373</v>
      </c>
      <c r="O45" s="113">
        <f t="shared" si="12"/>
        <v>1047230</v>
      </c>
      <c r="P45" s="113">
        <f t="shared" si="12"/>
        <v>1068605</v>
      </c>
      <c r="Q45" s="113">
        <f t="shared" si="12"/>
        <v>1095560</v>
      </c>
      <c r="R45" s="113">
        <f t="shared" si="12"/>
        <v>1114886</v>
      </c>
      <c r="S45" s="113">
        <f t="shared" si="12"/>
        <v>1128065</v>
      </c>
      <c r="T45" s="113">
        <f t="shared" si="28"/>
        <v>1198252</v>
      </c>
      <c r="U45" s="113">
        <f t="shared" si="24"/>
        <v>1291062</v>
      </c>
      <c r="V45" s="113">
        <f t="shared" si="24"/>
        <v>1332907</v>
      </c>
      <c r="W45" s="113">
        <f t="shared" si="24"/>
        <v>1367535</v>
      </c>
      <c r="X45" s="113">
        <f t="shared" si="24"/>
        <v>1404389</v>
      </c>
    </row>
    <row r="46" spans="1:24" ht="15" x14ac:dyDescent="0.4">
      <c r="A46" s="4" t="s">
        <v>44</v>
      </c>
      <c r="B46" s="28">
        <v>3860646</v>
      </c>
      <c r="C46" s="29">
        <f t="shared" ref="C46:I46" si="51">B46*(C$2)</f>
        <v>3983769.3048648653</v>
      </c>
      <c r="D46" s="29">
        <f t="shared" si="51"/>
        <v>4156976.6659459462</v>
      </c>
      <c r="E46" s="29">
        <f t="shared" si="51"/>
        <v>4211234.3935135147</v>
      </c>
      <c r="F46" s="29">
        <f t="shared" si="51"/>
        <v>4360150.9873297308</v>
      </c>
      <c r="G46" s="74">
        <f t="shared" si="51"/>
        <v>4519522.6278810827</v>
      </c>
      <c r="H46" s="73">
        <f t="shared" si="51"/>
        <v>4519522.6278810827</v>
      </c>
      <c r="I46" s="73">
        <f t="shared" si="51"/>
        <v>4572499.9119540909</v>
      </c>
      <c r="J46" s="131">
        <f t="shared" si="3"/>
        <v>4733690</v>
      </c>
      <c r="K46" s="113">
        <f t="shared" si="3"/>
        <v>4836049</v>
      </c>
      <c r="L46" s="113">
        <f t="shared" si="3"/>
        <v>4882650</v>
      </c>
      <c r="M46" s="113">
        <f t="shared" si="3"/>
        <v>4963914</v>
      </c>
      <c r="N46" s="113">
        <f t="shared" si="3"/>
        <v>4972381</v>
      </c>
      <c r="O46" s="113">
        <f t="shared" si="12"/>
        <v>5053729</v>
      </c>
      <c r="P46" s="113">
        <f t="shared" si="12"/>
        <v>5156882</v>
      </c>
      <c r="Q46" s="113">
        <f t="shared" si="12"/>
        <v>5286963</v>
      </c>
      <c r="R46" s="113">
        <f t="shared" si="12"/>
        <v>5380227</v>
      </c>
      <c r="S46" s="113">
        <f t="shared" si="12"/>
        <v>5443825</v>
      </c>
      <c r="T46" s="113">
        <f t="shared" si="28"/>
        <v>5782533</v>
      </c>
      <c r="U46" s="113">
        <f t="shared" si="24"/>
        <v>6230415</v>
      </c>
      <c r="V46" s="113">
        <f t="shared" si="24"/>
        <v>6432352</v>
      </c>
      <c r="W46" s="113">
        <f t="shared" si="24"/>
        <v>6599458</v>
      </c>
      <c r="X46" s="113">
        <f t="shared" si="24"/>
        <v>6777310</v>
      </c>
    </row>
    <row r="47" spans="1:24" ht="15" x14ac:dyDescent="0.4">
      <c r="A47" s="4" t="s">
        <v>45</v>
      </c>
      <c r="B47" s="28">
        <v>14214325</v>
      </c>
      <c r="C47" s="29">
        <f t="shared" ref="C47:I47" si="52">B47*(C$2)</f>
        <v>14667646.716216218</v>
      </c>
      <c r="D47" s="29">
        <f t="shared" si="52"/>
        <v>15305370.486486487</v>
      </c>
      <c r="E47" s="29">
        <f t="shared" si="52"/>
        <v>15505139.378378382</v>
      </c>
      <c r="F47" s="29">
        <f t="shared" si="52"/>
        <v>16053428.152432436</v>
      </c>
      <c r="G47" s="74">
        <f t="shared" si="52"/>
        <v>16640210.855270274</v>
      </c>
      <c r="H47" s="73">
        <f t="shared" si="52"/>
        <v>16640210.855270274</v>
      </c>
      <c r="I47" s="73">
        <f t="shared" si="52"/>
        <v>16835265.344449304</v>
      </c>
      <c r="J47" s="131">
        <f t="shared" si="3"/>
        <v>17428742</v>
      </c>
      <c r="K47" s="113">
        <f t="shared" si="3"/>
        <v>17805611</v>
      </c>
      <c r="L47" s="113">
        <f t="shared" si="3"/>
        <v>17977188</v>
      </c>
      <c r="M47" s="113">
        <f t="shared" si="3"/>
        <v>18276390</v>
      </c>
      <c r="N47" s="113">
        <f t="shared" si="3"/>
        <v>18307565</v>
      </c>
      <c r="O47" s="113">
        <f t="shared" si="12"/>
        <v>18607074</v>
      </c>
      <c r="P47" s="113">
        <f t="shared" si="12"/>
        <v>18986868</v>
      </c>
      <c r="Q47" s="113">
        <f t="shared" si="12"/>
        <v>19465806</v>
      </c>
      <c r="R47" s="113">
        <f t="shared" si="12"/>
        <v>19809191</v>
      </c>
      <c r="S47" s="113">
        <f t="shared" si="12"/>
        <v>20043349</v>
      </c>
      <c r="T47" s="113">
        <f t="shared" si="28"/>
        <v>21290420</v>
      </c>
      <c r="U47" s="113">
        <f t="shared" si="24"/>
        <v>22939454</v>
      </c>
      <c r="V47" s="113">
        <f t="shared" si="24"/>
        <v>23682955</v>
      </c>
      <c r="W47" s="113">
        <f t="shared" si="24"/>
        <v>24298216</v>
      </c>
      <c r="X47" s="113">
        <f t="shared" si="24"/>
        <v>24953042</v>
      </c>
    </row>
    <row r="48" spans="1:24" ht="15" x14ac:dyDescent="0.4">
      <c r="A48" s="4" t="s">
        <v>46</v>
      </c>
      <c r="B48" s="28">
        <v>1659138</v>
      </c>
      <c r="C48" s="29">
        <f t="shared" ref="C48:I48" si="53">B48*(C$2)</f>
        <v>1712051.04972973</v>
      </c>
      <c r="D48" s="29">
        <f t="shared" si="53"/>
        <v>1786488.0518918922</v>
      </c>
      <c r="E48" s="29">
        <f t="shared" si="53"/>
        <v>1809805.6670270276</v>
      </c>
      <c r="F48" s="29">
        <f t="shared" si="53"/>
        <v>1873803.5522594599</v>
      </c>
      <c r="G48" s="74">
        <f t="shared" si="53"/>
        <v>1942294.5625621628</v>
      </c>
      <c r="H48" s="73">
        <f t="shared" si="53"/>
        <v>1942294.5625621628</v>
      </c>
      <c r="I48" s="73">
        <f t="shared" si="53"/>
        <v>1965061.8986873403</v>
      </c>
      <c r="J48" s="131">
        <f t="shared" si="3"/>
        <v>2034334</v>
      </c>
      <c r="K48" s="113">
        <f t="shared" si="3"/>
        <v>2078323</v>
      </c>
      <c r="L48" s="113">
        <f t="shared" si="3"/>
        <v>2098350</v>
      </c>
      <c r="M48" s="113">
        <f t="shared" si="3"/>
        <v>2133274</v>
      </c>
      <c r="N48" s="113">
        <f t="shared" si="3"/>
        <v>2136913</v>
      </c>
      <c r="O48" s="113">
        <f t="shared" si="12"/>
        <v>2171873</v>
      </c>
      <c r="P48" s="113">
        <f t="shared" si="12"/>
        <v>2216204</v>
      </c>
      <c r="Q48" s="113">
        <f t="shared" si="12"/>
        <v>2272107</v>
      </c>
      <c r="R48" s="113">
        <f t="shared" si="12"/>
        <v>2312188</v>
      </c>
      <c r="S48" s="113">
        <f t="shared" si="12"/>
        <v>2339520</v>
      </c>
      <c r="T48" s="113">
        <f t="shared" si="28"/>
        <v>2485082</v>
      </c>
      <c r="U48" s="113">
        <f t="shared" si="24"/>
        <v>2677562</v>
      </c>
      <c r="V48" s="113">
        <f t="shared" si="24"/>
        <v>2764346</v>
      </c>
      <c r="W48" s="113">
        <f t="shared" si="24"/>
        <v>2836161</v>
      </c>
      <c r="X48" s="113">
        <f t="shared" si="24"/>
        <v>2912594</v>
      </c>
    </row>
    <row r="49" spans="1:24" ht="15" x14ac:dyDescent="0.4">
      <c r="A49" s="4" t="s">
        <v>47</v>
      </c>
      <c r="B49" s="28">
        <v>800000</v>
      </c>
      <c r="C49" s="29">
        <f t="shared" ref="C49:I49" si="54">B49*(C$2)</f>
        <v>825513.51351351361</v>
      </c>
      <c r="D49" s="29">
        <f t="shared" si="54"/>
        <v>861405.40540540544</v>
      </c>
      <c r="E49" s="29">
        <f t="shared" si="54"/>
        <v>872648.64864864887</v>
      </c>
      <c r="F49" s="29">
        <f t="shared" si="54"/>
        <v>903507.02702702722</v>
      </c>
      <c r="G49" s="74">
        <f t="shared" si="54"/>
        <v>936531.89189189218</v>
      </c>
      <c r="H49" s="73">
        <f t="shared" si="54"/>
        <v>936531.89189189218</v>
      </c>
      <c r="I49" s="73">
        <f t="shared" si="54"/>
        <v>947509.80265045608</v>
      </c>
      <c r="J49" s="131">
        <f t="shared" si="3"/>
        <v>980911</v>
      </c>
      <c r="K49" s="113">
        <f t="shared" si="3"/>
        <v>1002122</v>
      </c>
      <c r="L49" s="113">
        <f t="shared" si="3"/>
        <v>1011779</v>
      </c>
      <c r="M49" s="113">
        <f t="shared" si="3"/>
        <v>1028618</v>
      </c>
      <c r="N49" s="113">
        <f t="shared" si="3"/>
        <v>1030373</v>
      </c>
      <c r="O49" s="113">
        <f t="shared" si="12"/>
        <v>1047230</v>
      </c>
      <c r="P49" s="113">
        <f t="shared" si="12"/>
        <v>1068605</v>
      </c>
      <c r="Q49" s="113">
        <f t="shared" si="12"/>
        <v>1095560</v>
      </c>
      <c r="R49" s="113">
        <f t="shared" si="12"/>
        <v>1114886</v>
      </c>
      <c r="S49" s="113">
        <f t="shared" si="12"/>
        <v>1128065</v>
      </c>
      <c r="T49" s="113">
        <f t="shared" si="28"/>
        <v>1198252</v>
      </c>
      <c r="U49" s="113">
        <f t="shared" si="24"/>
        <v>1291062</v>
      </c>
      <c r="V49" s="113">
        <f t="shared" si="24"/>
        <v>1332907</v>
      </c>
      <c r="W49" s="113">
        <f t="shared" si="24"/>
        <v>1367535</v>
      </c>
      <c r="X49" s="113">
        <f t="shared" si="24"/>
        <v>1404389</v>
      </c>
    </row>
    <row r="50" spans="1:24" ht="15" x14ac:dyDescent="0.4">
      <c r="A50" s="4" t="s">
        <v>48</v>
      </c>
      <c r="B50" s="28">
        <v>4452812</v>
      </c>
      <c r="C50" s="29">
        <f t="shared" ref="C50:I50" si="55">B50*(C$2)</f>
        <v>4594820.5989189195</v>
      </c>
      <c r="D50" s="29">
        <f t="shared" si="55"/>
        <v>4794595.4075675681</v>
      </c>
      <c r="E50" s="29">
        <f t="shared" si="55"/>
        <v>4857175.4681081092</v>
      </c>
      <c r="F50" s="29">
        <f t="shared" si="55"/>
        <v>5028933.6650378387</v>
      </c>
      <c r="G50" s="74">
        <f t="shared" si="55"/>
        <v>5212750.5582486494</v>
      </c>
      <c r="H50" s="73">
        <f t="shared" si="55"/>
        <v>5212750.5582486494</v>
      </c>
      <c r="I50" s="73">
        <f t="shared" si="55"/>
        <v>5273853.7741994774</v>
      </c>
      <c r="J50" s="131">
        <f t="shared" si="3"/>
        <v>5459768</v>
      </c>
      <c r="K50" s="113">
        <f t="shared" si="3"/>
        <v>5577827</v>
      </c>
      <c r="L50" s="113">
        <f t="shared" si="3"/>
        <v>5631576</v>
      </c>
      <c r="M50" s="113">
        <f t="shared" si="3"/>
        <v>5725305</v>
      </c>
      <c r="N50" s="113">
        <f t="shared" si="3"/>
        <v>5735071</v>
      </c>
      <c r="O50" s="113">
        <f t="shared" si="12"/>
        <v>5828896</v>
      </c>
      <c r="P50" s="113">
        <f t="shared" si="12"/>
        <v>5947871</v>
      </c>
      <c r="Q50" s="113">
        <f t="shared" si="12"/>
        <v>6097904</v>
      </c>
      <c r="R50" s="113">
        <f t="shared" si="12"/>
        <v>6205474</v>
      </c>
      <c r="S50" s="113">
        <f t="shared" si="12"/>
        <v>6278827</v>
      </c>
      <c r="T50" s="113">
        <f t="shared" si="28"/>
        <v>6669487</v>
      </c>
      <c r="U50" s="113">
        <f t="shared" si="24"/>
        <v>7186067</v>
      </c>
      <c r="V50" s="113">
        <f t="shared" si="24"/>
        <v>7418978</v>
      </c>
      <c r="W50" s="113">
        <f t="shared" si="24"/>
        <v>7611716</v>
      </c>
      <c r="X50" s="113">
        <f t="shared" si="24"/>
        <v>7816848</v>
      </c>
    </row>
    <row r="51" spans="1:24" ht="15" x14ac:dyDescent="0.4">
      <c r="A51" s="4" t="s">
        <v>49</v>
      </c>
      <c r="B51" s="28">
        <v>3295641</v>
      </c>
      <c r="C51" s="29">
        <f t="shared" ref="C51:I51" si="56">B51*(C$2)</f>
        <v>3400745.2264864868</v>
      </c>
      <c r="D51" s="29">
        <f t="shared" si="56"/>
        <v>3548603.7145945947</v>
      </c>
      <c r="E51" s="29">
        <f t="shared" si="56"/>
        <v>3594920.8313513519</v>
      </c>
      <c r="F51" s="29">
        <f t="shared" si="56"/>
        <v>3722043.5025729733</v>
      </c>
      <c r="G51" s="74">
        <f t="shared" si="56"/>
        <v>3858091.1259081084</v>
      </c>
      <c r="H51" s="73">
        <f t="shared" si="56"/>
        <v>3858091.1259081084</v>
      </c>
      <c r="I51" s="73">
        <f t="shared" si="56"/>
        <v>3903315.1918959385</v>
      </c>
      <c r="J51" s="131">
        <f t="shared" si="3"/>
        <v>4040915</v>
      </c>
      <c r="K51" s="113">
        <f t="shared" si="3"/>
        <v>4128293</v>
      </c>
      <c r="L51" s="113">
        <f t="shared" si="3"/>
        <v>4168074</v>
      </c>
      <c r="M51" s="113">
        <f t="shared" si="3"/>
        <v>4237445</v>
      </c>
      <c r="N51" s="113">
        <f t="shared" si="3"/>
        <v>4244673</v>
      </c>
      <c r="O51" s="113">
        <f t="shared" si="12"/>
        <v>4314115</v>
      </c>
      <c r="P51" s="113">
        <f t="shared" si="12"/>
        <v>4402172</v>
      </c>
      <c r="Q51" s="113">
        <f t="shared" si="12"/>
        <v>4513215</v>
      </c>
      <c r="R51" s="113">
        <f t="shared" si="12"/>
        <v>4592830</v>
      </c>
      <c r="S51" s="113">
        <f t="shared" si="12"/>
        <v>4647120</v>
      </c>
      <c r="T51" s="113">
        <f t="shared" si="28"/>
        <v>4936258</v>
      </c>
      <c r="U51" s="113">
        <f t="shared" si="24"/>
        <v>5318592</v>
      </c>
      <c r="V51" s="113">
        <f t="shared" si="24"/>
        <v>5490975</v>
      </c>
      <c r="W51" s="113">
        <f t="shared" si="24"/>
        <v>5633625</v>
      </c>
      <c r="X51" s="113">
        <f t="shared" si="24"/>
        <v>5785449</v>
      </c>
    </row>
    <row r="52" spans="1:24" ht="15" x14ac:dyDescent="0.4">
      <c r="A52" s="4" t="s">
        <v>50</v>
      </c>
      <c r="B52" s="28">
        <v>1396699</v>
      </c>
      <c r="C52" s="29">
        <f t="shared" ref="C52:I52" si="57">B52*(C$2)</f>
        <v>1441242.3735135137</v>
      </c>
      <c r="D52" s="29">
        <f t="shared" si="57"/>
        <v>1503905.0854054056</v>
      </c>
      <c r="E52" s="29">
        <f t="shared" si="57"/>
        <v>1523534.3686486492</v>
      </c>
      <c r="F52" s="29">
        <f t="shared" si="57"/>
        <v>1577409.2014270276</v>
      </c>
      <c r="G52" s="74">
        <f t="shared" si="57"/>
        <v>1635066.4460918924</v>
      </c>
      <c r="H52" s="73">
        <f t="shared" si="57"/>
        <v>1635066.4460918924</v>
      </c>
      <c r="I52" s="73">
        <f t="shared" si="57"/>
        <v>1654232.4923151117</v>
      </c>
      <c r="J52" s="131">
        <f t="shared" si="3"/>
        <v>1712547</v>
      </c>
      <c r="K52" s="113">
        <f t="shared" si="3"/>
        <v>1749578</v>
      </c>
      <c r="L52" s="113">
        <f t="shared" si="3"/>
        <v>1766437</v>
      </c>
      <c r="M52" s="113">
        <f t="shared" si="3"/>
        <v>1795837</v>
      </c>
      <c r="N52" s="113">
        <f t="shared" si="3"/>
        <v>1798900</v>
      </c>
      <c r="O52" s="113">
        <f t="shared" si="12"/>
        <v>1828330</v>
      </c>
      <c r="P52" s="113">
        <f t="shared" si="12"/>
        <v>1865649</v>
      </c>
      <c r="Q52" s="113">
        <f t="shared" si="12"/>
        <v>1912709</v>
      </c>
      <c r="R52" s="113">
        <f t="shared" si="12"/>
        <v>1946450</v>
      </c>
      <c r="S52" s="113">
        <f t="shared" si="12"/>
        <v>1969458</v>
      </c>
      <c r="T52" s="113">
        <f t="shared" si="28"/>
        <v>2091995</v>
      </c>
      <c r="U52" s="113">
        <f t="shared" si="24"/>
        <v>2254029</v>
      </c>
      <c r="V52" s="113">
        <f t="shared" si="24"/>
        <v>2327085</v>
      </c>
      <c r="W52" s="113">
        <f t="shared" si="24"/>
        <v>2387540</v>
      </c>
      <c r="X52" s="113">
        <f t="shared" si="24"/>
        <v>2451883</v>
      </c>
    </row>
    <row r="53" spans="1:24" ht="15" x14ac:dyDescent="0.4">
      <c r="A53" s="4" t="s">
        <v>51</v>
      </c>
      <c r="B53" s="28">
        <v>3399822</v>
      </c>
      <c r="C53" s="29">
        <f t="shared" ref="C53:I53" si="58">B53*(C$2)</f>
        <v>3508248.7556756763</v>
      </c>
      <c r="D53" s="29">
        <f t="shared" si="58"/>
        <v>3660781.3102702708</v>
      </c>
      <c r="E53" s="29">
        <f t="shared" si="58"/>
        <v>3708562.5924324337</v>
      </c>
      <c r="F53" s="29">
        <f t="shared" si="58"/>
        <v>3839703.8345513525</v>
      </c>
      <c r="G53" s="74">
        <f t="shared" si="58"/>
        <v>3980052.1621945961</v>
      </c>
      <c r="H53" s="73">
        <f t="shared" si="58"/>
        <v>3980052.1621945961</v>
      </c>
      <c r="I53" s="73">
        <f t="shared" si="58"/>
        <v>4026705.8403333486</v>
      </c>
      <c r="J53" s="131">
        <f t="shared" si="3"/>
        <v>4168655</v>
      </c>
      <c r="K53" s="113">
        <f t="shared" si="3"/>
        <v>4258796</v>
      </c>
      <c r="L53" s="113">
        <f t="shared" si="3"/>
        <v>4299834</v>
      </c>
      <c r="M53" s="113">
        <f t="shared" si="3"/>
        <v>4371398</v>
      </c>
      <c r="N53" s="113">
        <f t="shared" si="3"/>
        <v>4378854</v>
      </c>
      <c r="O53" s="113">
        <f t="shared" si="12"/>
        <v>4450492</v>
      </c>
      <c r="P53" s="113">
        <f t="shared" si="12"/>
        <v>4541332</v>
      </c>
      <c r="Q53" s="113">
        <f t="shared" si="12"/>
        <v>4655886</v>
      </c>
      <c r="R53" s="113">
        <f t="shared" si="12"/>
        <v>4738018</v>
      </c>
      <c r="S53" s="113">
        <f t="shared" si="12"/>
        <v>4794025</v>
      </c>
      <c r="T53" s="113">
        <f t="shared" si="28"/>
        <v>5092303</v>
      </c>
      <c r="U53" s="113">
        <f t="shared" si="24"/>
        <v>5486724</v>
      </c>
      <c r="V53" s="113">
        <f t="shared" si="24"/>
        <v>5664557</v>
      </c>
      <c r="W53" s="113">
        <f t="shared" si="24"/>
        <v>5811717</v>
      </c>
      <c r="X53" s="113">
        <f t="shared" si="24"/>
        <v>5968340</v>
      </c>
    </row>
    <row r="54" spans="1:24" ht="15" x14ac:dyDescent="0.4">
      <c r="A54" s="4" t="s">
        <v>52</v>
      </c>
      <c r="B54" s="28">
        <v>800000</v>
      </c>
      <c r="C54" s="29">
        <f t="shared" ref="C54:I54" si="59">B54*(C$2)</f>
        <v>825513.51351351361</v>
      </c>
      <c r="D54" s="29">
        <f t="shared" si="59"/>
        <v>861405.40540540544</v>
      </c>
      <c r="E54" s="29">
        <f t="shared" si="59"/>
        <v>872648.64864864887</v>
      </c>
      <c r="F54" s="29">
        <f t="shared" si="59"/>
        <v>903507.02702702722</v>
      </c>
      <c r="G54" s="74">
        <f t="shared" si="59"/>
        <v>936531.89189189218</v>
      </c>
      <c r="H54" s="73">
        <f t="shared" si="59"/>
        <v>936531.89189189218</v>
      </c>
      <c r="I54" s="73">
        <f t="shared" si="59"/>
        <v>947509.80265045608</v>
      </c>
      <c r="J54" s="131">
        <f>ROUND(I54*(J$2),0)</f>
        <v>980911</v>
      </c>
      <c r="K54" s="113">
        <f>ROUND(J54*(K$2),0)</f>
        <v>1002122</v>
      </c>
      <c r="L54" s="113">
        <f>ROUND(K54*(L$2),0)</f>
        <v>1011779</v>
      </c>
      <c r="M54" s="113">
        <f>ROUND(L54*(M$2),0)</f>
        <v>1028618</v>
      </c>
      <c r="N54" s="113">
        <f>ROUND(M54*(N$2),0)</f>
        <v>1030373</v>
      </c>
      <c r="O54" s="113">
        <f t="shared" si="12"/>
        <v>1047230</v>
      </c>
      <c r="P54" s="113">
        <f t="shared" si="12"/>
        <v>1068605</v>
      </c>
      <c r="Q54" s="113">
        <f t="shared" si="12"/>
        <v>1095560</v>
      </c>
      <c r="R54" s="113">
        <f t="shared" si="12"/>
        <v>1114886</v>
      </c>
      <c r="S54" s="113">
        <f t="shared" si="12"/>
        <v>1128065</v>
      </c>
      <c r="T54" s="113">
        <f t="shared" si="28"/>
        <v>1198252</v>
      </c>
      <c r="U54" s="113">
        <f t="shared" si="24"/>
        <v>1291062</v>
      </c>
      <c r="V54" s="113">
        <f t="shared" si="24"/>
        <v>1332907</v>
      </c>
      <c r="W54" s="113">
        <f t="shared" si="24"/>
        <v>1367535</v>
      </c>
      <c r="X54" s="113">
        <f t="shared" si="24"/>
        <v>1404389</v>
      </c>
    </row>
    <row r="55" spans="1:24" ht="15" x14ac:dyDescent="0.4">
      <c r="A55" s="4" t="s">
        <v>53</v>
      </c>
      <c r="B55" s="33">
        <f t="shared" ref="B55:U57" si="60">0.05*VLOOKUP($A55,fund_table,MATCH(B$3,year_row,0),0)</f>
        <v>296760.95</v>
      </c>
      <c r="C55" s="33">
        <f t="shared" si="60"/>
        <v>306225.2</v>
      </c>
      <c r="D55" s="33">
        <f t="shared" si="60"/>
        <v>306124.75</v>
      </c>
      <c r="E55" s="33">
        <f t="shared" si="60"/>
        <v>310120.40000000002</v>
      </c>
      <c r="F55" s="33">
        <f t="shared" si="60"/>
        <v>314852.90000000002</v>
      </c>
      <c r="G55" s="75">
        <f t="shared" si="60"/>
        <v>314852.90000000002</v>
      </c>
      <c r="H55" s="75">
        <f t="shared" si="60"/>
        <v>314852.90000000002</v>
      </c>
      <c r="I55" s="75">
        <f t="shared" si="60"/>
        <v>314852.90000000002</v>
      </c>
      <c r="J55" s="75">
        <f t="shared" si="60"/>
        <v>317925.5</v>
      </c>
      <c r="K55" s="75">
        <f t="shared" si="60"/>
        <v>314852.90000000002</v>
      </c>
      <c r="L55" s="75">
        <f t="shared" si="60"/>
        <v>317886.85000000003</v>
      </c>
      <c r="M55" s="75">
        <f t="shared" si="60"/>
        <v>317886.85000000003</v>
      </c>
      <c r="N55" s="75">
        <f t="shared" si="60"/>
        <v>318429.10000000003</v>
      </c>
      <c r="O55" s="75">
        <f t="shared" si="60"/>
        <v>316684.85000000003</v>
      </c>
      <c r="P55" s="75">
        <f t="shared" si="60"/>
        <v>318429.10000000003</v>
      </c>
      <c r="Q55" s="75">
        <f t="shared" si="60"/>
        <v>356514.95</v>
      </c>
      <c r="R55" s="75">
        <f t="shared" si="60"/>
        <v>357056.2</v>
      </c>
      <c r="S55" s="75">
        <f t="shared" si="60"/>
        <v>417766.40000000002</v>
      </c>
      <c r="T55" s="75">
        <f t="shared" si="60"/>
        <v>351790.35000000003</v>
      </c>
      <c r="U55" s="75">
        <f t="shared" si="60"/>
        <v>412887.05000000005</v>
      </c>
      <c r="V55" s="75">
        <f t="shared" ref="U55:X57" si="61">0.05*VLOOKUP($A55,fund_table,MATCH(V$3,year_row,0),0)</f>
        <v>413468.80000000005</v>
      </c>
      <c r="W55" s="75">
        <f t="shared" si="61"/>
        <v>413468.80000000005</v>
      </c>
      <c r="X55" s="75">
        <f t="shared" si="61"/>
        <v>398835.10000000003</v>
      </c>
    </row>
    <row r="56" spans="1:24" ht="15" x14ac:dyDescent="0.4">
      <c r="A56" s="4" t="s">
        <v>54</v>
      </c>
      <c r="B56" s="33">
        <f t="shared" si="60"/>
        <v>658005.05000000005</v>
      </c>
      <c r="C56" s="33">
        <f t="shared" si="60"/>
        <v>678990.05</v>
      </c>
      <c r="D56" s="33">
        <f t="shared" si="60"/>
        <v>678767.35000000009</v>
      </c>
      <c r="E56" s="33">
        <f t="shared" si="60"/>
        <v>687626.75</v>
      </c>
      <c r="F56" s="33">
        <f t="shared" si="60"/>
        <v>698120.10000000009</v>
      </c>
      <c r="G56" s="75">
        <f t="shared" si="60"/>
        <v>698120.10000000009</v>
      </c>
      <c r="H56" s="75">
        <f t="shared" si="60"/>
        <v>698120.10000000009</v>
      </c>
      <c r="I56" s="75">
        <f t="shared" si="60"/>
        <v>698120.10000000009</v>
      </c>
      <c r="J56" s="75">
        <f t="shared" si="60"/>
        <v>704932.95000000007</v>
      </c>
      <c r="K56" s="75">
        <f t="shared" si="60"/>
        <v>698120.10000000009</v>
      </c>
      <c r="L56" s="75">
        <f t="shared" si="60"/>
        <v>704847.25</v>
      </c>
      <c r="M56" s="75">
        <f t="shared" si="60"/>
        <v>704847.25</v>
      </c>
      <c r="N56" s="75">
        <f t="shared" si="60"/>
        <v>706049.55</v>
      </c>
      <c r="O56" s="75">
        <f t="shared" si="60"/>
        <v>706049.55</v>
      </c>
      <c r="P56" s="75">
        <f t="shared" si="60"/>
        <v>706049.55</v>
      </c>
      <c r="Q56" s="75">
        <f t="shared" si="60"/>
        <v>840899.35000000009</v>
      </c>
      <c r="R56" s="75">
        <f t="shared" si="60"/>
        <v>843836.85000000009</v>
      </c>
      <c r="S56" s="75">
        <f t="shared" si="60"/>
        <v>1017309.9</v>
      </c>
      <c r="T56" s="75">
        <f t="shared" si="60"/>
        <v>861721.05</v>
      </c>
      <c r="U56" s="75">
        <f t="shared" si="61"/>
        <v>938679.25</v>
      </c>
      <c r="V56" s="75">
        <f t="shared" si="61"/>
        <v>940001.9</v>
      </c>
      <c r="W56" s="75">
        <f t="shared" si="61"/>
        <v>940001.9</v>
      </c>
      <c r="X56" s="75">
        <f t="shared" si="61"/>
        <v>957320.05</v>
      </c>
    </row>
    <row r="57" spans="1:24" ht="15" x14ac:dyDescent="0.4">
      <c r="A57" s="4" t="s">
        <v>55</v>
      </c>
      <c r="B57" s="33">
        <f t="shared" si="60"/>
        <v>225508.65000000002</v>
      </c>
      <c r="C57" s="33">
        <f t="shared" si="60"/>
        <v>232700.55000000002</v>
      </c>
      <c r="D57" s="33">
        <f t="shared" si="60"/>
        <v>232624.25</v>
      </c>
      <c r="E57" s="33">
        <f t="shared" si="60"/>
        <v>235660.5</v>
      </c>
      <c r="F57" s="33">
        <f t="shared" si="60"/>
        <v>239256.75</v>
      </c>
      <c r="G57" s="75">
        <f t="shared" si="60"/>
        <v>239256.75</v>
      </c>
      <c r="H57" s="75">
        <f t="shared" si="60"/>
        <v>239256.75</v>
      </c>
      <c r="I57" s="75">
        <f t="shared" si="60"/>
        <v>239256.75</v>
      </c>
      <c r="J57" s="75">
        <f t="shared" si="60"/>
        <v>241591.6</v>
      </c>
      <c r="K57" s="75">
        <f t="shared" si="60"/>
        <v>239256.75</v>
      </c>
      <c r="L57" s="75">
        <f t="shared" si="60"/>
        <v>241562.25</v>
      </c>
      <c r="M57" s="75">
        <f t="shared" si="60"/>
        <v>241562.25</v>
      </c>
      <c r="N57" s="75">
        <f t="shared" si="60"/>
        <v>241974.30000000002</v>
      </c>
      <c r="O57" s="75">
        <f t="shared" si="60"/>
        <v>241974.30000000002</v>
      </c>
      <c r="P57" s="75">
        <f t="shared" si="60"/>
        <v>241974.30000000002</v>
      </c>
      <c r="Q57" s="75">
        <f t="shared" si="60"/>
        <v>254444.65000000002</v>
      </c>
      <c r="R57" s="75">
        <f t="shared" si="60"/>
        <v>252486.6</v>
      </c>
      <c r="S57" s="75">
        <f t="shared" si="60"/>
        <v>317197.80000000005</v>
      </c>
      <c r="T57" s="75">
        <f t="shared" si="60"/>
        <v>267104.15000000002</v>
      </c>
      <c r="U57" s="75">
        <f t="shared" si="61"/>
        <v>314525.90000000002</v>
      </c>
      <c r="V57" s="75">
        <f t="shared" si="61"/>
        <v>307104.75</v>
      </c>
      <c r="W57" s="75">
        <f t="shared" si="61"/>
        <v>314969.05000000005</v>
      </c>
      <c r="X57" s="75">
        <f t="shared" si="61"/>
        <v>306840.75</v>
      </c>
    </row>
    <row r="58" spans="1:24" ht="15" x14ac:dyDescent="0.4">
      <c r="A58" s="4" t="s">
        <v>56</v>
      </c>
      <c r="B58" s="28">
        <v>1418440</v>
      </c>
      <c r="C58" s="29">
        <f t="shared" ref="C58:I58" si="62">B58*(C$2)</f>
        <v>1463676.7351351352</v>
      </c>
      <c r="D58" s="29">
        <f t="shared" si="62"/>
        <v>1527314.854054054</v>
      </c>
      <c r="E58" s="29">
        <f t="shared" si="62"/>
        <v>1547249.6864864866</v>
      </c>
      <c r="F58" s="29">
        <f t="shared" si="62"/>
        <v>1601963.1342702704</v>
      </c>
      <c r="G58" s="74">
        <f t="shared" si="62"/>
        <v>1660517.8709189191</v>
      </c>
      <c r="H58" s="74">
        <f t="shared" si="62"/>
        <v>1660517.8709189191</v>
      </c>
      <c r="I58" s="73">
        <f t="shared" si="62"/>
        <v>1679982.2555893906</v>
      </c>
      <c r="J58" s="131">
        <f>ROUND(I58*(J$2),0)</f>
        <v>1739205</v>
      </c>
      <c r="K58" s="113">
        <f>ROUND(J58*(K$2),0)</f>
        <v>1776813</v>
      </c>
      <c r="L58" s="113">
        <f>ROUND(K58*(L$2),0)</f>
        <v>1793935</v>
      </c>
      <c r="M58" s="113">
        <f>ROUND(L58*(M$2),0)</f>
        <v>1823792</v>
      </c>
      <c r="N58" s="113">
        <f>ROUND(M58*(N$2),0)</f>
        <v>1826903</v>
      </c>
      <c r="O58" s="113">
        <f t="shared" si="12"/>
        <v>1856791</v>
      </c>
      <c r="P58" s="113">
        <f t="shared" si="12"/>
        <v>1894690</v>
      </c>
      <c r="Q58" s="113">
        <f t="shared" si="12"/>
        <v>1942483</v>
      </c>
      <c r="R58" s="113">
        <f t="shared" si="12"/>
        <v>1976749</v>
      </c>
      <c r="S58" s="113">
        <f t="shared" si="12"/>
        <v>2000115</v>
      </c>
      <c r="T58" s="113">
        <f t="shared" si="28"/>
        <v>2124560</v>
      </c>
      <c r="U58" s="113">
        <f>ROUND(T58*(U$2),0)</f>
        <v>2289116</v>
      </c>
      <c r="V58" s="113">
        <f>ROUND(U58*(V$2),0)</f>
        <v>2363310</v>
      </c>
      <c r="W58" s="113">
        <f>ROUND(V58*(W$2),0)</f>
        <v>2424707</v>
      </c>
      <c r="X58" s="113">
        <f>ROUND(W58*(X$2),0)</f>
        <v>2490052</v>
      </c>
    </row>
    <row r="59" spans="1:24" ht="15" x14ac:dyDescent="0.4">
      <c r="A59" s="4" t="s">
        <v>57</v>
      </c>
      <c r="B59" s="33">
        <f t="shared" ref="B59:X59" si="63">0.05*VLOOKUP($A59,fund_table,MATCH(B$3,year_row,0),0)</f>
        <v>418216.75</v>
      </c>
      <c r="C59" s="33">
        <f t="shared" si="63"/>
        <v>431554.45</v>
      </c>
      <c r="D59" s="33">
        <f t="shared" si="63"/>
        <v>431412.9</v>
      </c>
      <c r="E59" s="33">
        <f t="shared" si="63"/>
        <v>437043.80000000005</v>
      </c>
      <c r="F59" s="33">
        <f t="shared" si="63"/>
        <v>443713.2</v>
      </c>
      <c r="G59" s="75">
        <f t="shared" si="63"/>
        <v>443713.2</v>
      </c>
      <c r="H59" s="75">
        <f t="shared" si="63"/>
        <v>443713.2</v>
      </c>
      <c r="I59" s="75">
        <f t="shared" si="63"/>
        <v>443713.2</v>
      </c>
      <c r="J59" s="75">
        <f t="shared" si="63"/>
        <v>448043.30000000005</v>
      </c>
      <c r="K59" s="75">
        <f t="shared" si="63"/>
        <v>443713.2</v>
      </c>
      <c r="L59" s="75">
        <f t="shared" si="63"/>
        <v>447988.9</v>
      </c>
      <c r="M59" s="75">
        <f t="shared" si="63"/>
        <v>447988.9</v>
      </c>
      <c r="N59" s="75">
        <f t="shared" si="63"/>
        <v>448753.05000000005</v>
      </c>
      <c r="O59" s="75">
        <f t="shared" si="63"/>
        <v>448753.05000000005</v>
      </c>
      <c r="P59" s="75">
        <f t="shared" si="63"/>
        <v>448753.05000000005</v>
      </c>
      <c r="Q59" s="75">
        <f t="shared" si="63"/>
        <v>448753.05000000005</v>
      </c>
      <c r="R59" s="75">
        <f t="shared" si="63"/>
        <v>447232.35000000003</v>
      </c>
      <c r="S59" s="75">
        <f t="shared" si="63"/>
        <v>527725.9</v>
      </c>
      <c r="T59" s="75">
        <f t="shared" si="63"/>
        <v>444384.45</v>
      </c>
      <c r="U59" s="75">
        <f t="shared" si="63"/>
        <v>381531.2</v>
      </c>
      <c r="V59" s="75">
        <f t="shared" si="63"/>
        <v>382068.80000000005</v>
      </c>
      <c r="W59" s="75">
        <f t="shared" si="63"/>
        <v>382068.80000000005</v>
      </c>
      <c r="X59" s="75">
        <f t="shared" si="63"/>
        <v>387512.7</v>
      </c>
    </row>
    <row r="60" spans="1:24" ht="15" x14ac:dyDescent="0.4">
      <c r="A60" s="4" t="s">
        <v>58</v>
      </c>
      <c r="B60" s="30"/>
      <c r="C60" s="9"/>
      <c r="D60" s="9"/>
      <c r="E60" s="9"/>
      <c r="F60" s="9"/>
      <c r="G60" s="9"/>
      <c r="H60" s="9"/>
      <c r="J60" s="114"/>
      <c r="K60" s="114"/>
      <c r="L60" s="114"/>
      <c r="M60" s="114"/>
      <c r="N60" s="114"/>
      <c r="O60" s="113">
        <f t="shared" si="12"/>
        <v>0</v>
      </c>
      <c r="P60" s="113">
        <f t="shared" si="12"/>
        <v>0</v>
      </c>
      <c r="Q60" s="113">
        <f t="shared" si="12"/>
        <v>0</v>
      </c>
      <c r="R60" s="113">
        <f t="shared" si="12"/>
        <v>0</v>
      </c>
      <c r="S60" s="113">
        <f t="shared" si="12"/>
        <v>0</v>
      </c>
      <c r="T60" s="113">
        <f t="shared" si="28"/>
        <v>0</v>
      </c>
      <c r="U60" s="113">
        <f>ROUND(T60*(U$2),0)</f>
        <v>0</v>
      </c>
      <c r="V60" s="113">
        <f>ROUND(U60*(V$2),0)</f>
        <v>0</v>
      </c>
      <c r="W60" s="113">
        <f>ROUND(V60*(W$2),0)</f>
        <v>0</v>
      </c>
      <c r="X60" s="113">
        <f>ROUND(W60*(X$2),0)</f>
        <v>0</v>
      </c>
    </row>
    <row r="61" spans="1:24" ht="15" x14ac:dyDescent="0.4">
      <c r="A61" s="4" t="s">
        <v>59</v>
      </c>
      <c r="B61" s="28">
        <v>3143914</v>
      </c>
      <c r="C61" s="29">
        <f t="shared" ref="C61:I61" si="64">B61*(C$2)</f>
        <v>3244179.3654054059</v>
      </c>
      <c r="D61" s="29">
        <f t="shared" si="64"/>
        <v>3385230.6421621623</v>
      </c>
      <c r="E61" s="29">
        <f t="shared" si="64"/>
        <v>3429415.3794594603</v>
      </c>
      <c r="F61" s="29">
        <f t="shared" si="64"/>
        <v>3550685.4892108114</v>
      </c>
      <c r="G61" s="74">
        <f t="shared" si="64"/>
        <v>3680469.6579567576</v>
      </c>
      <c r="H61" s="73">
        <f t="shared" si="64"/>
        <v>3680469.6579567576</v>
      </c>
      <c r="I61" s="73">
        <f t="shared" si="64"/>
        <v>3723611.6671125069</v>
      </c>
      <c r="J61" s="113">
        <f>ROUND(I61*(J$2),0)</f>
        <v>3854876</v>
      </c>
      <c r="K61" s="113">
        <f>ROUND(J61*(K$2),0)</f>
        <v>3938232</v>
      </c>
      <c r="L61" s="113">
        <f>ROUND(K61*(L$2),0)</f>
        <v>3976181</v>
      </c>
      <c r="M61" s="113">
        <f>ROUND(L61*(M$2),0)</f>
        <v>4042358</v>
      </c>
      <c r="N61" s="113">
        <f>ROUND(M61*(N$2),0)</f>
        <v>4049253</v>
      </c>
      <c r="O61" s="113">
        <f t="shared" si="12"/>
        <v>4115498</v>
      </c>
      <c r="P61" s="148">
        <f t="shared" ref="P61:X61" si="65">0.05*0.8*VLOOKUP($A61,fund_table,MATCH(P$3,year_row,0),0)</f>
        <v>3872712.5600000005</v>
      </c>
      <c r="Q61" s="148">
        <f t="shared" si="65"/>
        <v>3900010.5200000009</v>
      </c>
      <c r="R61" s="148">
        <f t="shared" si="65"/>
        <v>3961128.2000000007</v>
      </c>
      <c r="S61" s="148">
        <f t="shared" si="65"/>
        <v>4000224.4400000009</v>
      </c>
      <c r="T61" s="148">
        <f t="shared" si="65"/>
        <v>4000224.4400000009</v>
      </c>
      <c r="U61" s="148">
        <f t="shared" si="65"/>
        <v>4255040.5600000005</v>
      </c>
      <c r="V61" s="148">
        <f t="shared" si="65"/>
        <v>4261036.2400000012</v>
      </c>
      <c r="W61" s="148">
        <f t="shared" si="65"/>
        <v>4261036.2400000012</v>
      </c>
      <c r="X61" s="148">
        <f t="shared" si="65"/>
        <v>4299272.040000001</v>
      </c>
    </row>
    <row r="63" spans="1:24" x14ac:dyDescent="0.35">
      <c r="L63" s="119">
        <f t="shared" ref="L63:X63" si="66">SUM(L4:L61)</f>
        <v>234634446.25</v>
      </c>
      <c r="M63" s="119">
        <f t="shared" si="66"/>
        <v>238511059.25</v>
      </c>
      <c r="N63" s="119">
        <f t="shared" si="66"/>
        <v>238917903.00000003</v>
      </c>
      <c r="O63" s="119">
        <f t="shared" si="66"/>
        <v>242796765.75000003</v>
      </c>
      <c r="P63" s="119">
        <f t="shared" si="66"/>
        <v>247392539.56000003</v>
      </c>
      <c r="Q63" s="119">
        <f t="shared" si="66"/>
        <v>253704690.52000001</v>
      </c>
      <c r="R63" s="119">
        <f t="shared" si="66"/>
        <v>258138941.19999996</v>
      </c>
      <c r="S63" s="119">
        <f t="shared" si="66"/>
        <v>261539512.44000003</v>
      </c>
      <c r="T63" s="119">
        <f t="shared" si="66"/>
        <v>277066415.44</v>
      </c>
      <c r="U63" s="119">
        <f t="shared" si="66"/>
        <v>298444900.95999998</v>
      </c>
      <c r="V63" s="119">
        <f t="shared" si="66"/>
        <v>307914668.49000001</v>
      </c>
      <c r="W63" s="119">
        <f t="shared" si="66"/>
        <v>315758102.79000002</v>
      </c>
      <c r="X63" s="119">
        <f t="shared" si="66"/>
        <v>324135776.64000005</v>
      </c>
    </row>
  </sheetData>
  <phoneticPr fontId="0"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CG63"/>
  <sheetViews>
    <sheetView topLeftCell="BW1" zoomScale="115" zoomScaleNormal="115" workbookViewId="0">
      <selection activeCell="CG1" sqref="CG1"/>
    </sheetView>
  </sheetViews>
  <sheetFormatPr defaultRowHeight="12.75" x14ac:dyDescent="0.35"/>
  <cols>
    <col min="1" max="1" width="69.73046875" bestFit="1" customWidth="1"/>
    <col min="2" max="4" width="13.3984375" bestFit="1" customWidth="1"/>
    <col min="5" max="5" width="14.265625" bestFit="1" customWidth="1"/>
    <col min="6" max="8" width="13.3984375" bestFit="1" customWidth="1"/>
    <col min="9" max="9" width="14.265625" bestFit="1" customWidth="1"/>
    <col min="10" max="12" width="13.3984375" bestFit="1" customWidth="1"/>
    <col min="13" max="13" width="14.265625" bestFit="1" customWidth="1"/>
    <col min="14" max="16" width="13.3984375" bestFit="1" customWidth="1"/>
    <col min="17" max="17" width="14.265625" bestFit="1" customWidth="1"/>
    <col min="18" max="20" width="13.3984375" bestFit="1" customWidth="1"/>
    <col min="21" max="21" width="14.265625" bestFit="1" customWidth="1"/>
    <col min="22" max="25" width="13.73046875" bestFit="1" customWidth="1"/>
    <col min="26" max="28" width="13.3984375" bestFit="1" customWidth="1"/>
    <col min="29" max="29" width="14.265625" bestFit="1" customWidth="1"/>
    <col min="30" max="31" width="13.73046875" bestFit="1" customWidth="1"/>
    <col min="32" max="33" width="14.73046875" bestFit="1" customWidth="1"/>
    <col min="34" max="46" width="13.73046875" bestFit="1" customWidth="1"/>
    <col min="47" max="48" width="13.73046875" customWidth="1"/>
    <col min="49" max="49" width="16" customWidth="1"/>
    <col min="50" max="52" width="15.265625" bestFit="1" customWidth="1"/>
    <col min="53" max="53" width="15.59765625" bestFit="1" customWidth="1"/>
    <col min="54" max="54" width="15.265625" bestFit="1" customWidth="1"/>
    <col min="55" max="57" width="13.73046875" bestFit="1" customWidth="1"/>
    <col min="58" max="59" width="15" bestFit="1" customWidth="1"/>
    <col min="60" max="60" width="15.73046875" customWidth="1"/>
    <col min="61" max="61" width="15" bestFit="1" customWidth="1"/>
    <col min="62" max="65" width="14.86328125" bestFit="1" customWidth="1"/>
    <col min="70" max="77" width="15" customWidth="1"/>
    <col min="78" max="85" width="17.59765625" customWidth="1"/>
  </cols>
  <sheetData>
    <row r="1" spans="1:85" ht="20.25" x14ac:dyDescent="0.55000000000000004">
      <c r="A1" s="35" t="s">
        <v>215</v>
      </c>
      <c r="B1" s="82"/>
      <c r="C1" s="82"/>
      <c r="D1" s="82"/>
      <c r="E1" s="82"/>
      <c r="F1" s="82">
        <f t="shared" ref="F1:AC1" si="0">IF(1&lt;(VLOOKUP("FY Inflation",FY_Inflation,MATCH(F$3-1,FY_Inflation_year_row,0),0)+1),(VLOOKUP("FY Inflation",FY_Inflation,MATCH(F$3-1,FY_Inflation_year_row,0),0)+1),1)</f>
        <v>1.0130522088353415</v>
      </c>
      <c r="G1" s="82">
        <f t="shared" si="0"/>
        <v>1.0130522088353415</v>
      </c>
      <c r="H1" s="82">
        <f t="shared" si="0"/>
        <v>1.0130522088353415</v>
      </c>
      <c r="I1" s="82">
        <f t="shared" si="0"/>
        <v>1.0130522088353415</v>
      </c>
      <c r="J1" s="82">
        <f t="shared" si="0"/>
        <v>1.0353617443012884</v>
      </c>
      <c r="K1" s="82">
        <f t="shared" si="0"/>
        <v>1.0353617443012884</v>
      </c>
      <c r="L1" s="82">
        <f t="shared" si="0"/>
        <v>1.0353617443012884</v>
      </c>
      <c r="M1" s="82">
        <f t="shared" si="0"/>
        <v>1.0353617443012884</v>
      </c>
      <c r="N1" s="82">
        <f t="shared" si="0"/>
        <v>1.036551862771375</v>
      </c>
      <c r="O1" s="82">
        <f t="shared" si="0"/>
        <v>1.036551862771375</v>
      </c>
      <c r="P1" s="82">
        <f t="shared" si="0"/>
        <v>1.036551862771375</v>
      </c>
      <c r="Q1" s="82">
        <f t="shared" si="0"/>
        <v>1.036551862771375</v>
      </c>
      <c r="R1" s="82">
        <f t="shared" si="0"/>
        <v>1</v>
      </c>
      <c r="S1" s="82">
        <f t="shared" si="0"/>
        <v>1</v>
      </c>
      <c r="T1" s="82">
        <f t="shared" si="0"/>
        <v>1</v>
      </c>
      <c r="U1" s="82">
        <f t="shared" si="0"/>
        <v>1</v>
      </c>
      <c r="V1" s="82">
        <f t="shared" si="0"/>
        <v>1.0117218760552695</v>
      </c>
      <c r="W1" s="82">
        <f t="shared" si="0"/>
        <v>1.0117218760552695</v>
      </c>
      <c r="X1" s="82">
        <f>IF(1&lt;(VLOOKUP("FY Inflation",FY_Inflation,MATCH(X$3-1,FY_Inflation_year_row,0),0)+1),(VLOOKUP("FY Inflation",FY_Inflation,MATCH(X$3-1,FY_Inflation_year_row,0),0)+1),1)</f>
        <v>1.0117218760552695</v>
      </c>
      <c r="Y1" s="82">
        <f t="shared" si="0"/>
        <v>1.0117218760552695</v>
      </c>
      <c r="Z1" s="82">
        <f>IF(1&lt;(VLOOKUP("FY Inflation",FY_Inflation,MATCH(Z$3-1,FY_Inflation_year_row,0),0)+1),(VLOOKUP("FY Inflation",FY_Inflation,MATCH(Z$3-1,FY_Inflation_year_row,0),0)+1),1)</f>
        <v>1.035251999213574</v>
      </c>
      <c r="AA1" s="82">
        <f t="shared" si="0"/>
        <v>1.035251999213574</v>
      </c>
      <c r="AB1" s="82">
        <f t="shared" si="0"/>
        <v>1.035251999213574</v>
      </c>
      <c r="AC1" s="82">
        <f t="shared" si="0"/>
        <v>1.035251999213574</v>
      </c>
      <c r="AD1" s="82">
        <f t="shared" ref="AD1:CG1" si="1">IF(1&lt;(VLOOKUP("FY Inflation",FY_Inflation,MATCH(AD$3-1,FY_Inflation_year_row,0),0)+1),(VLOOKUP("FY Inflation",FY_Inflation,MATCH(AD$3-1,FY_Inflation_year_row,0),0)+1),1)</f>
        <v>1.0216234359887113</v>
      </c>
      <c r="AE1" s="82">
        <f t="shared" si="1"/>
        <v>1.0216234359887113</v>
      </c>
      <c r="AF1" s="82">
        <f t="shared" si="1"/>
        <v>1.0216234359887113</v>
      </c>
      <c r="AG1" s="82">
        <f t="shared" si="1"/>
        <v>1.0216234359887113</v>
      </c>
      <c r="AH1" s="82">
        <f t="shared" si="1"/>
        <v>1.009636127046434</v>
      </c>
      <c r="AI1" s="82">
        <f t="shared" si="1"/>
        <v>1.009636127046434</v>
      </c>
      <c r="AJ1" s="82">
        <f t="shared" si="1"/>
        <v>1.009636127046434</v>
      </c>
      <c r="AK1" s="82">
        <f t="shared" si="1"/>
        <v>1.009636127046434</v>
      </c>
      <c r="AL1" s="82">
        <f t="shared" si="1"/>
        <v>1.0166434021563204</v>
      </c>
      <c r="AM1" s="82">
        <f t="shared" si="1"/>
        <v>1.0166434021563204</v>
      </c>
      <c r="AN1" s="82">
        <f t="shared" si="1"/>
        <v>1.0166434021563204</v>
      </c>
      <c r="AO1" s="82">
        <f t="shared" si="1"/>
        <v>1.0166434021563204</v>
      </c>
      <c r="AP1" s="82">
        <f t="shared" si="1"/>
        <v>1.0017057443573556</v>
      </c>
      <c r="AQ1" s="82">
        <f t="shared" si="1"/>
        <v>1.0017057443573556</v>
      </c>
      <c r="AR1" s="82">
        <f t="shared" si="1"/>
        <v>1.0017057443573556</v>
      </c>
      <c r="AS1" s="82">
        <f t="shared" si="1"/>
        <v>1.0017057443573556</v>
      </c>
      <c r="AT1" s="82">
        <f t="shared" si="1"/>
        <v>1.016359875209176</v>
      </c>
      <c r="AU1" s="82">
        <f t="shared" si="1"/>
        <v>1.016359875209176</v>
      </c>
      <c r="AV1" s="82">
        <f t="shared" si="1"/>
        <v>1.016359875209176</v>
      </c>
      <c r="AW1" s="82">
        <f t="shared" si="1"/>
        <v>1.016359875209176</v>
      </c>
      <c r="AX1" s="82">
        <f t="shared" si="1"/>
        <v>1.0204112870197617</v>
      </c>
      <c r="AY1" s="82">
        <f t="shared" si="1"/>
        <v>1.0204112870197617</v>
      </c>
      <c r="AZ1" s="82">
        <f t="shared" si="1"/>
        <v>1.0204112870197617</v>
      </c>
      <c r="BA1" s="82">
        <f t="shared" si="1"/>
        <v>1.0204112870197617</v>
      </c>
      <c r="BB1" s="82">
        <f t="shared" si="1"/>
        <v>1.0252246992860703</v>
      </c>
      <c r="BC1" s="82">
        <f t="shared" si="1"/>
        <v>1.0252246992860703</v>
      </c>
      <c r="BD1" s="82">
        <f t="shared" si="1"/>
        <v>1.0252246992860703</v>
      </c>
      <c r="BE1" s="82">
        <f t="shared" si="1"/>
        <v>1.0252246992860703</v>
      </c>
      <c r="BF1" s="82">
        <f t="shared" si="1"/>
        <v>1.0176404294442138</v>
      </c>
      <c r="BG1" s="82">
        <f t="shared" si="1"/>
        <v>1.0176404294442138</v>
      </c>
      <c r="BH1" s="82">
        <f t="shared" si="1"/>
        <v>1.0176404294442138</v>
      </c>
      <c r="BI1" s="82">
        <f t="shared" si="1"/>
        <v>1.0118206616772749</v>
      </c>
      <c r="BJ1" s="82">
        <f t="shared" si="1"/>
        <v>1.0118206616772749</v>
      </c>
      <c r="BK1" s="82">
        <f t="shared" si="1"/>
        <v>1.0118206616772749</v>
      </c>
      <c r="BL1" s="82">
        <f t="shared" si="1"/>
        <v>1.0118206616772749</v>
      </c>
      <c r="BM1" s="82">
        <f t="shared" si="1"/>
        <v>1.0118206616772749</v>
      </c>
      <c r="BN1" s="82">
        <f t="shared" si="1"/>
        <v>1.062218689033289</v>
      </c>
      <c r="BO1" s="82">
        <f t="shared" si="1"/>
        <v>1.062218689033289</v>
      </c>
      <c r="BP1" s="82">
        <f t="shared" si="1"/>
        <v>1.062218689033289</v>
      </c>
      <c r="BQ1" s="82">
        <f t="shared" si="1"/>
        <v>1.062218689033289</v>
      </c>
      <c r="BR1" s="82">
        <f t="shared" si="1"/>
        <v>1.0774542733080492</v>
      </c>
      <c r="BS1" s="82">
        <f t="shared" si="1"/>
        <v>1.0774542733080492</v>
      </c>
      <c r="BT1" s="82">
        <f t="shared" si="1"/>
        <v>1.0774542733080492</v>
      </c>
      <c r="BU1" s="82">
        <f t="shared" si="1"/>
        <v>1.0774542733080492</v>
      </c>
      <c r="BV1" s="82">
        <f>IF(1&lt;(VLOOKUP("FY Inflation",FY_Inflation,MATCH(BV$3-1,FY_Inflation_year_row,0),0)+1),(VLOOKUP("FY Inflation",FY_Inflation,MATCH(BV$3-1,FY_Inflation_year_row,0),0)+1),1)</f>
        <v>1.032411446518932</v>
      </c>
      <c r="BW1" s="82">
        <f t="shared" si="1"/>
        <v>1.032411446518932</v>
      </c>
      <c r="BX1" s="82">
        <f t="shared" si="1"/>
        <v>1.032411446518932</v>
      </c>
      <c r="BY1" s="82">
        <f t="shared" si="1"/>
        <v>1.032411446518932</v>
      </c>
      <c r="BZ1" s="82">
        <f>IF(1&lt;(VLOOKUP("FY Inflation",FY_Inflation,MATCH(BZ$3-1,FY_Inflation_year_row,0),0)+1),(VLOOKUP("FY Inflation",FY_Inflation,MATCH(BZ$3-1,FY_Inflation_year_row,0),0)+1),1)</f>
        <v>1.0259790490491467</v>
      </c>
      <c r="CA1" s="82">
        <f t="shared" si="1"/>
        <v>1.0259790490491467</v>
      </c>
      <c r="CB1" s="82">
        <f t="shared" si="1"/>
        <v>1.0259790490491467</v>
      </c>
      <c r="CC1" s="82">
        <f t="shared" si="1"/>
        <v>1.0259790490491467</v>
      </c>
      <c r="CD1" s="82">
        <f>IF(1&lt;(VLOOKUP("FY Inflation",FY_Inflation,MATCH(CD$3-1,FY_Inflation_year_row,0),0)+1),(VLOOKUP("FY Inflation",FY_Inflation,MATCH(CD$3-1,FY_Inflation_year_row,0),0)+1),1)</f>
        <v>1.0269495412844036</v>
      </c>
      <c r="CE1" s="82">
        <f t="shared" si="1"/>
        <v>1.0269495412844036</v>
      </c>
      <c r="CF1" s="82">
        <f t="shared" si="1"/>
        <v>1.0269495412844036</v>
      </c>
      <c r="CG1" s="82">
        <f t="shared" si="1"/>
        <v>1.0269495412844036</v>
      </c>
    </row>
    <row r="2" spans="1:85" x14ac:dyDescent="0.35">
      <c r="A2" s="36" t="s">
        <v>216</v>
      </c>
      <c r="B2" t="s">
        <v>217</v>
      </c>
      <c r="C2" t="s">
        <v>218</v>
      </c>
      <c r="D2" t="s">
        <v>219</v>
      </c>
      <c r="E2" t="s">
        <v>220</v>
      </c>
      <c r="F2" t="s">
        <v>221</v>
      </c>
      <c r="G2" t="s">
        <v>222</v>
      </c>
      <c r="H2" t="s">
        <v>223</v>
      </c>
      <c r="I2" t="s">
        <v>224</v>
      </c>
      <c r="J2" t="s">
        <v>225</v>
      </c>
      <c r="K2" t="s">
        <v>226</v>
      </c>
      <c r="L2" t="s">
        <v>227</v>
      </c>
      <c r="M2" t="s">
        <v>228</v>
      </c>
      <c r="N2" t="s">
        <v>229</v>
      </c>
      <c r="O2" t="s">
        <v>230</v>
      </c>
      <c r="P2" t="s">
        <v>231</v>
      </c>
      <c r="Q2" t="s">
        <v>232</v>
      </c>
      <c r="R2" t="s">
        <v>233</v>
      </c>
      <c r="S2" t="s">
        <v>234</v>
      </c>
      <c r="T2" t="s">
        <v>235</v>
      </c>
      <c r="U2" t="s">
        <v>236</v>
      </c>
      <c r="V2" t="s">
        <v>237</v>
      </c>
      <c r="W2" t="s">
        <v>238</v>
      </c>
      <c r="X2" t="s">
        <v>239</v>
      </c>
      <c r="Y2" t="s">
        <v>240</v>
      </c>
      <c r="Z2" t="s">
        <v>241</v>
      </c>
      <c r="AA2" t="s">
        <v>242</v>
      </c>
      <c r="AB2" t="s">
        <v>243</v>
      </c>
      <c r="AC2" t="s">
        <v>244</v>
      </c>
      <c r="AD2" s="36" t="s">
        <v>245</v>
      </c>
      <c r="AE2" s="36" t="s">
        <v>246</v>
      </c>
      <c r="AF2" s="36" t="s">
        <v>247</v>
      </c>
      <c r="AG2" s="36" t="s">
        <v>248</v>
      </c>
      <c r="AH2" s="36" t="s">
        <v>249</v>
      </c>
      <c r="AI2" s="36" t="s">
        <v>250</v>
      </c>
      <c r="AJ2" s="36" t="s">
        <v>251</v>
      </c>
      <c r="AK2" s="36" t="s">
        <v>252</v>
      </c>
      <c r="AL2" s="36" t="s">
        <v>253</v>
      </c>
      <c r="AM2" s="36" t="s">
        <v>254</v>
      </c>
      <c r="AN2" s="36" t="s">
        <v>255</v>
      </c>
      <c r="AO2" s="36" t="s">
        <v>256</v>
      </c>
      <c r="AP2" s="36" t="s">
        <v>257</v>
      </c>
      <c r="AQ2" s="36" t="s">
        <v>258</v>
      </c>
      <c r="AR2" s="36" t="s">
        <v>259</v>
      </c>
      <c r="AS2" s="36" t="s">
        <v>260</v>
      </c>
      <c r="AT2" s="36" t="s">
        <v>261</v>
      </c>
      <c r="AU2" s="36" t="s">
        <v>262</v>
      </c>
      <c r="AV2" s="36" t="s">
        <v>263</v>
      </c>
      <c r="AW2" s="36" t="s">
        <v>264</v>
      </c>
      <c r="AX2" s="36" t="s">
        <v>265</v>
      </c>
      <c r="AY2" s="36" t="s">
        <v>266</v>
      </c>
      <c r="AZ2" s="36" t="s">
        <v>267</v>
      </c>
      <c r="BA2" s="36" t="s">
        <v>268</v>
      </c>
      <c r="BB2" s="36" t="s">
        <v>269</v>
      </c>
      <c r="BC2" s="36" t="s">
        <v>270</v>
      </c>
      <c r="BD2" s="36" t="s">
        <v>271</v>
      </c>
      <c r="BE2" s="36" t="s">
        <v>272</v>
      </c>
      <c r="BF2" s="36" t="s">
        <v>273</v>
      </c>
      <c r="BG2" s="36" t="s">
        <v>274</v>
      </c>
      <c r="BH2" s="36" t="s">
        <v>275</v>
      </c>
      <c r="BI2" s="36" t="s">
        <v>276</v>
      </c>
      <c r="BJ2" s="36" t="s">
        <v>446</v>
      </c>
      <c r="BK2" s="36" t="s">
        <v>447</v>
      </c>
      <c r="BL2" s="36" t="s">
        <v>448</v>
      </c>
      <c r="BM2" s="36" t="s">
        <v>449</v>
      </c>
      <c r="BN2" s="36" t="s">
        <v>446</v>
      </c>
      <c r="BO2" s="36" t="s">
        <v>447</v>
      </c>
      <c r="BP2" s="36" t="s">
        <v>448</v>
      </c>
      <c r="BQ2" s="36" t="s">
        <v>449</v>
      </c>
      <c r="BR2" s="36" t="s">
        <v>454</v>
      </c>
      <c r="BS2" s="36" t="s">
        <v>455</v>
      </c>
      <c r="BT2" s="36" t="s">
        <v>456</v>
      </c>
      <c r="BU2" s="36" t="s">
        <v>457</v>
      </c>
      <c r="BV2" s="36" t="s">
        <v>458</v>
      </c>
      <c r="BW2" s="36" t="s">
        <v>459</v>
      </c>
      <c r="BX2" s="36" t="s">
        <v>460</v>
      </c>
      <c r="BY2" s="36" t="s">
        <v>461</v>
      </c>
      <c r="BZ2" s="36" t="s">
        <v>462</v>
      </c>
      <c r="CA2" s="36" t="s">
        <v>463</v>
      </c>
      <c r="CB2" s="36" t="s">
        <v>464</v>
      </c>
      <c r="CC2" s="36" t="s">
        <v>465</v>
      </c>
      <c r="CD2" s="36" t="s">
        <v>470</v>
      </c>
      <c r="CE2" s="36" t="s">
        <v>471</v>
      </c>
      <c r="CF2" s="36" t="s">
        <v>472</v>
      </c>
      <c r="CG2" s="36" t="s">
        <v>473</v>
      </c>
    </row>
    <row r="3" spans="1:85" x14ac:dyDescent="0.35">
      <c r="B3" s="9">
        <v>2006</v>
      </c>
      <c r="C3" s="9">
        <v>2006</v>
      </c>
      <c r="D3" s="9">
        <v>2006</v>
      </c>
      <c r="E3" s="9">
        <v>2006</v>
      </c>
      <c r="F3">
        <v>2007</v>
      </c>
      <c r="G3">
        <v>2007</v>
      </c>
      <c r="H3">
        <v>2007</v>
      </c>
      <c r="I3">
        <v>2007</v>
      </c>
      <c r="J3" s="9">
        <v>2008</v>
      </c>
      <c r="K3" s="9">
        <v>2008</v>
      </c>
      <c r="L3" s="9">
        <v>2008</v>
      </c>
      <c r="M3" s="9">
        <v>2008</v>
      </c>
      <c r="N3">
        <v>2009</v>
      </c>
      <c r="O3">
        <v>2009</v>
      </c>
      <c r="P3">
        <v>2009</v>
      </c>
      <c r="Q3">
        <v>2009</v>
      </c>
      <c r="R3" s="9">
        <v>2010</v>
      </c>
      <c r="S3" s="9">
        <v>2010</v>
      </c>
      <c r="T3" s="9">
        <v>2010</v>
      </c>
      <c r="U3" s="9">
        <v>2010</v>
      </c>
      <c r="V3">
        <v>2011</v>
      </c>
      <c r="W3">
        <v>2011</v>
      </c>
      <c r="X3">
        <v>2011</v>
      </c>
      <c r="Y3">
        <v>2011</v>
      </c>
      <c r="Z3">
        <v>2012</v>
      </c>
      <c r="AA3">
        <v>2012</v>
      </c>
      <c r="AB3">
        <v>2012</v>
      </c>
      <c r="AC3">
        <v>2012</v>
      </c>
      <c r="AD3" s="9">
        <v>2013</v>
      </c>
      <c r="AE3" s="9">
        <v>2013</v>
      </c>
      <c r="AF3" s="9">
        <v>2013</v>
      </c>
      <c r="AG3" s="9">
        <v>2013</v>
      </c>
      <c r="AH3" s="9">
        <v>2014</v>
      </c>
      <c r="AI3" s="9">
        <v>2014</v>
      </c>
      <c r="AJ3" s="9">
        <v>2014</v>
      </c>
      <c r="AK3" s="9">
        <v>2014</v>
      </c>
      <c r="AL3">
        <v>2015</v>
      </c>
      <c r="AM3">
        <v>2015</v>
      </c>
      <c r="AN3">
        <v>2015</v>
      </c>
      <c r="AO3">
        <v>2015</v>
      </c>
      <c r="AP3">
        <v>2016</v>
      </c>
      <c r="AQ3">
        <v>2016</v>
      </c>
      <c r="AR3">
        <v>2016</v>
      </c>
      <c r="AS3">
        <v>2016</v>
      </c>
      <c r="AT3">
        <v>2017</v>
      </c>
      <c r="AU3">
        <v>2017</v>
      </c>
      <c r="AV3">
        <v>2017</v>
      </c>
      <c r="AW3">
        <v>2017</v>
      </c>
      <c r="AX3">
        <v>2018</v>
      </c>
      <c r="AY3">
        <v>2018</v>
      </c>
      <c r="AZ3">
        <v>2018</v>
      </c>
      <c r="BA3">
        <v>2018</v>
      </c>
      <c r="BB3" s="141">
        <v>2019</v>
      </c>
      <c r="BC3" s="141">
        <v>2019</v>
      </c>
      <c r="BD3" s="141">
        <v>2019</v>
      </c>
      <c r="BE3" s="141">
        <v>2019</v>
      </c>
      <c r="BF3" s="153">
        <v>2020</v>
      </c>
      <c r="BG3" s="153">
        <v>2020</v>
      </c>
      <c r="BH3" s="153">
        <v>2020</v>
      </c>
      <c r="BI3" s="153">
        <v>2021</v>
      </c>
      <c r="BJ3" s="201">
        <v>2021</v>
      </c>
      <c r="BK3" s="201">
        <v>2021</v>
      </c>
      <c r="BL3" s="201">
        <v>2021</v>
      </c>
      <c r="BM3" s="201">
        <v>2021</v>
      </c>
      <c r="BN3" s="205">
        <v>2022</v>
      </c>
      <c r="BO3" s="205">
        <v>2022</v>
      </c>
      <c r="BP3" s="205">
        <v>2022</v>
      </c>
      <c r="BQ3" s="205">
        <v>2022</v>
      </c>
      <c r="BR3" s="201">
        <v>2023</v>
      </c>
      <c r="BS3" s="201">
        <v>2023</v>
      </c>
      <c r="BT3" s="201">
        <v>2023</v>
      </c>
      <c r="BU3" s="201">
        <v>2023</v>
      </c>
      <c r="BV3" s="153">
        <v>2024</v>
      </c>
      <c r="BW3" s="153">
        <v>2024</v>
      </c>
      <c r="BX3" s="153">
        <v>2024</v>
      </c>
      <c r="BY3" s="153">
        <v>2024</v>
      </c>
      <c r="BZ3" s="201">
        <v>2025</v>
      </c>
      <c r="CA3" s="201">
        <v>2025</v>
      </c>
      <c r="CB3" s="201">
        <v>2025</v>
      </c>
      <c r="CC3" s="201">
        <v>2025</v>
      </c>
      <c r="CD3" s="153">
        <v>2026</v>
      </c>
      <c r="CE3" s="153">
        <v>2026</v>
      </c>
      <c r="CF3" s="153">
        <v>2026</v>
      </c>
      <c r="CG3" s="153">
        <v>2026</v>
      </c>
    </row>
    <row r="4" spans="1:85" ht="51" x14ac:dyDescent="0.35">
      <c r="A4" s="185"/>
      <c r="B4" s="187" t="s">
        <v>277</v>
      </c>
      <c r="C4" s="187" t="s">
        <v>278</v>
      </c>
      <c r="D4" s="187" t="s">
        <v>279</v>
      </c>
      <c r="E4" s="187" t="s">
        <v>280</v>
      </c>
      <c r="F4" s="185" t="s">
        <v>277</v>
      </c>
      <c r="G4" s="185" t="s">
        <v>278</v>
      </c>
      <c r="H4" s="185" t="s">
        <v>279</v>
      </c>
      <c r="I4" s="185" t="s">
        <v>280</v>
      </c>
      <c r="J4" s="187" t="s">
        <v>277</v>
      </c>
      <c r="K4" s="187" t="s">
        <v>278</v>
      </c>
      <c r="L4" s="187" t="s">
        <v>279</v>
      </c>
      <c r="M4" s="187" t="s">
        <v>280</v>
      </c>
      <c r="N4" s="185" t="s">
        <v>277</v>
      </c>
      <c r="O4" s="185" t="s">
        <v>278</v>
      </c>
      <c r="P4" s="185" t="s">
        <v>279</v>
      </c>
      <c r="Q4" s="185" t="s">
        <v>280</v>
      </c>
      <c r="R4" s="187" t="s">
        <v>277</v>
      </c>
      <c r="S4" s="187" t="s">
        <v>278</v>
      </c>
      <c r="T4" s="187" t="s">
        <v>279</v>
      </c>
      <c r="U4" s="187" t="s">
        <v>280</v>
      </c>
      <c r="V4" s="185" t="s">
        <v>277</v>
      </c>
      <c r="W4" s="185" t="s">
        <v>278</v>
      </c>
      <c r="X4" s="185" t="s">
        <v>279</v>
      </c>
      <c r="Y4" s="185" t="s">
        <v>280</v>
      </c>
      <c r="Z4" s="185" t="s">
        <v>277</v>
      </c>
      <c r="AA4" s="185" t="s">
        <v>278</v>
      </c>
      <c r="AB4" s="185" t="s">
        <v>279</v>
      </c>
      <c r="AC4" s="185" t="s">
        <v>280</v>
      </c>
      <c r="AD4" s="187" t="s">
        <v>277</v>
      </c>
      <c r="AE4" s="187" t="s">
        <v>278</v>
      </c>
      <c r="AF4" s="187" t="s">
        <v>279</v>
      </c>
      <c r="AG4" s="187" t="s">
        <v>280</v>
      </c>
      <c r="AH4" s="187" t="s">
        <v>277</v>
      </c>
      <c r="AI4" s="187" t="s">
        <v>278</v>
      </c>
      <c r="AJ4" s="187" t="s">
        <v>279</v>
      </c>
      <c r="AK4" s="187" t="s">
        <v>280</v>
      </c>
      <c r="AL4" s="185" t="s">
        <v>277</v>
      </c>
      <c r="AM4" s="185" t="s">
        <v>278</v>
      </c>
      <c r="AN4" s="185" t="s">
        <v>279</v>
      </c>
      <c r="AO4" s="185" t="s">
        <v>280</v>
      </c>
      <c r="AP4" s="185" t="s">
        <v>277</v>
      </c>
      <c r="AQ4" s="185" t="s">
        <v>278</v>
      </c>
      <c r="AR4" s="185" t="s">
        <v>279</v>
      </c>
      <c r="AS4" s="185" t="s">
        <v>280</v>
      </c>
      <c r="AT4" s="185" t="s">
        <v>277</v>
      </c>
      <c r="AU4" s="185" t="s">
        <v>278</v>
      </c>
      <c r="AV4" s="185" t="s">
        <v>279</v>
      </c>
      <c r="AW4" s="185" t="s">
        <v>280</v>
      </c>
      <c r="AX4" s="185" t="s">
        <v>277</v>
      </c>
      <c r="AY4" s="185" t="s">
        <v>278</v>
      </c>
      <c r="AZ4" s="185" t="s">
        <v>279</v>
      </c>
      <c r="BA4" s="185" t="s">
        <v>280</v>
      </c>
      <c r="BB4" s="188" t="s">
        <v>277</v>
      </c>
      <c r="BC4" s="188" t="s">
        <v>278</v>
      </c>
      <c r="BD4" s="188" t="s">
        <v>279</v>
      </c>
      <c r="BE4" s="188" t="s">
        <v>280</v>
      </c>
      <c r="BF4" s="189" t="s">
        <v>277</v>
      </c>
      <c r="BG4" s="189" t="s">
        <v>278</v>
      </c>
      <c r="BH4" s="189" t="s">
        <v>279</v>
      </c>
      <c r="BI4" s="189" t="s">
        <v>280</v>
      </c>
      <c r="BJ4" s="202" t="s">
        <v>277</v>
      </c>
      <c r="BK4" s="202" t="s">
        <v>278</v>
      </c>
      <c r="BL4" s="202" t="s">
        <v>279</v>
      </c>
      <c r="BM4" s="202" t="s">
        <v>280</v>
      </c>
      <c r="BN4" s="206" t="s">
        <v>277</v>
      </c>
      <c r="BO4" s="206" t="s">
        <v>278</v>
      </c>
      <c r="BP4" s="206" t="s">
        <v>279</v>
      </c>
      <c r="BQ4" s="206" t="s">
        <v>280</v>
      </c>
      <c r="BR4" s="202" t="s">
        <v>277</v>
      </c>
      <c r="BS4" s="202" t="s">
        <v>278</v>
      </c>
      <c r="BT4" s="202" t="s">
        <v>279</v>
      </c>
      <c r="BU4" s="202" t="s">
        <v>280</v>
      </c>
      <c r="BV4" s="189" t="s">
        <v>277</v>
      </c>
      <c r="BW4" s="189" t="s">
        <v>278</v>
      </c>
      <c r="BX4" s="189" t="s">
        <v>279</v>
      </c>
      <c r="BY4" s="189" t="s">
        <v>280</v>
      </c>
      <c r="BZ4" s="202" t="s">
        <v>277</v>
      </c>
      <c r="CA4" s="202" t="s">
        <v>278</v>
      </c>
      <c r="CB4" s="202" t="s">
        <v>279</v>
      </c>
      <c r="CC4" s="202" t="s">
        <v>280</v>
      </c>
      <c r="CD4" s="189" t="s">
        <v>277</v>
      </c>
      <c r="CE4" s="189" t="s">
        <v>278</v>
      </c>
      <c r="CF4" s="189" t="s">
        <v>279</v>
      </c>
      <c r="CG4" s="189" t="s">
        <v>280</v>
      </c>
    </row>
    <row r="5" spans="1:85" ht="15" x14ac:dyDescent="0.4">
      <c r="A5" s="4" t="s">
        <v>2</v>
      </c>
      <c r="B5" s="30">
        <f>0.105*VLOOKUP($A5,fund_table,MATCH(B$3,year_row,0),0)</f>
        <v>17601626.594999999</v>
      </c>
      <c r="C5" s="30">
        <f t="shared" ref="C5:C36" si="2">0.1*VLOOKUP($A5,fund_table,MATCH(C$3,year_row,0),0)</f>
        <v>16763453.9</v>
      </c>
      <c r="D5" s="30">
        <f t="shared" ref="D5:D36" si="3">0.095*VLOOKUP($A5,fund_table,MATCH(D$3,year_row,0),0)</f>
        <v>15925281.205</v>
      </c>
      <c r="E5" s="30">
        <f>0.09*VLOOKUP($A5,fund_table,MATCH(E$3,year_row,0),0)</f>
        <v>15087108.51</v>
      </c>
      <c r="F5" s="28">
        <f t="shared" ref="F5:F55" si="4">B5*(F$1)</f>
        <v>17831366.701159641</v>
      </c>
      <c r="G5" s="28">
        <f t="shared" ref="G5:G55" si="5">C5*(G$1)</f>
        <v>16982254.001104422</v>
      </c>
      <c r="H5" s="28">
        <f t="shared" ref="H5:H55" si="6">D5*(H$1)</f>
        <v>16133141.301049199</v>
      </c>
      <c r="I5" s="28">
        <f t="shared" ref="I5:I55" si="7">E5*(I$1)</f>
        <v>15284028.600993978</v>
      </c>
      <c r="J5" s="30">
        <f t="shared" ref="J5:J55" si="8">F5*(J$1)</f>
        <v>18461914.930988558</v>
      </c>
      <c r="K5" s="30">
        <f t="shared" ref="K5:K55" si="9">G5*(K$1)</f>
        <v>17582776.124751009</v>
      </c>
      <c r="L5" s="30">
        <f t="shared" ref="L5:L55" si="10">H5*(L$1)</f>
        <v>16703637.318513455</v>
      </c>
      <c r="M5" s="30">
        <f t="shared" ref="M5:M55" si="11">I5*(M$1)</f>
        <v>15824498.512275904</v>
      </c>
      <c r="N5" s="28">
        <f>J5*(N$1)</f>
        <v>19136732.312042851</v>
      </c>
      <c r="O5" s="28">
        <f>K5*(O$1)</f>
        <v>18225459.344802719</v>
      </c>
      <c r="P5" s="28">
        <f t="shared" ref="P5:P55" si="12">L5*(P$1)</f>
        <v>17314186.377562579</v>
      </c>
      <c r="Q5" s="28">
        <f t="shared" ref="Q5:Q55" si="13">M5*(Q$1)</f>
        <v>16402913.410322441</v>
      </c>
      <c r="R5" s="30">
        <f>N5*(R$1)</f>
        <v>19136732.312042851</v>
      </c>
      <c r="S5" s="30">
        <f t="shared" ref="S5:S55" si="14">O5*(S$1)</f>
        <v>18225459.344802719</v>
      </c>
      <c r="T5" s="30">
        <f t="shared" ref="T5:T55" si="15">P5*(T$1)</f>
        <v>17314186.377562579</v>
      </c>
      <c r="U5" s="30">
        <f>Q5*(U$1)</f>
        <v>16402913.410322441</v>
      </c>
      <c r="V5" s="97">
        <f>R5*(V$1)</f>
        <v>19361050.716307487</v>
      </c>
      <c r="W5" s="97">
        <f t="shared" ref="W5:W55" si="16">S5*(W$1)</f>
        <v>18439095.920292851</v>
      </c>
      <c r="X5" s="97">
        <f t="shared" ref="X5:X55" si="17">T5*(X$1)</f>
        <v>17517141.124278203</v>
      </c>
      <c r="Y5" s="97">
        <f t="shared" ref="Y5:Y55" si="18">U5*(Y$1)</f>
        <v>16595186.328263558</v>
      </c>
      <c r="Z5" s="97">
        <f>V5*(Z$1)</f>
        <v>20043566.460932724</v>
      </c>
      <c r="AA5" s="97">
        <f t="shared" ref="AA5:AA55" si="19">W5*(AA$1)</f>
        <v>19089110.91517403</v>
      </c>
      <c r="AB5" s="97">
        <f t="shared" ref="AB5:AB55" si="20">X5*(AB$1)</f>
        <v>18134655.369415324</v>
      </c>
      <c r="AC5" s="97">
        <f t="shared" ref="AC5:AK5" si="21">Y5*(AC$1)</f>
        <v>17180199.823656619</v>
      </c>
      <c r="AD5" s="30">
        <f t="shared" si="21"/>
        <v>20476977.237286184</v>
      </c>
      <c r="AE5" s="30">
        <f t="shared" si="21"/>
        <v>19501883.083129704</v>
      </c>
      <c r="AF5" s="30">
        <f t="shared" si="21"/>
        <v>18526788.928973217</v>
      </c>
      <c r="AG5" s="30">
        <f t="shared" si="21"/>
        <v>17551694.774816725</v>
      </c>
      <c r="AH5" s="30">
        <f t="shared" si="21"/>
        <v>20674295.991471611</v>
      </c>
      <c r="AI5" s="30">
        <f t="shared" si="21"/>
        <v>19689805.706163444</v>
      </c>
      <c r="AJ5" s="30">
        <f t="shared" si="21"/>
        <v>18705315.420855269</v>
      </c>
      <c r="AK5" s="30">
        <f t="shared" si="21"/>
        <v>17720825.13554709</v>
      </c>
      <c r="AL5" s="97">
        <f t="shared" ref="AL5:AL60" si="22">AH5*(AL$1)</f>
        <v>21018386.613956477</v>
      </c>
      <c r="AM5" s="97">
        <f t="shared" ref="AM5:AM60" si="23">AI5*(AM$1)</f>
        <v>20017511.060910936</v>
      </c>
      <c r="AN5" s="97">
        <f t="shared" ref="AN5:AN60" si="24">AJ5*(AN$1)</f>
        <v>19016635.507865384</v>
      </c>
      <c r="AO5" s="97">
        <f t="shared" ref="AO5:AO60" si="25">AK5*(AO$1)</f>
        <v>18015759.954819832</v>
      </c>
      <c r="AP5" s="97">
        <f t="shared" ref="AP5:AP60" si="26">AL5*(AP$1)</f>
        <v>21054238.608323954</v>
      </c>
      <c r="AQ5" s="97">
        <f t="shared" ref="AQ5:AQ60" si="27">AM5*(AQ$1)</f>
        <v>20051655.817451388</v>
      </c>
      <c r="AR5" s="97">
        <f t="shared" ref="AR5:AR60" si="28">AN5*(AR$1)</f>
        <v>19049073.026578814</v>
      </c>
      <c r="AS5" s="97">
        <f t="shared" ref="AS5:AS60" si="29">AO5*(AS$1)</f>
        <v>18046490.23570624</v>
      </c>
      <c r="AT5" s="97">
        <f t="shared" ref="AT5:BA5" si="30">AP5*(AT$1)</f>
        <v>21398683.324580349</v>
      </c>
      <c r="AU5" s="97">
        <f t="shared" si="30"/>
        <v>20379698.404362243</v>
      </c>
      <c r="AV5" s="97">
        <f t="shared" si="30"/>
        <v>19360713.484144125</v>
      </c>
      <c r="AW5" s="97">
        <f t="shared" si="30"/>
        <v>18341728.563926008</v>
      </c>
      <c r="AX5" s="97">
        <f t="shared" si="30"/>
        <v>21835457.991763346</v>
      </c>
      <c r="AY5" s="97">
        <f t="shared" si="30"/>
        <v>20795674.277869862</v>
      </c>
      <c r="AZ5" s="97">
        <f t="shared" si="30"/>
        <v>19755890.563976362</v>
      </c>
      <c r="BA5" s="97">
        <f t="shared" si="30"/>
        <v>18716106.850082863</v>
      </c>
      <c r="BB5" s="142">
        <f t="shared" ref="BB5:BB62" si="31">AX5*(BB$1)</f>
        <v>22386250.853379197</v>
      </c>
      <c r="BC5" s="142">
        <f t="shared" ref="BC5:BC62" si="32">AY5*(BC$1)</f>
        <v>21320238.907980196</v>
      </c>
      <c r="BD5" s="142">
        <f t="shared" ref="BD5:BD62" si="33">AZ5*(BD$1)</f>
        <v>20254226.96258118</v>
      </c>
      <c r="BE5" s="142">
        <f t="shared" ref="BE5:BE62" si="34">BA5*(BE$1)</f>
        <v>19188215.017182164</v>
      </c>
      <c r="BF5" s="154">
        <f t="shared" ref="BF5:BF62" si="35">BB5*(BF$1)</f>
        <v>22781153.932078704</v>
      </c>
      <c r="BG5" s="154">
        <f t="shared" ref="BG5:BG62" si="36">BC5*(BG$1)</f>
        <v>21696337.078170203</v>
      </c>
      <c r="BH5" s="154">
        <f t="shared" ref="BH5:BI62" si="37">BD5*(BH$1)</f>
        <v>20611520.224261686</v>
      </c>
      <c r="BI5" s="154">
        <f t="shared" si="37"/>
        <v>19415032.415091079</v>
      </c>
      <c r="BJ5" s="203">
        <f t="shared" ref="BJ5:BJ62" si="38">BF5*(BJ$1)</f>
        <v>23050442.245327726</v>
      </c>
      <c r="BK5" s="203">
        <f t="shared" ref="BK5:BK62" si="39">BG5*(BK$1)</f>
        <v>21952802.138407368</v>
      </c>
      <c r="BL5" s="203">
        <f t="shared" ref="BL5:BL62" si="40">BH5*(BL$1)</f>
        <v>20855162.031486992</v>
      </c>
      <c r="BM5" s="203">
        <f t="shared" ref="BM5:BM62" si="41">BI5*(BM$1)</f>
        <v>19644530.944723196</v>
      </c>
      <c r="BN5" s="207">
        <f t="shared" ref="BN5:BN62" si="42">BJ5*(BN$1)</f>
        <v>24484610.543469559</v>
      </c>
      <c r="BO5" s="207">
        <f t="shared" ref="BO5:BO62" si="43">BK5*(BO$1)</f>
        <v>23318676.708066259</v>
      </c>
      <c r="BP5" s="207">
        <f t="shared" ref="BP5:BP62" si="44">BL5*(BP$1)</f>
        <v>22152742.872662935</v>
      </c>
      <c r="BQ5" s="207">
        <f t="shared" ref="BQ5:BQ62" si="45">BM5*(BQ$1)</f>
        <v>20866787.906777751</v>
      </c>
      <c r="BR5" s="203">
        <f t="shared" ref="BR5:BR62" si="46">BN5*(BR$1)</f>
        <v>26381048.260344595</v>
      </c>
      <c r="BS5" s="203">
        <f t="shared" ref="BS5:BS62" si="47">BO5*(BS$1)</f>
        <v>25124807.866994865</v>
      </c>
      <c r="BT5" s="203">
        <f t="shared" ref="BT5:BT62" si="48">BP5*(BT$1)</f>
        <v>23868567.47364511</v>
      </c>
      <c r="BU5" s="203">
        <f t="shared" ref="BU5:BU62" si="49">BQ5*(BU$1)</f>
        <v>22483009.80037041</v>
      </c>
      <c r="BV5" s="154">
        <f>BR5*(BV$1)</f>
        <v>27236096.195148118</v>
      </c>
      <c r="BW5" s="154">
        <f t="shared" ref="BW5:BW62" si="50">BS5*(BW$1)</f>
        <v>25939139.233474411</v>
      </c>
      <c r="BX5" s="154">
        <f t="shared" ref="BX5:BX62" si="51">BT5*(BX$1)</f>
        <v>24642182.271800678</v>
      </c>
      <c r="BY5" s="154">
        <f t="shared" ref="BY5:BY62" si="52">BU5*(BY$1)</f>
        <v>23211716.670099739</v>
      </c>
      <c r="BZ5" s="203">
        <f>BV5*(BZ$1)</f>
        <v>27943664.074109148</v>
      </c>
      <c r="CA5" s="203">
        <f t="shared" ref="CA5:CA62" si="53">BW5*(CA$1)</f>
        <v>26613013.40391349</v>
      </c>
      <c r="CB5" s="203">
        <f t="shared" ref="CB5:CB62" si="54">BX5*(CB$1)</f>
        <v>25282362.733717803</v>
      </c>
      <c r="CC5" s="203">
        <f t="shared" ref="CC5:CC62" si="55">BY5*(CC$1)</f>
        <v>23814734.995987158</v>
      </c>
      <c r="CD5" s="154">
        <f>BZ5*(CD$1)</f>
        <v>28696733.002711859</v>
      </c>
      <c r="CE5" s="154">
        <f t="shared" ref="CE5:CE62" si="56">CA5*(CE$1)</f>
        <v>27330221.907344643</v>
      </c>
      <c r="CF5" s="154">
        <f t="shared" ref="CF5:CF62" si="57">CB5*(CF$1)</f>
        <v>25963710.811977398</v>
      </c>
      <c r="CG5" s="154">
        <f t="shared" ref="CG5:CG62" si="58">CC5*(CG$1)</f>
        <v>24456531.179938648</v>
      </c>
    </row>
    <row r="6" spans="1:85" ht="15" x14ac:dyDescent="0.4">
      <c r="A6" s="4" t="s">
        <v>3</v>
      </c>
      <c r="B6" s="30">
        <f t="shared" ref="B6:B36" si="59">0.105*VLOOKUP($A6,fund_table,MATCH(B$3,year_row,0),0)</f>
        <v>3407415.9</v>
      </c>
      <c r="C6" s="30">
        <f t="shared" si="2"/>
        <v>3245158</v>
      </c>
      <c r="D6" s="30">
        <f t="shared" si="3"/>
        <v>3082900.1</v>
      </c>
      <c r="E6" s="30">
        <f t="shared" ref="E6:E36" si="60">0.09*VLOOKUP($A6,fund_table,MATCH(E$3,year_row,0),0)</f>
        <v>2920642.1999999997</v>
      </c>
      <c r="F6" s="28">
        <f t="shared" si="4"/>
        <v>3451890.2039156631</v>
      </c>
      <c r="G6" s="28">
        <f t="shared" si="5"/>
        <v>3287514.4799196795</v>
      </c>
      <c r="H6" s="28">
        <f t="shared" si="6"/>
        <v>3123138.7559236954</v>
      </c>
      <c r="I6" s="28">
        <f t="shared" si="7"/>
        <v>2958763.0319277109</v>
      </c>
      <c r="J6" s="30">
        <f t="shared" si="8"/>
        <v>3573955.0626626508</v>
      </c>
      <c r="K6" s="30">
        <f t="shared" si="9"/>
        <v>3403766.7263453822</v>
      </c>
      <c r="L6" s="30">
        <f t="shared" si="10"/>
        <v>3233578.390028113</v>
      </c>
      <c r="M6" s="30">
        <f t="shared" si="11"/>
        <v>3063390.0537108434</v>
      </c>
      <c r="N6" s="28">
        <f t="shared" ref="N6:N55" si="61">J6*(N$1)</f>
        <v>3704589.7776641571</v>
      </c>
      <c r="O6" s="28">
        <f t="shared" ref="O6:O55" si="62">K6*(O$1)</f>
        <v>3528180.7406325308</v>
      </c>
      <c r="P6" s="28">
        <f t="shared" si="12"/>
        <v>3351771.7036009044</v>
      </c>
      <c r="Q6" s="28">
        <f t="shared" si="13"/>
        <v>3175362.6665692772</v>
      </c>
      <c r="R6" s="30">
        <f t="shared" ref="R6:R55" si="63">N6*(R$1)</f>
        <v>3704589.7776641571</v>
      </c>
      <c r="S6" s="30">
        <f t="shared" si="14"/>
        <v>3528180.7406325308</v>
      </c>
      <c r="T6" s="30">
        <f t="shared" si="15"/>
        <v>3351771.7036009044</v>
      </c>
      <c r="U6" s="30">
        <f t="shared" ref="U6:U55" si="64">Q6*(U$1)</f>
        <v>3175362.6665692772</v>
      </c>
      <c r="V6" s="97">
        <f t="shared" ref="V6:V55" si="65">R6*(V$1)</f>
        <v>3748014.5198735548</v>
      </c>
      <c r="W6" s="97">
        <f t="shared" si="16"/>
        <v>3569537.6379748145</v>
      </c>
      <c r="X6" s="97">
        <f t="shared" si="17"/>
        <v>3391060.7560760737</v>
      </c>
      <c r="Y6" s="97">
        <f t="shared" si="18"/>
        <v>3212583.8741773325</v>
      </c>
      <c r="Z6" s="97">
        <f t="shared" ref="Z6:Z55" si="66">V6*(Z$1)</f>
        <v>3880139.5247806013</v>
      </c>
      <c r="AA6" s="97">
        <f t="shared" si="19"/>
        <v>3695370.9759815256</v>
      </c>
      <c r="AB6" s="97">
        <f t="shared" si="20"/>
        <v>3510602.427182449</v>
      </c>
      <c r="AC6" s="97">
        <f t="shared" ref="AC6:AC55" si="67">Y6*(AC$1)</f>
        <v>3325833.8783833724</v>
      </c>
      <c r="AD6" s="30">
        <f t="shared" ref="AD6:AD62" si="68">Z6*(AD$1)</f>
        <v>3964041.4734219634</v>
      </c>
      <c r="AE6" s="30">
        <f t="shared" ref="AE6:AE62" si="69">AA6*(AE$1)</f>
        <v>3775277.5937352036</v>
      </c>
      <c r="AF6" s="30">
        <f t="shared" ref="AF6:AF62" si="70">AB6*(AF$1)</f>
        <v>3586513.7140484434</v>
      </c>
      <c r="AG6" s="30">
        <f t="shared" ref="AG6:AG62" si="71">AC6*(AG$1)</f>
        <v>3397749.8343616826</v>
      </c>
      <c r="AH6" s="30">
        <f t="shared" ref="AH6:AH60" si="72">AD6*(AH$1)</f>
        <v>4002239.4806771907</v>
      </c>
      <c r="AI6" s="30">
        <f t="shared" ref="AI6:AI60" si="73">AE6*(AI$1)</f>
        <v>3811656.6482639918</v>
      </c>
      <c r="AJ6" s="30">
        <f t="shared" ref="AJ6:AJ60" si="74">AF6*(AJ$1)</f>
        <v>3621073.815850792</v>
      </c>
      <c r="AK6" s="30">
        <f t="shared" ref="AK6:AK60" si="75">AG6*(AK$1)</f>
        <v>3430490.9834375922</v>
      </c>
      <c r="AL6" s="97">
        <f t="shared" si="22"/>
        <v>4068850.3618800044</v>
      </c>
      <c r="AM6" s="97">
        <f t="shared" si="23"/>
        <v>3875095.5827428619</v>
      </c>
      <c r="AN6" s="97">
        <f t="shared" si="24"/>
        <v>3681340.8036057185</v>
      </c>
      <c r="AO6" s="97">
        <f t="shared" si="25"/>
        <v>3487586.0244685751</v>
      </c>
      <c r="AP6" s="97">
        <f t="shared" si="26"/>
        <v>4075790.7804257055</v>
      </c>
      <c r="AQ6" s="97">
        <f t="shared" si="27"/>
        <v>3881705.505167339</v>
      </c>
      <c r="AR6" s="97">
        <f t="shared" si="28"/>
        <v>3687620.229908972</v>
      </c>
      <c r="AS6" s="97">
        <f t="shared" si="29"/>
        <v>3493534.9546506046</v>
      </c>
      <c r="AT6" s="97">
        <f t="shared" ref="AT6:AT62" si="76">AP6*(AT$1)</f>
        <v>4142470.2089721803</v>
      </c>
      <c r="AU6" s="97">
        <f t="shared" ref="AU6:AU62" si="77">AQ6*(AU$1)</f>
        <v>3945209.7228306481</v>
      </c>
      <c r="AV6" s="97">
        <f t="shared" ref="AV6:AV62" si="78">AR6*(AV$1)</f>
        <v>3747949.2366891159</v>
      </c>
      <c r="AW6" s="97">
        <f t="shared" ref="AW6:AW62" si="79">AS6*(AW$1)</f>
        <v>3550688.7505475827</v>
      </c>
      <c r="AX6" s="97">
        <f t="shared" ref="AX6:AX62" si="80">AT6*(AX$1)</f>
        <v>4227023.3573783236</v>
      </c>
      <c r="AY6" s="97">
        <f t="shared" ref="AY6:AY62" si="81">AU6*(AY$1)</f>
        <v>4025736.5308364988</v>
      </c>
      <c r="AZ6" s="97">
        <f t="shared" ref="AZ6:AZ62" si="82">AV6*(AZ$1)</f>
        <v>3824449.7042946741</v>
      </c>
      <c r="BA6" s="97">
        <f t="shared" ref="BA6:BA62" si="83">AW6*(BA$1)</f>
        <v>3623162.8777528484</v>
      </c>
      <c r="BB6" s="142">
        <f t="shared" si="31"/>
        <v>4333648.7504433868</v>
      </c>
      <c r="BC6" s="142">
        <f t="shared" si="32"/>
        <v>4127284.5242317975</v>
      </c>
      <c r="BD6" s="142">
        <f t="shared" si="33"/>
        <v>3920920.2980202078</v>
      </c>
      <c r="BE6" s="142">
        <f t="shared" si="34"/>
        <v>3714556.0718086171</v>
      </c>
      <c r="BF6" s="154">
        <f t="shared" si="35"/>
        <v>4410096.1754615894</v>
      </c>
      <c r="BG6" s="154">
        <f t="shared" si="36"/>
        <v>4200091.5956777046</v>
      </c>
      <c r="BH6" s="154">
        <f t="shared" si="37"/>
        <v>3990087.0158938193</v>
      </c>
      <c r="BI6" s="154">
        <f t="shared" si="37"/>
        <v>3758464.5824147342</v>
      </c>
      <c r="BJ6" s="203">
        <f t="shared" si="38"/>
        <v>4462226.4303159649</v>
      </c>
      <c r="BK6" s="203">
        <f t="shared" si="39"/>
        <v>4249739.4574437765</v>
      </c>
      <c r="BL6" s="203">
        <f t="shared" si="40"/>
        <v>4037252.4845715878</v>
      </c>
      <c r="BM6" s="203">
        <f t="shared" si="41"/>
        <v>3802892.120669479</v>
      </c>
      <c r="BN6" s="207">
        <f t="shared" si="42"/>
        <v>4739860.3089799173</v>
      </c>
      <c r="BO6" s="207">
        <f t="shared" si="43"/>
        <v>4514152.6752189687</v>
      </c>
      <c r="BP6" s="207">
        <f t="shared" si="44"/>
        <v>4288445.0414580209</v>
      </c>
      <c r="BQ6" s="207">
        <f t="shared" si="45"/>
        <v>4039503.0829525581</v>
      </c>
      <c r="BR6" s="203">
        <f t="shared" si="46"/>
        <v>5106982.7447936228</v>
      </c>
      <c r="BS6" s="203">
        <f t="shared" si="47"/>
        <v>4863793.0902796406</v>
      </c>
      <c r="BT6" s="203">
        <f t="shared" si="48"/>
        <v>4620603.4357656585</v>
      </c>
      <c r="BU6" s="203">
        <f t="shared" si="49"/>
        <v>4352379.8587682731</v>
      </c>
      <c r="BV6" s="154">
        <f t="shared" ref="BV6:BV62" si="84">BR6*(BV$1)</f>
        <v>5272507.4428996099</v>
      </c>
      <c r="BW6" s="154">
        <f t="shared" si="50"/>
        <v>5021435.6599043906</v>
      </c>
      <c r="BX6" s="154">
        <f t="shared" si="51"/>
        <v>4770363.8769091703</v>
      </c>
      <c r="BY6" s="154">
        <f t="shared" si="52"/>
        <v>4493446.7857908178</v>
      </c>
      <c r="BZ6" s="203">
        <f t="shared" ref="BZ6:BZ62" si="85">BV6*(BZ$1)</f>
        <v>5409482.1723706899</v>
      </c>
      <c r="CA6" s="203">
        <f t="shared" si="53"/>
        <v>5151887.7832101807</v>
      </c>
      <c r="CB6" s="203">
        <f t="shared" si="54"/>
        <v>4894293.3940496715</v>
      </c>
      <c r="CC6" s="203">
        <f t="shared" si="55"/>
        <v>4610182.2602386083</v>
      </c>
      <c r="CD6" s="154">
        <f t="shared" ref="CD6:CD62" si="86">BZ6*(CD$1)</f>
        <v>5555265.2355022393</v>
      </c>
      <c r="CE6" s="154">
        <f t="shared" si="56"/>
        <v>5290728.795716418</v>
      </c>
      <c r="CF6" s="154">
        <f t="shared" si="57"/>
        <v>5026192.3559305975</v>
      </c>
      <c r="CG6" s="154">
        <f t="shared" si="58"/>
        <v>4734424.5573895341</v>
      </c>
    </row>
    <row r="7" spans="1:85" ht="15" x14ac:dyDescent="0.4">
      <c r="A7" s="4" t="s">
        <v>4</v>
      </c>
      <c r="B7" s="30">
        <f t="shared" si="59"/>
        <v>17044390.23</v>
      </c>
      <c r="C7" s="30">
        <f t="shared" si="2"/>
        <v>16232752.600000001</v>
      </c>
      <c r="D7" s="30">
        <f t="shared" si="3"/>
        <v>15421114.970000001</v>
      </c>
      <c r="E7" s="30">
        <f t="shared" si="60"/>
        <v>14609477.34</v>
      </c>
      <c r="F7" s="28">
        <f t="shared" si="4"/>
        <v>17266857.170753017</v>
      </c>
      <c r="G7" s="28">
        <f t="shared" si="5"/>
        <v>16444625.876907635</v>
      </c>
      <c r="H7" s="28">
        <f t="shared" si="6"/>
        <v>15622394.583062252</v>
      </c>
      <c r="I7" s="28">
        <f t="shared" si="7"/>
        <v>14800163.28921687</v>
      </c>
      <c r="J7" s="30">
        <f t="shared" si="8"/>
        <v>17877443.358912051</v>
      </c>
      <c r="K7" s="30">
        <f t="shared" si="9"/>
        <v>17026136.532297194</v>
      </c>
      <c r="L7" s="30">
        <f t="shared" si="10"/>
        <v>16174829.705682332</v>
      </c>
      <c r="M7" s="30">
        <f t="shared" si="11"/>
        <v>15323522.879067473</v>
      </c>
      <c r="N7" s="28">
        <f t="shared" si="61"/>
        <v>18530897.215270035</v>
      </c>
      <c r="O7" s="28">
        <f t="shared" si="62"/>
        <v>17648473.538352415</v>
      </c>
      <c r="P7" s="28">
        <f t="shared" si="12"/>
        <v>16766049.861434793</v>
      </c>
      <c r="Q7" s="28">
        <f t="shared" si="13"/>
        <v>15883626.184517173</v>
      </c>
      <c r="R7" s="30">
        <f t="shared" si="63"/>
        <v>18530897.215270035</v>
      </c>
      <c r="S7" s="30">
        <f t="shared" si="14"/>
        <v>17648473.538352415</v>
      </c>
      <c r="T7" s="30">
        <f t="shared" si="15"/>
        <v>16766049.861434793</v>
      </c>
      <c r="U7" s="30">
        <f t="shared" si="64"/>
        <v>15883626.184517173</v>
      </c>
      <c r="V7" s="97">
        <f t="shared" si="65"/>
        <v>18748114.095620371</v>
      </c>
      <c r="W7" s="97">
        <f t="shared" si="16"/>
        <v>17855346.757733688</v>
      </c>
      <c r="X7" s="97">
        <f t="shared" si="17"/>
        <v>16962579.419847</v>
      </c>
      <c r="Y7" s="97">
        <f t="shared" si="18"/>
        <v>16069812.081960317</v>
      </c>
      <c r="Z7" s="97">
        <f t="shared" si="66"/>
        <v>19409022.598975178</v>
      </c>
      <c r="AA7" s="97">
        <f t="shared" si="19"/>
        <v>18484783.427595407</v>
      </c>
      <c r="AB7" s="97">
        <f t="shared" si="20"/>
        <v>17560544.256215632</v>
      </c>
      <c r="AC7" s="97">
        <f t="shared" si="67"/>
        <v>16636305.084835865</v>
      </c>
      <c r="AD7" s="30">
        <f t="shared" si="68"/>
        <v>19828712.356747568</v>
      </c>
      <c r="AE7" s="30">
        <f t="shared" si="69"/>
        <v>18884487.958807208</v>
      </c>
      <c r="AF7" s="30">
        <f t="shared" si="70"/>
        <v>17940263.560866844</v>
      </c>
      <c r="AG7" s="30">
        <f t="shared" si="71"/>
        <v>16996039.162926484</v>
      </c>
      <c r="AH7" s="30">
        <f t="shared" si="72"/>
        <v>20019784.348184384</v>
      </c>
      <c r="AI7" s="30">
        <f t="shared" si="73"/>
        <v>19066461.283985127</v>
      </c>
      <c r="AJ7" s="30">
        <f t="shared" si="74"/>
        <v>18113138.219785869</v>
      </c>
      <c r="AK7" s="30">
        <f t="shared" si="75"/>
        <v>17159815.155586611</v>
      </c>
      <c r="AL7" s="97">
        <f t="shared" si="22"/>
        <v>20352981.670174025</v>
      </c>
      <c r="AM7" s="97">
        <f t="shared" si="23"/>
        <v>19383792.066832405</v>
      </c>
      <c r="AN7" s="97">
        <f t="shared" si="24"/>
        <v>18414602.463490784</v>
      </c>
      <c r="AO7" s="97">
        <f t="shared" si="25"/>
        <v>17445412.86014916</v>
      </c>
      <c r="AP7" s="97">
        <f t="shared" si="26"/>
        <v>20387698.653813288</v>
      </c>
      <c r="AQ7" s="97">
        <f t="shared" si="27"/>
        <v>19416855.860774558</v>
      </c>
      <c r="AR7" s="97">
        <f t="shared" si="28"/>
        <v>18446013.067735828</v>
      </c>
      <c r="AS7" s="97">
        <f t="shared" si="29"/>
        <v>17475170.274697099</v>
      </c>
      <c r="AT7" s="97">
        <f t="shared" si="76"/>
        <v>20721238.859591961</v>
      </c>
      <c r="AU7" s="97">
        <f t="shared" si="77"/>
        <v>19734513.199611388</v>
      </c>
      <c r="AV7" s="97">
        <f t="shared" si="78"/>
        <v>18747787.539630815</v>
      </c>
      <c r="AW7" s="97">
        <f t="shared" si="79"/>
        <v>17761061.879650246</v>
      </c>
      <c r="AX7" s="97">
        <f t="shared" si="80"/>
        <v>21144186.013360132</v>
      </c>
      <c r="AY7" s="97">
        <f t="shared" si="81"/>
        <v>20137320.01272393</v>
      </c>
      <c r="AZ7" s="97">
        <f t="shared" si="82"/>
        <v>19130454.012087733</v>
      </c>
      <c r="BA7" s="97">
        <f t="shared" si="83"/>
        <v>18123588.011451535</v>
      </c>
      <c r="BB7" s="142">
        <f t="shared" si="31"/>
        <v>21677541.747195873</v>
      </c>
      <c r="BC7" s="142">
        <f t="shared" si="32"/>
        <v>20645277.854472257</v>
      </c>
      <c r="BD7" s="142">
        <f t="shared" si="33"/>
        <v>19613013.961748641</v>
      </c>
      <c r="BE7" s="142">
        <f t="shared" si="34"/>
        <v>18580750.069025028</v>
      </c>
      <c r="BF7" s="154">
        <f t="shared" si="35"/>
        <v>22059942.892911281</v>
      </c>
      <c r="BG7" s="154">
        <f t="shared" si="36"/>
        <v>21009469.421820264</v>
      </c>
      <c r="BH7" s="154">
        <f t="shared" si="37"/>
        <v>19958995.950729247</v>
      </c>
      <c r="BI7" s="154">
        <f t="shared" si="37"/>
        <v>18800386.829300977</v>
      </c>
      <c r="BJ7" s="203">
        <f t="shared" si="38"/>
        <v>22320706.01446839</v>
      </c>
      <c r="BK7" s="203">
        <f t="shared" si="39"/>
        <v>21257815.251874655</v>
      </c>
      <c r="BL7" s="203">
        <f t="shared" si="40"/>
        <v>20194924.489280917</v>
      </c>
      <c r="BM7" s="203">
        <f t="shared" si="41"/>
        <v>19022619.841412038</v>
      </c>
      <c r="BN7" s="207">
        <f t="shared" si="42"/>
        <v>23709471.080986064</v>
      </c>
      <c r="BO7" s="207">
        <f t="shared" si="43"/>
        <v>22580448.648558151</v>
      </c>
      <c r="BP7" s="207">
        <f t="shared" si="44"/>
        <v>21451426.216130238</v>
      </c>
      <c r="BQ7" s="207">
        <f t="shared" si="45"/>
        <v>20206182.309923325</v>
      </c>
      <c r="BR7" s="203">
        <f t="shared" si="46"/>
        <v>25545870.934082046</v>
      </c>
      <c r="BS7" s="203">
        <f t="shared" si="47"/>
        <v>24329400.889601946</v>
      </c>
      <c r="BT7" s="203">
        <f t="shared" si="48"/>
        <v>23112930.845121842</v>
      </c>
      <c r="BU7" s="203">
        <f t="shared" si="49"/>
        <v>21771237.477068394</v>
      </c>
      <c r="BV7" s="154">
        <f t="shared" si="84"/>
        <v>26373849.563641585</v>
      </c>
      <c r="BW7" s="154">
        <f t="shared" si="50"/>
        <v>25117951.965372935</v>
      </c>
      <c r="BX7" s="154">
        <f t="shared" si="51"/>
        <v>23862054.367104284</v>
      </c>
      <c r="BY7" s="154">
        <f t="shared" si="52"/>
        <v>22476874.776207365</v>
      </c>
      <c r="BZ7" s="203">
        <f t="shared" si="85"/>
        <v>27059017.095070247</v>
      </c>
      <c r="CA7" s="203">
        <f t="shared" si="53"/>
        <v>25770492.471495468</v>
      </c>
      <c r="CB7" s="203">
        <f t="shared" si="54"/>
        <v>24481967.847920693</v>
      </c>
      <c r="CC7" s="203">
        <f t="shared" si="55"/>
        <v>23060802.608489987</v>
      </c>
      <c r="CD7" s="154">
        <f t="shared" si="86"/>
        <v>27788245.193389226</v>
      </c>
      <c r="CE7" s="154">
        <f t="shared" si="56"/>
        <v>26464995.42227545</v>
      </c>
      <c r="CF7" s="154">
        <f t="shared" si="57"/>
        <v>25141745.651161674</v>
      </c>
      <c r="CG7" s="154">
        <f t="shared" si="58"/>
        <v>23682280.66043897</v>
      </c>
    </row>
    <row r="8" spans="1:85" ht="15" x14ac:dyDescent="0.4">
      <c r="A8" s="4" t="s">
        <v>5</v>
      </c>
      <c r="B8" s="30">
        <f t="shared" si="59"/>
        <v>10857044.414999999</v>
      </c>
      <c r="C8" s="30">
        <f t="shared" si="2"/>
        <v>10340042.300000001</v>
      </c>
      <c r="D8" s="30">
        <f t="shared" si="3"/>
        <v>9823040.1850000005</v>
      </c>
      <c r="E8" s="30">
        <f t="shared" si="60"/>
        <v>9306038.0700000003</v>
      </c>
      <c r="F8" s="28">
        <f t="shared" si="4"/>
        <v>10998752.826039158</v>
      </c>
      <c r="G8" s="28">
        <f t="shared" si="5"/>
        <v>10475002.691465866</v>
      </c>
      <c r="H8" s="28">
        <f t="shared" si="6"/>
        <v>9951252.556892572</v>
      </c>
      <c r="I8" s="28">
        <f t="shared" si="7"/>
        <v>9427502.4223192781</v>
      </c>
      <c r="J8" s="30">
        <f t="shared" si="8"/>
        <v>11387687.911106627</v>
      </c>
      <c r="K8" s="30">
        <f t="shared" si="9"/>
        <v>10845417.058196789</v>
      </c>
      <c r="L8" s="30">
        <f t="shared" si="10"/>
        <v>10303146.20528695</v>
      </c>
      <c r="M8" s="30">
        <f t="shared" si="11"/>
        <v>9760875.3523771092</v>
      </c>
      <c r="N8" s="28">
        <f t="shared" si="61"/>
        <v>11803929.116916643</v>
      </c>
      <c r="O8" s="28">
        <f t="shared" si="62"/>
        <v>11241837.254206328</v>
      </c>
      <c r="P8" s="28">
        <f t="shared" si="12"/>
        <v>10679745.391496012</v>
      </c>
      <c r="Q8" s="28">
        <f t="shared" si="13"/>
        <v>10117653.528785694</v>
      </c>
      <c r="R8" s="30">
        <f t="shared" si="63"/>
        <v>11803929.116916643</v>
      </c>
      <c r="S8" s="30">
        <f t="shared" si="14"/>
        <v>11241837.254206328</v>
      </c>
      <c r="T8" s="30">
        <f t="shared" si="15"/>
        <v>10679745.391496012</v>
      </c>
      <c r="U8" s="30">
        <f t="shared" si="64"/>
        <v>10117653.528785694</v>
      </c>
      <c r="V8" s="97">
        <f t="shared" si="65"/>
        <v>11942293.310990328</v>
      </c>
      <c r="W8" s="97">
        <f t="shared" si="16"/>
        <v>11373612.677133646</v>
      </c>
      <c r="X8" s="97">
        <f t="shared" si="17"/>
        <v>10804932.043276964</v>
      </c>
      <c r="Y8" s="97">
        <f t="shared" si="18"/>
        <v>10236251.40942028</v>
      </c>
      <c r="Z8" s="97">
        <f t="shared" si="66"/>
        <v>12363283.025397629</v>
      </c>
      <c r="AA8" s="97">
        <f t="shared" si="19"/>
        <v>11774555.262283457</v>
      </c>
      <c r="AB8" s="97">
        <f t="shared" si="20"/>
        <v>11185827.499169284</v>
      </c>
      <c r="AC8" s="97">
        <f t="shared" si="67"/>
        <v>10597099.73605511</v>
      </c>
      <c r="AD8" s="30">
        <f t="shared" si="68"/>
        <v>12630619.684507634</v>
      </c>
      <c r="AE8" s="30">
        <f t="shared" si="69"/>
        <v>12029161.604292987</v>
      </c>
      <c r="AF8" s="30">
        <f t="shared" si="70"/>
        <v>11427703.524078337</v>
      </c>
      <c r="AG8" s="30">
        <f t="shared" si="71"/>
        <v>10826245.443863686</v>
      </c>
      <c r="AH8" s="30">
        <f t="shared" si="72"/>
        <v>12752329.94046274</v>
      </c>
      <c r="AI8" s="30">
        <f t="shared" si="73"/>
        <v>12145076.13377404</v>
      </c>
      <c r="AJ8" s="30">
        <f t="shared" si="74"/>
        <v>11537822.327085339</v>
      </c>
      <c r="AK8" s="30">
        <f t="shared" si="75"/>
        <v>10930568.520396635</v>
      </c>
      <c r="AL8" s="97">
        <f t="shared" si="22"/>
        <v>12964572.096091947</v>
      </c>
      <c r="AM8" s="97">
        <f t="shared" si="23"/>
        <v>12347211.520087572</v>
      </c>
      <c r="AN8" s="97">
        <f t="shared" si="24"/>
        <v>11729850.944083193</v>
      </c>
      <c r="AO8" s="97">
        <f t="shared" si="25"/>
        <v>11112490.368078813</v>
      </c>
      <c r="AP8" s="97">
        <f t="shared" si="26"/>
        <v>12986686.341790386</v>
      </c>
      <c r="AQ8" s="97">
        <f t="shared" si="27"/>
        <v>12368272.706467038</v>
      </c>
      <c r="AR8" s="97">
        <f t="shared" si="28"/>
        <v>11749859.071143685</v>
      </c>
      <c r="AS8" s="97">
        <f t="shared" si="29"/>
        <v>11131445.435820332</v>
      </c>
      <c r="AT8" s="97">
        <f t="shared" si="76"/>
        <v>13199146.909722786</v>
      </c>
      <c r="AU8" s="97">
        <f t="shared" si="77"/>
        <v>12570616.104497897</v>
      </c>
      <c r="AV8" s="97">
        <f t="shared" si="78"/>
        <v>11942085.299273001</v>
      </c>
      <c r="AW8" s="97">
        <f t="shared" si="79"/>
        <v>11313554.494048104</v>
      </c>
      <c r="AX8" s="97">
        <f t="shared" si="80"/>
        <v>13468558.485713139</v>
      </c>
      <c r="AY8" s="97">
        <f t="shared" si="81"/>
        <v>12827198.557822041</v>
      </c>
      <c r="AZ8" s="97">
        <f t="shared" si="82"/>
        <v>12185838.62993094</v>
      </c>
      <c r="BA8" s="97">
        <f t="shared" si="83"/>
        <v>11544478.702039834</v>
      </c>
      <c r="BB8" s="142">
        <f t="shared" si="31"/>
        <v>13808298.823332103</v>
      </c>
      <c r="BC8" s="142">
        <f t="shared" si="32"/>
        <v>13150760.784125816</v>
      </c>
      <c r="BD8" s="142">
        <f t="shared" si="33"/>
        <v>12493222.744919525</v>
      </c>
      <c r="BE8" s="142">
        <f t="shared" si="34"/>
        <v>11835684.705713233</v>
      </c>
      <c r="BF8" s="154">
        <f t="shared" si="35"/>
        <v>14051883.144469714</v>
      </c>
      <c r="BG8" s="154">
        <f t="shared" si="36"/>
        <v>13382745.851875922</v>
      </c>
      <c r="BH8" s="154">
        <f t="shared" si="37"/>
        <v>12713608.559282126</v>
      </c>
      <c r="BI8" s="154">
        <f t="shared" si="37"/>
        <v>11975590.330338366</v>
      </c>
      <c r="BJ8" s="203">
        <f t="shared" si="38"/>
        <v>14217985.701049093</v>
      </c>
      <c r="BK8" s="203">
        <f t="shared" si="39"/>
        <v>13540938.762903901</v>
      </c>
      <c r="BL8" s="203">
        <f t="shared" si="40"/>
        <v>12863891.824758707</v>
      </c>
      <c r="BM8" s="203">
        <f t="shared" si="41"/>
        <v>12117149.73201894</v>
      </c>
      <c r="BN8" s="207">
        <f t="shared" si="42"/>
        <v>15102610.132062417</v>
      </c>
      <c r="BO8" s="207">
        <f t="shared" si="43"/>
        <v>14383438.221011827</v>
      </c>
      <c r="BP8" s="207">
        <f t="shared" si="44"/>
        <v>13664266.309961237</v>
      </c>
      <c r="BQ8" s="207">
        <f t="shared" si="45"/>
        <v>12871062.903165227</v>
      </c>
      <c r="BR8" s="203">
        <f t="shared" si="46"/>
        <v>16272371.824896092</v>
      </c>
      <c r="BS8" s="203">
        <f t="shared" si="47"/>
        <v>15497496.976091517</v>
      </c>
      <c r="BT8" s="203">
        <f t="shared" si="48"/>
        <v>14722622.127286945</v>
      </c>
      <c r="BU8" s="203">
        <f t="shared" si="49"/>
        <v>13867981.72703208</v>
      </c>
      <c r="BV8" s="154">
        <f t="shared" si="84"/>
        <v>16799782.934034888</v>
      </c>
      <c r="BW8" s="154">
        <f t="shared" si="50"/>
        <v>15999793.270509418</v>
      </c>
      <c r="BX8" s="154">
        <f t="shared" si="51"/>
        <v>15199803.60698395</v>
      </c>
      <c r="BY8" s="154">
        <f t="shared" si="52"/>
        <v>14317463.075103307</v>
      </c>
      <c r="BZ8" s="203">
        <f t="shared" si="85"/>
        <v>17236225.318893198</v>
      </c>
      <c r="CA8" s="203">
        <f t="shared" si="53"/>
        <v>16415452.684660191</v>
      </c>
      <c r="CB8" s="203">
        <f t="shared" si="54"/>
        <v>15594680.050427184</v>
      </c>
      <c r="CC8" s="203">
        <f t="shared" si="55"/>
        <v>14689417.150590762</v>
      </c>
      <c r="CD8" s="154">
        <f t="shared" si="86"/>
        <v>17700733.684711993</v>
      </c>
      <c r="CE8" s="154">
        <f t="shared" si="56"/>
        <v>16857841.604487617</v>
      </c>
      <c r="CF8" s="154">
        <f t="shared" si="57"/>
        <v>16014949.524263237</v>
      </c>
      <c r="CG8" s="154">
        <f t="shared" si="58"/>
        <v>15085290.204534436</v>
      </c>
    </row>
    <row r="9" spans="1:85" ht="15" x14ac:dyDescent="0.4">
      <c r="A9" s="4" t="s">
        <v>6</v>
      </c>
      <c r="B9" s="30">
        <f t="shared" si="59"/>
        <v>118748724.88499999</v>
      </c>
      <c r="C9" s="30">
        <f t="shared" si="2"/>
        <v>113094023.7</v>
      </c>
      <c r="D9" s="30">
        <f t="shared" si="3"/>
        <v>107439322.515</v>
      </c>
      <c r="E9" s="30">
        <f t="shared" si="60"/>
        <v>101784621.33</v>
      </c>
      <c r="F9" s="28">
        <f t="shared" si="4"/>
        <v>120298658.04112953</v>
      </c>
      <c r="G9" s="28">
        <f t="shared" si="5"/>
        <v>114570150.51536147</v>
      </c>
      <c r="H9" s="28">
        <f t="shared" si="6"/>
        <v>108841642.98959339</v>
      </c>
      <c r="I9" s="28">
        <f t="shared" si="7"/>
        <v>103113135.46382532</v>
      </c>
      <c r="J9" s="30">
        <f t="shared" si="8"/>
        <v>124552628.42656808</v>
      </c>
      <c r="K9" s="30">
        <f t="shared" si="9"/>
        <v>118621550.88244581</v>
      </c>
      <c r="L9" s="30">
        <f t="shared" si="10"/>
        <v>112690473.3383235</v>
      </c>
      <c r="M9" s="30">
        <f t="shared" si="11"/>
        <v>106759395.79420121</v>
      </c>
      <c r="N9" s="28">
        <f t="shared" si="61"/>
        <v>129105259.00863005</v>
      </c>
      <c r="O9" s="28">
        <f t="shared" si="62"/>
        <v>122957389.53202865</v>
      </c>
      <c r="P9" s="28">
        <f t="shared" si="12"/>
        <v>116809520.05542719</v>
      </c>
      <c r="Q9" s="28">
        <f t="shared" si="13"/>
        <v>110661650.57882576</v>
      </c>
      <c r="R9" s="30">
        <f t="shared" si="63"/>
        <v>129105259.00863005</v>
      </c>
      <c r="S9" s="30">
        <f t="shared" si="14"/>
        <v>122957389.53202865</v>
      </c>
      <c r="T9" s="30">
        <f t="shared" si="15"/>
        <v>116809520.05542719</v>
      </c>
      <c r="U9" s="30">
        <f t="shared" si="64"/>
        <v>110661650.57882576</v>
      </c>
      <c r="V9" s="97">
        <f t="shared" si="65"/>
        <v>130618614.85281268</v>
      </c>
      <c r="W9" s="97">
        <f t="shared" si="16"/>
        <v>124398680.81220259</v>
      </c>
      <c r="X9" s="97">
        <f t="shared" si="17"/>
        <v>118178746.77159244</v>
      </c>
      <c r="Y9" s="97">
        <f t="shared" si="18"/>
        <v>111958812.7309823</v>
      </c>
      <c r="Z9" s="97">
        <f t="shared" si="66"/>
        <v>135223182.16088215</v>
      </c>
      <c r="AA9" s="97">
        <f t="shared" si="19"/>
        <v>128783983.010364</v>
      </c>
      <c r="AB9" s="97">
        <f t="shared" si="20"/>
        <v>122344783.85984577</v>
      </c>
      <c r="AC9" s="97">
        <f t="shared" si="67"/>
        <v>115905584.70932758</v>
      </c>
      <c r="AD9" s="30">
        <f t="shared" si="68"/>
        <v>138147171.98452783</v>
      </c>
      <c r="AE9" s="30">
        <f t="shared" si="69"/>
        <v>131568735.22335988</v>
      </c>
      <c r="AF9" s="30">
        <f t="shared" si="70"/>
        <v>124990298.46219186</v>
      </c>
      <c r="AG9" s="30">
        <f t="shared" si="71"/>
        <v>118411861.70102388</v>
      </c>
      <c r="AH9" s="30">
        <f t="shared" si="72"/>
        <v>139478375.68487629</v>
      </c>
      <c r="AI9" s="30">
        <f t="shared" si="73"/>
        <v>132836548.27131082</v>
      </c>
      <c r="AJ9" s="30">
        <f t="shared" si="74"/>
        <v>126194720.85774525</v>
      </c>
      <c r="AK9" s="30">
        <f t="shared" si="75"/>
        <v>119552893.44417971</v>
      </c>
      <c r="AL9" s="97">
        <f t="shared" si="22"/>
        <v>141799770.38351002</v>
      </c>
      <c r="AM9" s="97">
        <f t="shared" si="23"/>
        <v>135047400.36524773</v>
      </c>
      <c r="AN9" s="97">
        <f t="shared" si="24"/>
        <v>128295030.3469853</v>
      </c>
      <c r="AO9" s="97">
        <f t="shared" si="25"/>
        <v>121542660.32872292</v>
      </c>
      <c r="AP9" s="97">
        <f t="shared" si="26"/>
        <v>142041644.54171601</v>
      </c>
      <c r="AQ9" s="97">
        <f t="shared" si="27"/>
        <v>135277756.70639628</v>
      </c>
      <c r="AR9" s="97">
        <f t="shared" si="28"/>
        <v>128513868.87107643</v>
      </c>
      <c r="AS9" s="97">
        <f t="shared" si="29"/>
        <v>121749981.03575663</v>
      </c>
      <c r="AT9" s="97">
        <f t="shared" si="76"/>
        <v>144365428.12092462</v>
      </c>
      <c r="AU9" s="97">
        <f t="shared" si="77"/>
        <v>137490883.92469019</v>
      </c>
      <c r="AV9" s="97">
        <f t="shared" si="78"/>
        <v>130616339.72845566</v>
      </c>
      <c r="AW9" s="97">
        <f t="shared" si="79"/>
        <v>123741795.53222115</v>
      </c>
      <c r="AX9" s="97">
        <f t="shared" si="80"/>
        <v>147312112.31003159</v>
      </c>
      <c r="AY9" s="97">
        <f t="shared" si="81"/>
        <v>140297249.81907779</v>
      </c>
      <c r="AZ9" s="97">
        <f t="shared" si="82"/>
        <v>133282387.32812387</v>
      </c>
      <c r="BA9" s="97">
        <f t="shared" si="83"/>
        <v>126267524.83716999</v>
      </c>
      <c r="BB9" s="142">
        <f t="shared" si="31"/>
        <v>151028016.04424796</v>
      </c>
      <c r="BC9" s="142">
        <f t="shared" si="32"/>
        <v>143836205.75642672</v>
      </c>
      <c r="BD9" s="142">
        <f t="shared" si="33"/>
        <v>136644395.46860534</v>
      </c>
      <c r="BE9" s="142">
        <f t="shared" si="34"/>
        <v>129452585.18078402</v>
      </c>
      <c r="BF9" s="154">
        <f t="shared" si="35"/>
        <v>153692215.10537609</v>
      </c>
      <c r="BG9" s="154">
        <f t="shared" si="36"/>
        <v>146373538.1955964</v>
      </c>
      <c r="BH9" s="154">
        <f t="shared" si="37"/>
        <v>139054861.28581652</v>
      </c>
      <c r="BI9" s="154">
        <f t="shared" si="37"/>
        <v>130982800.39345467</v>
      </c>
      <c r="BJ9" s="203">
        <f t="shared" si="38"/>
        <v>155508958.78256771</v>
      </c>
      <c r="BK9" s="203">
        <f t="shared" si="39"/>
        <v>148103770.26911223</v>
      </c>
      <c r="BL9" s="203">
        <f t="shared" si="40"/>
        <v>140698581.75565654</v>
      </c>
      <c r="BM9" s="203">
        <f t="shared" si="41"/>
        <v>132531103.76244773</v>
      </c>
      <c r="BN9" s="207">
        <f t="shared" si="42"/>
        <v>165184522.33095086</v>
      </c>
      <c r="BO9" s="207">
        <f t="shared" si="43"/>
        <v>157318592.69614381</v>
      </c>
      <c r="BP9" s="207">
        <f t="shared" si="44"/>
        <v>149452663.06133652</v>
      </c>
      <c r="BQ9" s="207">
        <f t="shared" si="45"/>
        <v>140777015.29468203</v>
      </c>
      <c r="BR9" s="203">
        <f t="shared" si="46"/>
        <v>177978769.46983188</v>
      </c>
      <c r="BS9" s="203">
        <f t="shared" si="47"/>
        <v>169503589.97126859</v>
      </c>
      <c r="BT9" s="203">
        <f t="shared" si="48"/>
        <v>161028410.47270507</v>
      </c>
      <c r="BU9" s="203">
        <f t="shared" si="49"/>
        <v>151680796.71280774</v>
      </c>
      <c r="BV9" s="154">
        <f t="shared" si="84"/>
        <v>183747318.83800867</v>
      </c>
      <c r="BW9" s="154">
        <f t="shared" si="50"/>
        <v>174997446.51238936</v>
      </c>
      <c r="BX9" s="154">
        <f t="shared" si="51"/>
        <v>166247574.18676978</v>
      </c>
      <c r="BY9" s="154">
        <f t="shared" si="52"/>
        <v>156596990.74341393</v>
      </c>
      <c r="BZ9" s="203">
        <f t="shared" si="85"/>
        <v>188520899.44675049</v>
      </c>
      <c r="CA9" s="203">
        <f t="shared" si="53"/>
        <v>179543713.75881016</v>
      </c>
      <c r="CB9" s="203">
        <f t="shared" si="54"/>
        <v>170566528.07086954</v>
      </c>
      <c r="CC9" s="203">
        <f t="shared" si="55"/>
        <v>160665231.64688584</v>
      </c>
      <c r="CD9" s="154">
        <f t="shared" si="86"/>
        <v>193601451.20936361</v>
      </c>
      <c r="CE9" s="154">
        <f t="shared" si="56"/>
        <v>184382334.48510838</v>
      </c>
      <c r="CF9" s="154">
        <f t="shared" si="57"/>
        <v>175163217.76085281</v>
      </c>
      <c r="CG9" s="154">
        <f t="shared" si="58"/>
        <v>164995085.94012186</v>
      </c>
    </row>
    <row r="10" spans="1:85" ht="15" x14ac:dyDescent="0.4">
      <c r="A10" s="4" t="s">
        <v>7</v>
      </c>
      <c r="B10" s="30">
        <f t="shared" si="59"/>
        <v>14435539.545</v>
      </c>
      <c r="C10" s="30">
        <f t="shared" si="2"/>
        <v>13748132.9</v>
      </c>
      <c r="D10" s="30">
        <f t="shared" si="3"/>
        <v>13060726.255000001</v>
      </c>
      <c r="E10" s="30">
        <f t="shared" si="60"/>
        <v>12373319.609999999</v>
      </c>
      <c r="F10" s="28">
        <f t="shared" si="4"/>
        <v>14623955.221792171</v>
      </c>
      <c r="G10" s="28">
        <f t="shared" si="5"/>
        <v>13927576.40170683</v>
      </c>
      <c r="H10" s="28">
        <f t="shared" si="6"/>
        <v>13231197.581621489</v>
      </c>
      <c r="I10" s="28">
        <f t="shared" si="7"/>
        <v>12534818.761536146</v>
      </c>
      <c r="J10" s="30">
        <f t="shared" si="8"/>
        <v>15141083.787018675</v>
      </c>
      <c r="K10" s="30">
        <f t="shared" si="9"/>
        <v>14420079.797160644</v>
      </c>
      <c r="L10" s="30">
        <f t="shared" si="10"/>
        <v>13699075.807302613</v>
      </c>
      <c r="M10" s="30">
        <f t="shared" si="11"/>
        <v>12978071.81744458</v>
      </c>
      <c r="N10" s="28">
        <f t="shared" si="61"/>
        <v>15694518.603811674</v>
      </c>
      <c r="O10" s="28">
        <f t="shared" si="62"/>
        <v>14947160.575058738</v>
      </c>
      <c r="P10" s="28">
        <f t="shared" si="12"/>
        <v>14199802.546305802</v>
      </c>
      <c r="Q10" s="28">
        <f t="shared" si="13"/>
        <v>13452444.517552864</v>
      </c>
      <c r="R10" s="30">
        <f t="shared" si="63"/>
        <v>15694518.603811674</v>
      </c>
      <c r="S10" s="30">
        <f t="shared" si="14"/>
        <v>14947160.575058738</v>
      </c>
      <c r="T10" s="30">
        <f t="shared" si="15"/>
        <v>14199802.546305802</v>
      </c>
      <c r="U10" s="30">
        <f t="shared" si="64"/>
        <v>13452444.517552864</v>
      </c>
      <c r="V10" s="97">
        <f t="shared" si="65"/>
        <v>15878487.805632677</v>
      </c>
      <c r="W10" s="97">
        <f t="shared" si="16"/>
        <v>15122369.338697787</v>
      </c>
      <c r="X10" s="97">
        <f t="shared" si="17"/>
        <v>14366250.8717629</v>
      </c>
      <c r="Y10" s="97">
        <f t="shared" si="18"/>
        <v>13610132.404828008</v>
      </c>
      <c r="Z10" s="97">
        <f t="shared" si="66"/>
        <v>16438236.245269585</v>
      </c>
      <c r="AA10" s="97">
        <f t="shared" si="19"/>
        <v>15655463.090732938</v>
      </c>
      <c r="AB10" s="97">
        <f t="shared" si="20"/>
        <v>14872689.936196292</v>
      </c>
      <c r="AC10" s="97">
        <f t="shared" si="67"/>
        <v>14089916.781659644</v>
      </c>
      <c r="AD10" s="30">
        <f t="shared" si="68"/>
        <v>16793687.394486487</v>
      </c>
      <c r="AE10" s="30">
        <f t="shared" si="69"/>
        <v>15993987.994749034</v>
      </c>
      <c r="AF10" s="30">
        <f t="shared" si="70"/>
        <v>15194288.595011583</v>
      </c>
      <c r="AG10" s="30">
        <f t="shared" si="71"/>
        <v>14394589.195274131</v>
      </c>
      <c r="AH10" s="30">
        <f t="shared" si="72"/>
        <v>16955513.499797855</v>
      </c>
      <c r="AI10" s="30">
        <f t="shared" si="73"/>
        <v>16148108.095045576</v>
      </c>
      <c r="AJ10" s="30">
        <f t="shared" si="74"/>
        <v>15340702.690293297</v>
      </c>
      <c r="AK10" s="30">
        <f t="shared" si="75"/>
        <v>14533297.285541018</v>
      </c>
      <c r="AL10" s="97">
        <f t="shared" si="22"/>
        <v>17237710.929741912</v>
      </c>
      <c r="AM10" s="97">
        <f t="shared" si="23"/>
        <v>16416867.552135153</v>
      </c>
      <c r="AN10" s="97">
        <f t="shared" si="24"/>
        <v>15596024.174528396</v>
      </c>
      <c r="AO10" s="97">
        <f t="shared" si="25"/>
        <v>14775180.796921637</v>
      </c>
      <c r="AP10" s="97">
        <f t="shared" si="26"/>
        <v>17267114.057894047</v>
      </c>
      <c r="AQ10" s="97">
        <f t="shared" si="27"/>
        <v>16444870.531327661</v>
      </c>
      <c r="AR10" s="97">
        <f t="shared" si="28"/>
        <v>15622627.004761279</v>
      </c>
      <c r="AS10" s="97">
        <f t="shared" si="29"/>
        <v>14800383.478194894</v>
      </c>
      <c r="AT10" s="97">
        <f t="shared" si="76"/>
        <v>17549601.889103804</v>
      </c>
      <c r="AU10" s="97">
        <f t="shared" si="77"/>
        <v>16713906.561051238</v>
      </c>
      <c r="AV10" s="97">
        <f t="shared" si="78"/>
        <v>15878211.232998677</v>
      </c>
      <c r="AW10" s="97">
        <f t="shared" si="79"/>
        <v>15042515.904946113</v>
      </c>
      <c r="AX10" s="97">
        <f t="shared" si="80"/>
        <v>17907811.850344855</v>
      </c>
      <c r="AY10" s="97">
        <f t="shared" si="81"/>
        <v>17055058.905090332</v>
      </c>
      <c r="AZ10" s="97">
        <f t="shared" si="82"/>
        <v>16202305.959835816</v>
      </c>
      <c r="BA10" s="97">
        <f t="shared" si="83"/>
        <v>15349553.014581298</v>
      </c>
      <c r="BB10" s="142">
        <f t="shared" si="31"/>
        <v>18359531.019141331</v>
      </c>
      <c r="BC10" s="142">
        <f t="shared" si="32"/>
        <v>17485267.63727745</v>
      </c>
      <c r="BD10" s="142">
        <f t="shared" si="33"/>
        <v>16611004.255413579</v>
      </c>
      <c r="BE10" s="142">
        <f t="shared" si="34"/>
        <v>15736740.873549705</v>
      </c>
      <c r="BF10" s="154">
        <f t="shared" si="35"/>
        <v>18683401.03071335</v>
      </c>
      <c r="BG10" s="154">
        <f t="shared" si="36"/>
        <v>17793715.267346039</v>
      </c>
      <c r="BH10" s="154">
        <f t="shared" si="37"/>
        <v>16904029.503978737</v>
      </c>
      <c r="BI10" s="154">
        <f t="shared" si="37"/>
        <v>15922759.56331888</v>
      </c>
      <c r="BJ10" s="203">
        <f t="shared" si="38"/>
        <v>18904251.193278261</v>
      </c>
      <c r="BK10" s="203">
        <f t="shared" si="39"/>
        <v>18004048.755503099</v>
      </c>
      <c r="BL10" s="203">
        <f t="shared" si="40"/>
        <v>17103846.317727942</v>
      </c>
      <c r="BM10" s="203">
        <f t="shared" si="41"/>
        <v>16110977.117085466</v>
      </c>
      <c r="BN10" s="207">
        <f t="shared" si="42"/>
        <v>20080448.919680022</v>
      </c>
      <c r="BO10" s="207">
        <f t="shared" si="43"/>
        <v>19124237.066361919</v>
      </c>
      <c r="BP10" s="207">
        <f t="shared" si="44"/>
        <v>18168025.21304382</v>
      </c>
      <c r="BQ10" s="207">
        <f t="shared" si="45"/>
        <v>17113380.992355842</v>
      </c>
      <c r="BR10" s="203">
        <f t="shared" si="46"/>
        <v>21635765.498453241</v>
      </c>
      <c r="BS10" s="203">
        <f t="shared" si="47"/>
        <v>20605490.950907841</v>
      </c>
      <c r="BT10" s="203">
        <f t="shared" si="48"/>
        <v>19575216.403362446</v>
      </c>
      <c r="BU10" s="203">
        <f t="shared" si="49"/>
        <v>18438885.480962545</v>
      </c>
      <c r="BV10" s="154">
        <f t="shared" si="84"/>
        <v>22337011.954802513</v>
      </c>
      <c r="BW10" s="154">
        <f t="shared" si="50"/>
        <v>21273344.718859527</v>
      </c>
      <c r="BX10" s="154">
        <f t="shared" si="51"/>
        <v>20209677.482916549</v>
      </c>
      <c r="BY10" s="154">
        <f t="shared" si="52"/>
        <v>19036516.431597475</v>
      </c>
      <c r="BZ10" s="203">
        <f t="shared" si="85"/>
        <v>22917306.283987705</v>
      </c>
      <c r="CA10" s="203">
        <f t="shared" si="53"/>
        <v>21826005.984750185</v>
      </c>
      <c r="CB10" s="203">
        <f t="shared" si="54"/>
        <v>20734705.685512673</v>
      </c>
      <c r="CC10" s="203">
        <f t="shared" si="55"/>
        <v>19531067.025698833</v>
      </c>
      <c r="CD10" s="154">
        <f t="shared" si="86"/>
        <v>23534917.175815355</v>
      </c>
      <c r="CE10" s="154">
        <f t="shared" si="56"/>
        <v>22414206.83410985</v>
      </c>
      <c r="CF10" s="154">
        <f t="shared" si="57"/>
        <v>21293496.492404357</v>
      </c>
      <c r="CG10" s="154">
        <f t="shared" si="58"/>
        <v>20057420.322836358</v>
      </c>
    </row>
    <row r="11" spans="1:85" ht="15" x14ac:dyDescent="0.4">
      <c r="A11" s="4" t="s">
        <v>8</v>
      </c>
      <c r="B11" s="30">
        <f t="shared" si="59"/>
        <v>12869529.225</v>
      </c>
      <c r="C11" s="30">
        <f t="shared" si="2"/>
        <v>12256694.5</v>
      </c>
      <c r="D11" s="30">
        <f t="shared" si="3"/>
        <v>11643859.775</v>
      </c>
      <c r="E11" s="30">
        <f t="shared" si="60"/>
        <v>11031025.049999999</v>
      </c>
      <c r="F11" s="28">
        <f t="shared" si="4"/>
        <v>13037505.008057231</v>
      </c>
      <c r="G11" s="28">
        <f t="shared" si="5"/>
        <v>12416671.436244981</v>
      </c>
      <c r="H11" s="28">
        <f t="shared" si="6"/>
        <v>11795837.864432734</v>
      </c>
      <c r="I11" s="28">
        <f t="shared" si="7"/>
        <v>11175004.292620482</v>
      </c>
      <c r="J11" s="30">
        <f t="shared" si="8"/>
        <v>13498533.926478917</v>
      </c>
      <c r="K11" s="30">
        <f t="shared" si="9"/>
        <v>12855746.596646586</v>
      </c>
      <c r="L11" s="30">
        <f t="shared" si="10"/>
        <v>12212959.26681426</v>
      </c>
      <c r="M11" s="30">
        <f t="shared" si="11"/>
        <v>11570171.936981928</v>
      </c>
      <c r="N11" s="28">
        <f t="shared" si="61"/>
        <v>13991930.486174325</v>
      </c>
      <c r="O11" s="28">
        <f t="shared" si="62"/>
        <v>13325648.082070785</v>
      </c>
      <c r="P11" s="28">
        <f t="shared" si="12"/>
        <v>12659365.677967247</v>
      </c>
      <c r="Q11" s="28">
        <f t="shared" si="13"/>
        <v>11993083.273863705</v>
      </c>
      <c r="R11" s="30">
        <f t="shared" si="63"/>
        <v>13991930.486174325</v>
      </c>
      <c r="S11" s="30">
        <f t="shared" si="14"/>
        <v>13325648.082070785</v>
      </c>
      <c r="T11" s="30">
        <f t="shared" si="15"/>
        <v>12659365.677967247</v>
      </c>
      <c r="U11" s="30">
        <f t="shared" si="64"/>
        <v>11993083.273863705</v>
      </c>
      <c r="V11" s="97">
        <f t="shared" si="65"/>
        <v>14155942.161107207</v>
      </c>
      <c r="W11" s="97">
        <f t="shared" si="16"/>
        <v>13481849.677244959</v>
      </c>
      <c r="X11" s="97">
        <f t="shared" si="17"/>
        <v>12807757.193382712</v>
      </c>
      <c r="Y11" s="97">
        <f t="shared" si="18"/>
        <v>12133664.709520461</v>
      </c>
      <c r="Z11" s="97">
        <f t="shared" si="66"/>
        <v>14654967.423037957</v>
      </c>
      <c r="AA11" s="97">
        <f t="shared" si="19"/>
        <v>13957111.831464723</v>
      </c>
      <c r="AB11" s="97">
        <f t="shared" si="20"/>
        <v>13259256.239891486</v>
      </c>
      <c r="AC11" s="97">
        <f t="shared" si="67"/>
        <v>12561400.648318248</v>
      </c>
      <c r="AD11" s="30">
        <f t="shared" si="68"/>
        <v>14971858.173026668</v>
      </c>
      <c r="AE11" s="30">
        <f t="shared" si="69"/>
        <v>14258912.545739686</v>
      </c>
      <c r="AF11" s="30">
        <f t="shared" si="70"/>
        <v>13545966.918452701</v>
      </c>
      <c r="AG11" s="30">
        <f t="shared" si="71"/>
        <v>12833021.291165715</v>
      </c>
      <c r="AH11" s="30">
        <f t="shared" si="72"/>
        <v>15116128.900503144</v>
      </c>
      <c r="AI11" s="30">
        <f t="shared" si="73"/>
        <v>14396313.238574425</v>
      </c>
      <c r="AJ11" s="30">
        <f t="shared" si="74"/>
        <v>13676497.576645704</v>
      </c>
      <c r="AK11" s="30">
        <f t="shared" si="75"/>
        <v>12956681.914716981</v>
      </c>
      <c r="AL11" s="97">
        <f t="shared" si="22"/>
        <v>15367712.712840995</v>
      </c>
      <c r="AM11" s="97">
        <f t="shared" si="23"/>
        <v>14635916.869372379</v>
      </c>
      <c r="AN11" s="97">
        <f t="shared" si="24"/>
        <v>13904121.02590376</v>
      </c>
      <c r="AO11" s="97">
        <f t="shared" si="25"/>
        <v>13172325.18243514</v>
      </c>
      <c r="AP11" s="97">
        <f t="shared" si="26"/>
        <v>15393926.102086386</v>
      </c>
      <c r="AQ11" s="97">
        <f t="shared" si="27"/>
        <v>14660882.001987036</v>
      </c>
      <c r="AR11" s="97">
        <f t="shared" si="28"/>
        <v>13927837.901887685</v>
      </c>
      <c r="AS11" s="97">
        <f t="shared" si="29"/>
        <v>13194793.801788332</v>
      </c>
      <c r="AT11" s="97">
        <f t="shared" si="76"/>
        <v>15645768.812095797</v>
      </c>
      <c r="AU11" s="97">
        <f t="shared" si="77"/>
        <v>14900732.201995999</v>
      </c>
      <c r="AV11" s="97">
        <f t="shared" si="78"/>
        <v>14155695.591896201</v>
      </c>
      <c r="AW11" s="97">
        <f t="shared" si="79"/>
        <v>13410658.981796399</v>
      </c>
      <c r="AX11" s="97">
        <f t="shared" si="80"/>
        <v>15965119.089964319</v>
      </c>
      <c r="AY11" s="97">
        <f t="shared" si="81"/>
        <v>15204875.323775545</v>
      </c>
      <c r="AZ11" s="97">
        <f t="shared" si="82"/>
        <v>14444631.557586769</v>
      </c>
      <c r="BA11" s="97">
        <f t="shared" si="83"/>
        <v>13684387.791397991</v>
      </c>
      <c r="BB11" s="142">
        <f t="shared" si="31"/>
        <v>16367834.418074969</v>
      </c>
      <c r="BC11" s="142">
        <f t="shared" si="32"/>
        <v>15588413.731499974</v>
      </c>
      <c r="BD11" s="142">
        <f t="shared" si="33"/>
        <v>14808993.044924976</v>
      </c>
      <c r="BE11" s="142">
        <f t="shared" si="34"/>
        <v>14029572.358349977</v>
      </c>
      <c r="BF11" s="154">
        <f t="shared" si="35"/>
        <v>16656570.046281595</v>
      </c>
      <c r="BG11" s="154">
        <f t="shared" si="36"/>
        <v>15863400.044077713</v>
      </c>
      <c r="BH11" s="154">
        <f t="shared" si="37"/>
        <v>15070230.041873829</v>
      </c>
      <c r="BI11" s="154">
        <f t="shared" si="37"/>
        <v>14195411.18667488</v>
      </c>
      <c r="BJ11" s="203">
        <f t="shared" si="38"/>
        <v>16853461.725502521</v>
      </c>
      <c r="BK11" s="203">
        <f t="shared" si="39"/>
        <v>16050915.929050023</v>
      </c>
      <c r="BL11" s="203">
        <f t="shared" si="40"/>
        <v>15248370.132597525</v>
      </c>
      <c r="BM11" s="203">
        <f t="shared" si="41"/>
        <v>14363210.339682367</v>
      </c>
      <c r="BN11" s="207">
        <f t="shared" si="42"/>
        <v>17902062.019735999</v>
      </c>
      <c r="BO11" s="207">
        <f t="shared" si="43"/>
        <v>17049582.875939053</v>
      </c>
      <c r="BP11" s="207">
        <f t="shared" si="44"/>
        <v>16197103.732142102</v>
      </c>
      <c r="BQ11" s="207">
        <f t="shared" si="45"/>
        <v>15256870.457326785</v>
      </c>
      <c r="BR11" s="203">
        <f t="shared" si="46"/>
        <v>19288653.22419028</v>
      </c>
      <c r="BS11" s="203">
        <f t="shared" si="47"/>
        <v>18370145.927800272</v>
      </c>
      <c r="BT11" s="203">
        <f t="shared" si="48"/>
        <v>17451638.63141026</v>
      </c>
      <c r="BU11" s="203">
        <f t="shared" si="49"/>
        <v>16438580.271554075</v>
      </c>
      <c r="BV11" s="154">
        <f t="shared" si="84"/>
        <v>19913826.376588348</v>
      </c>
      <c r="BW11" s="154">
        <f t="shared" si="50"/>
        <v>18965548.930084147</v>
      </c>
      <c r="BX11" s="154">
        <f t="shared" si="51"/>
        <v>18017271.483579941</v>
      </c>
      <c r="BY11" s="154">
        <f t="shared" si="52"/>
        <v>16971378.436872721</v>
      </c>
      <c r="BZ11" s="203">
        <f t="shared" si="85"/>
        <v>20431168.648781929</v>
      </c>
      <c r="CA11" s="203">
        <f t="shared" si="53"/>
        <v>19458255.855982795</v>
      </c>
      <c r="CB11" s="203">
        <f t="shared" si="54"/>
        <v>18485343.063183658</v>
      </c>
      <c r="CC11" s="203">
        <f t="shared" si="55"/>
        <v>17412278.709715869</v>
      </c>
      <c r="CD11" s="154">
        <f t="shared" si="86"/>
        <v>20981779.271770891</v>
      </c>
      <c r="CE11" s="154">
        <f t="shared" si="56"/>
        <v>19982646.925496094</v>
      </c>
      <c r="CF11" s="154">
        <f t="shared" si="57"/>
        <v>18983514.57922129</v>
      </c>
      <c r="CG11" s="154">
        <f t="shared" si="58"/>
        <v>17881531.633658901</v>
      </c>
    </row>
    <row r="12" spans="1:85" ht="15" x14ac:dyDescent="0.4">
      <c r="A12" s="4" t="s">
        <v>9</v>
      </c>
      <c r="B12" s="30">
        <f t="shared" si="59"/>
        <v>3122887.2149999999</v>
      </c>
      <c r="C12" s="30">
        <f t="shared" si="2"/>
        <v>2974178.3000000003</v>
      </c>
      <c r="D12" s="30">
        <f t="shared" si="3"/>
        <v>2825469.3850000002</v>
      </c>
      <c r="E12" s="30">
        <f t="shared" si="60"/>
        <v>2676760.4699999997</v>
      </c>
      <c r="F12" s="28">
        <f t="shared" si="4"/>
        <v>3163647.7910993979</v>
      </c>
      <c r="G12" s="28">
        <f t="shared" si="5"/>
        <v>3012997.8962851414</v>
      </c>
      <c r="H12" s="28">
        <f t="shared" si="6"/>
        <v>2862348.0014708843</v>
      </c>
      <c r="I12" s="28">
        <f t="shared" si="7"/>
        <v>2711698.1066566268</v>
      </c>
      <c r="J12" s="30">
        <f t="shared" si="8"/>
        <v>3275519.8953475906</v>
      </c>
      <c r="K12" s="30">
        <f t="shared" si="9"/>
        <v>3119542.7574738963</v>
      </c>
      <c r="L12" s="30">
        <f t="shared" si="10"/>
        <v>2963565.6196002015</v>
      </c>
      <c r="M12" s="30">
        <f t="shared" si="11"/>
        <v>2807588.4817265063</v>
      </c>
      <c r="N12" s="28">
        <f t="shared" si="61"/>
        <v>3395246.2490672441</v>
      </c>
      <c r="O12" s="28">
        <f t="shared" si="62"/>
        <v>3233567.856254519</v>
      </c>
      <c r="P12" s="28">
        <f t="shared" si="12"/>
        <v>3071889.4634417929</v>
      </c>
      <c r="Q12" s="28">
        <f t="shared" si="13"/>
        <v>2910211.0706290668</v>
      </c>
      <c r="R12" s="30">
        <f t="shared" si="63"/>
        <v>3395246.2490672441</v>
      </c>
      <c r="S12" s="30">
        <f t="shared" si="14"/>
        <v>3233567.856254519</v>
      </c>
      <c r="T12" s="30">
        <f t="shared" si="15"/>
        <v>3071889.4634417929</v>
      </c>
      <c r="U12" s="30">
        <f t="shared" si="64"/>
        <v>2910211.0706290668</v>
      </c>
      <c r="V12" s="97">
        <f t="shared" si="65"/>
        <v>3435044.9047759292</v>
      </c>
      <c r="W12" s="97">
        <f t="shared" si="16"/>
        <v>3271471.337881838</v>
      </c>
      <c r="X12" s="97">
        <f t="shared" si="17"/>
        <v>3107897.7709877458</v>
      </c>
      <c r="Y12" s="97">
        <f t="shared" si="18"/>
        <v>2944324.2040936542</v>
      </c>
      <c r="Z12" s="97">
        <f t="shared" si="66"/>
        <v>3556137.1050576819</v>
      </c>
      <c r="AA12" s="97">
        <f t="shared" si="19"/>
        <v>3386797.2429120783</v>
      </c>
      <c r="AB12" s="97">
        <f t="shared" si="20"/>
        <v>3217457.3807664742</v>
      </c>
      <c r="AC12" s="97">
        <f t="shared" si="67"/>
        <v>3048117.5186208705</v>
      </c>
      <c r="AD12" s="30">
        <f t="shared" si="68"/>
        <v>3633033.008115978</v>
      </c>
      <c r="AE12" s="30">
        <f t="shared" si="69"/>
        <v>3460031.4363009315</v>
      </c>
      <c r="AF12" s="30">
        <f t="shared" si="70"/>
        <v>3287029.8644858846</v>
      </c>
      <c r="AG12" s="30">
        <f t="shared" si="71"/>
        <v>3114028.2926708385</v>
      </c>
      <c r="AH12" s="30">
        <f t="shared" si="72"/>
        <v>3668041.3757460718</v>
      </c>
      <c r="AI12" s="30">
        <f t="shared" si="73"/>
        <v>3493372.738805783</v>
      </c>
      <c r="AJ12" s="30">
        <f t="shared" si="74"/>
        <v>3318704.1018654932</v>
      </c>
      <c r="AK12" s="30">
        <f t="shared" si="75"/>
        <v>3144035.4649252049</v>
      </c>
      <c r="AL12" s="97">
        <f t="shared" si="22"/>
        <v>3729090.0634886366</v>
      </c>
      <c r="AM12" s="97">
        <f t="shared" si="23"/>
        <v>3551514.3461796544</v>
      </c>
      <c r="AN12" s="97">
        <f t="shared" si="24"/>
        <v>3373938.6288706707</v>
      </c>
      <c r="AO12" s="97">
        <f t="shared" si="25"/>
        <v>3196362.9115616889</v>
      </c>
      <c r="AP12" s="97">
        <f t="shared" si="26"/>
        <v>3735450.937822503</v>
      </c>
      <c r="AQ12" s="97">
        <f t="shared" si="27"/>
        <v>3557572.3217357178</v>
      </c>
      <c r="AR12" s="97">
        <f t="shared" si="28"/>
        <v>3379693.7056489307</v>
      </c>
      <c r="AS12" s="97">
        <f t="shared" si="29"/>
        <v>3201815.089562146</v>
      </c>
      <c r="AT12" s="97">
        <f t="shared" si="76"/>
        <v>3796562.4490152788</v>
      </c>
      <c r="AU12" s="97">
        <f t="shared" si="77"/>
        <v>3615773.7609669329</v>
      </c>
      <c r="AV12" s="97">
        <f t="shared" si="78"/>
        <v>3434985.072918585</v>
      </c>
      <c r="AW12" s="97">
        <f t="shared" si="79"/>
        <v>3254196.3848702395</v>
      </c>
      <c r="AX12" s="97">
        <f t="shared" si="80"/>
        <v>3874055.1748505789</v>
      </c>
      <c r="AY12" s="97">
        <f t="shared" si="81"/>
        <v>3689576.3570005521</v>
      </c>
      <c r="AZ12" s="97">
        <f t="shared" si="82"/>
        <v>3505097.5391505235</v>
      </c>
      <c r="BA12" s="97">
        <f t="shared" si="83"/>
        <v>3320618.7213004967</v>
      </c>
      <c r="BB12" s="142">
        <f t="shared" si="31"/>
        <v>3971777.0516538294</v>
      </c>
      <c r="BC12" s="142">
        <f t="shared" si="32"/>
        <v>3782644.8110988857</v>
      </c>
      <c r="BD12" s="142">
        <f t="shared" si="33"/>
        <v>3593512.5705439406</v>
      </c>
      <c r="BE12" s="142">
        <f t="shared" si="34"/>
        <v>3404380.329988997</v>
      </c>
      <c r="BF12" s="154">
        <f t="shared" si="35"/>
        <v>4041840.9045016766</v>
      </c>
      <c r="BG12" s="154">
        <f t="shared" si="36"/>
        <v>3849372.2900015973</v>
      </c>
      <c r="BH12" s="154">
        <f t="shared" si="37"/>
        <v>3656903.6755015166</v>
      </c>
      <c r="BI12" s="154">
        <f t="shared" si="37"/>
        <v>3444622.3580905665</v>
      </c>
      <c r="BJ12" s="203">
        <f t="shared" si="38"/>
        <v>4089618.1383871618</v>
      </c>
      <c r="BK12" s="203">
        <f t="shared" si="39"/>
        <v>3894874.4175115833</v>
      </c>
      <c r="BL12" s="203">
        <f t="shared" si="40"/>
        <v>3700130.696636003</v>
      </c>
      <c r="BM12" s="203">
        <f t="shared" si="41"/>
        <v>3485340.0735915322</v>
      </c>
      <c r="BN12" s="207">
        <f t="shared" si="42"/>
        <v>4344068.8176043704</v>
      </c>
      <c r="BO12" s="207">
        <f t="shared" si="43"/>
        <v>4137208.3977184491</v>
      </c>
      <c r="BP12" s="207">
        <f t="shared" si="44"/>
        <v>3930347.9778325255</v>
      </c>
      <c r="BQ12" s="207">
        <f t="shared" si="45"/>
        <v>3702193.3638055841</v>
      </c>
      <c r="BR12" s="203">
        <f t="shared" si="46"/>
        <v>4680535.5110720731</v>
      </c>
      <c r="BS12" s="203">
        <f t="shared" si="47"/>
        <v>4457652.8676876901</v>
      </c>
      <c r="BT12" s="203">
        <f t="shared" si="48"/>
        <v>4234770.2243033042</v>
      </c>
      <c r="BU12" s="203">
        <f t="shared" si="49"/>
        <v>3988944.0604450279</v>
      </c>
      <c r="BV12" s="154">
        <f t="shared" si="84"/>
        <v>4832238.4374691481</v>
      </c>
      <c r="BW12" s="154">
        <f t="shared" si="50"/>
        <v>4602131.8452087138</v>
      </c>
      <c r="BX12" s="154">
        <f t="shared" si="51"/>
        <v>4372025.2529482767</v>
      </c>
      <c r="BY12" s="154">
        <f t="shared" si="52"/>
        <v>4118231.5075271535</v>
      </c>
      <c r="BZ12" s="203">
        <f t="shared" si="85"/>
        <v>4957775.3968533315</v>
      </c>
      <c r="CA12" s="203">
        <f t="shared" si="53"/>
        <v>4721690.8541460307</v>
      </c>
      <c r="CB12" s="203">
        <f t="shared" si="54"/>
        <v>4485606.3114387281</v>
      </c>
      <c r="CC12" s="203">
        <f t="shared" si="55"/>
        <v>4225219.2458569426</v>
      </c>
      <c r="CD12" s="154">
        <f t="shared" si="86"/>
        <v>5091385.1695896313</v>
      </c>
      <c r="CE12" s="154">
        <f t="shared" si="56"/>
        <v>4848938.25675203</v>
      </c>
      <c r="CF12" s="154">
        <f t="shared" si="57"/>
        <v>4606491.3439144278</v>
      </c>
      <c r="CG12" s="154">
        <f t="shared" si="58"/>
        <v>4339086.9663588209</v>
      </c>
    </row>
    <row r="13" spans="1:85" ht="15" x14ac:dyDescent="0.4">
      <c r="A13" s="4" t="s">
        <v>10</v>
      </c>
      <c r="B13" s="30">
        <f t="shared" si="59"/>
        <v>1570196.88</v>
      </c>
      <c r="C13" s="30">
        <f t="shared" si="2"/>
        <v>1495425.6</v>
      </c>
      <c r="D13" s="30">
        <f t="shared" si="3"/>
        <v>1420654.32</v>
      </c>
      <c r="E13" s="30">
        <f t="shared" si="60"/>
        <v>1345883.04</v>
      </c>
      <c r="F13" s="28">
        <f t="shared" si="4"/>
        <v>1590691.4175903616</v>
      </c>
      <c r="G13" s="28">
        <f t="shared" si="5"/>
        <v>1514944.207228916</v>
      </c>
      <c r="H13" s="28">
        <f t="shared" si="6"/>
        <v>1439196.9968674702</v>
      </c>
      <c r="I13" s="28">
        <f t="shared" si="7"/>
        <v>1363449.7865060244</v>
      </c>
      <c r="J13" s="30">
        <f t="shared" si="8"/>
        <v>1646941.0407614459</v>
      </c>
      <c r="K13" s="30">
        <f t="shared" si="9"/>
        <v>1568515.2769156629</v>
      </c>
      <c r="L13" s="30">
        <f t="shared" si="10"/>
        <v>1490089.5130698797</v>
      </c>
      <c r="M13" s="30">
        <f t="shared" si="11"/>
        <v>1411663.7492240968</v>
      </c>
      <c r="N13" s="28">
        <f t="shared" si="61"/>
        <v>1707139.8036759037</v>
      </c>
      <c r="O13" s="28">
        <f t="shared" si="62"/>
        <v>1625847.4320722895</v>
      </c>
      <c r="P13" s="28">
        <f t="shared" si="12"/>
        <v>1544555.0604686749</v>
      </c>
      <c r="Q13" s="28">
        <f t="shared" si="13"/>
        <v>1463262.6888650607</v>
      </c>
      <c r="R13" s="30">
        <f t="shared" si="63"/>
        <v>1707139.8036759037</v>
      </c>
      <c r="S13" s="30">
        <f t="shared" si="14"/>
        <v>1625847.4320722895</v>
      </c>
      <c r="T13" s="30">
        <f t="shared" si="15"/>
        <v>1544555.0604686749</v>
      </c>
      <c r="U13" s="30">
        <f t="shared" si="64"/>
        <v>1463262.6888650607</v>
      </c>
      <c r="V13" s="97">
        <f t="shared" si="65"/>
        <v>1727150.6848636097</v>
      </c>
      <c r="W13" s="97">
        <f t="shared" si="16"/>
        <v>1644905.4141558192</v>
      </c>
      <c r="X13" s="97">
        <f t="shared" si="17"/>
        <v>1562660.143448028</v>
      </c>
      <c r="Y13" s="97">
        <f t="shared" si="18"/>
        <v>1480414.8727402373</v>
      </c>
      <c r="Z13" s="97">
        <f t="shared" si="66"/>
        <v>1788036.1994481455</v>
      </c>
      <c r="AA13" s="97">
        <f t="shared" si="19"/>
        <v>1702891.6185220438</v>
      </c>
      <c r="AB13" s="97">
        <f t="shared" si="20"/>
        <v>1617747.0375959415</v>
      </c>
      <c r="AC13" s="97">
        <f t="shared" si="67"/>
        <v>1532602.4566698393</v>
      </c>
      <c r="AD13" s="30">
        <f t="shared" si="68"/>
        <v>1826699.6857524111</v>
      </c>
      <c r="AE13" s="30">
        <f t="shared" si="69"/>
        <v>1739713.9864308683</v>
      </c>
      <c r="AF13" s="30">
        <f t="shared" si="70"/>
        <v>1652728.2871093247</v>
      </c>
      <c r="AG13" s="30">
        <f t="shared" si="71"/>
        <v>1565742.5877877814</v>
      </c>
      <c r="AH13" s="30">
        <f t="shared" si="72"/>
        <v>1844301.9960000024</v>
      </c>
      <c r="AI13" s="30">
        <f t="shared" si="73"/>
        <v>1756478.0914285744</v>
      </c>
      <c r="AJ13" s="30">
        <f t="shared" si="74"/>
        <v>1668654.1868571455</v>
      </c>
      <c r="AK13" s="30">
        <f t="shared" si="75"/>
        <v>1580830.2822857169</v>
      </c>
      <c r="AL13" s="97">
        <f t="shared" si="22"/>
        <v>1874997.4558171348</v>
      </c>
      <c r="AM13" s="97">
        <f t="shared" si="23"/>
        <v>1785711.8626829863</v>
      </c>
      <c r="AN13" s="97">
        <f t="shared" si="24"/>
        <v>1696426.2695488369</v>
      </c>
      <c r="AO13" s="97">
        <f t="shared" si="25"/>
        <v>1607140.6764146877</v>
      </c>
      <c r="AP13" s="97">
        <f t="shared" si="26"/>
        <v>1878195.722147451</v>
      </c>
      <c r="AQ13" s="97">
        <f t="shared" si="27"/>
        <v>1788757.8306166208</v>
      </c>
      <c r="AR13" s="97">
        <f t="shared" si="28"/>
        <v>1699319.9390857895</v>
      </c>
      <c r="AS13" s="97">
        <f t="shared" si="29"/>
        <v>1609882.0475549586</v>
      </c>
      <c r="AT13" s="97">
        <f t="shared" si="76"/>
        <v>1908922.7697801916</v>
      </c>
      <c r="AU13" s="97">
        <f t="shared" si="77"/>
        <v>1818021.6855049452</v>
      </c>
      <c r="AV13" s="97">
        <f t="shared" si="78"/>
        <v>1727120.6012296977</v>
      </c>
      <c r="AW13" s="97">
        <f t="shared" si="79"/>
        <v>1636219.5169544506</v>
      </c>
      <c r="AX13" s="97">
        <f t="shared" si="80"/>
        <v>1947886.3403327335</v>
      </c>
      <c r="AY13" s="97">
        <f t="shared" si="81"/>
        <v>1855129.8479359376</v>
      </c>
      <c r="AZ13" s="97">
        <f t="shared" si="82"/>
        <v>1762373.3555391405</v>
      </c>
      <c r="BA13" s="97">
        <f t="shared" si="83"/>
        <v>1669616.8631423437</v>
      </c>
      <c r="BB13" s="142">
        <f t="shared" si="31"/>
        <v>1997021.1875110706</v>
      </c>
      <c r="BC13" s="142">
        <f t="shared" si="32"/>
        <v>1901924.940486735</v>
      </c>
      <c r="BD13" s="142">
        <f t="shared" si="33"/>
        <v>1806828.6934623979</v>
      </c>
      <c r="BE13" s="142">
        <f t="shared" si="34"/>
        <v>1711732.4464380613</v>
      </c>
      <c r="BF13" s="154">
        <f t="shared" si="35"/>
        <v>2032249.4988679597</v>
      </c>
      <c r="BG13" s="154">
        <f t="shared" si="36"/>
        <v>1935475.7132075818</v>
      </c>
      <c r="BH13" s="154">
        <f t="shared" si="37"/>
        <v>1838701.9275472024</v>
      </c>
      <c r="BI13" s="154">
        <f t="shared" si="37"/>
        <v>1731966.2565694198</v>
      </c>
      <c r="BJ13" s="203">
        <f t="shared" si="38"/>
        <v>2056272.0326378893</v>
      </c>
      <c r="BK13" s="203">
        <f t="shared" si="39"/>
        <v>1958354.3167979911</v>
      </c>
      <c r="BL13" s="203">
        <f t="shared" si="40"/>
        <v>1860436.6009580912</v>
      </c>
      <c r="BM13" s="203">
        <f t="shared" si="41"/>
        <v>1752439.2437247832</v>
      </c>
      <c r="BN13" s="207">
        <f t="shared" si="42"/>
        <v>2184210.5828044349</v>
      </c>
      <c r="BO13" s="207">
        <f t="shared" si="43"/>
        <v>2080200.5550518443</v>
      </c>
      <c r="BP13" s="207">
        <f t="shared" si="44"/>
        <v>1976190.5272992519</v>
      </c>
      <c r="BQ13" s="207">
        <f t="shared" si="45"/>
        <v>1861473.7160798276</v>
      </c>
      <c r="BR13" s="203">
        <f t="shared" si="46"/>
        <v>2353387.026247303</v>
      </c>
      <c r="BS13" s="203">
        <f t="shared" si="47"/>
        <v>2241320.9773783856</v>
      </c>
      <c r="BT13" s="203">
        <f t="shared" si="48"/>
        <v>2129254.9285094659</v>
      </c>
      <c r="BU13" s="203">
        <f t="shared" si="49"/>
        <v>2005652.8100408246</v>
      </c>
      <c r="BV13" s="154">
        <f t="shared" si="84"/>
        <v>2429663.7039868659</v>
      </c>
      <c r="BW13" s="154">
        <f t="shared" si="50"/>
        <v>2313965.4323684457</v>
      </c>
      <c r="BX13" s="154">
        <f t="shared" si="51"/>
        <v>2198267.1607500231</v>
      </c>
      <c r="BY13" s="154">
        <f t="shared" si="52"/>
        <v>2070658.9188290085</v>
      </c>
      <c r="BZ13" s="203">
        <f t="shared" si="85"/>
        <v>2492784.0565256723</v>
      </c>
      <c r="CA13" s="203">
        <f t="shared" si="53"/>
        <v>2374080.0538339755</v>
      </c>
      <c r="CB13" s="203">
        <f t="shared" si="54"/>
        <v>2255376.0511422763</v>
      </c>
      <c r="CC13" s="203">
        <f t="shared" si="55"/>
        <v>2124452.6684453203</v>
      </c>
      <c r="CD13" s="154">
        <f t="shared" si="86"/>
        <v>2559963.4433701141</v>
      </c>
      <c r="CE13" s="154">
        <f t="shared" si="56"/>
        <v>2438060.4222572534</v>
      </c>
      <c r="CF13" s="154">
        <f t="shared" si="57"/>
        <v>2316157.4011443905</v>
      </c>
      <c r="CG13" s="154">
        <f t="shared" si="58"/>
        <v>2181705.693340349</v>
      </c>
    </row>
    <row r="14" spans="1:85" ht="15" x14ac:dyDescent="0.4">
      <c r="A14" s="4" t="s">
        <v>11</v>
      </c>
      <c r="B14" s="30">
        <f t="shared" si="59"/>
        <v>60947962.949999996</v>
      </c>
      <c r="C14" s="30">
        <f t="shared" si="2"/>
        <v>58045679</v>
      </c>
      <c r="D14" s="30">
        <f t="shared" si="3"/>
        <v>55143395.049999997</v>
      </c>
      <c r="E14" s="30">
        <f t="shared" si="60"/>
        <v>52241111.100000001</v>
      </c>
      <c r="F14" s="28">
        <f t="shared" si="4"/>
        <v>61743468.490512051</v>
      </c>
      <c r="G14" s="28">
        <f t="shared" si="5"/>
        <v>58803303.324297197</v>
      </c>
      <c r="H14" s="28">
        <f t="shared" si="6"/>
        <v>55863138.158082336</v>
      </c>
      <c r="I14" s="28">
        <f t="shared" si="7"/>
        <v>52922972.991867483</v>
      </c>
      <c r="J14" s="30">
        <f t="shared" si="8"/>
        <v>63926825.235548191</v>
      </c>
      <c r="K14" s="30">
        <f t="shared" si="9"/>
        <v>60882690.700522095</v>
      </c>
      <c r="L14" s="30">
        <f t="shared" si="10"/>
        <v>57838556.165495992</v>
      </c>
      <c r="M14" s="30">
        <f t="shared" si="11"/>
        <v>54794421.630469888</v>
      </c>
      <c r="N14" s="28">
        <f t="shared" si="61"/>
        <v>66263469.778967619</v>
      </c>
      <c r="O14" s="28">
        <f t="shared" si="62"/>
        <v>63108066.456159651</v>
      </c>
      <c r="P14" s="28">
        <f t="shared" si="12"/>
        <v>59952663.133351669</v>
      </c>
      <c r="Q14" s="28">
        <f t="shared" si="13"/>
        <v>56797259.810543686</v>
      </c>
      <c r="R14" s="30">
        <f t="shared" si="63"/>
        <v>66263469.778967619</v>
      </c>
      <c r="S14" s="30">
        <f t="shared" si="14"/>
        <v>63108066.456159651</v>
      </c>
      <c r="T14" s="30">
        <f t="shared" si="15"/>
        <v>59952663.133351669</v>
      </c>
      <c r="U14" s="30">
        <f t="shared" si="64"/>
        <v>56797259.810543686</v>
      </c>
      <c r="V14" s="97">
        <f t="shared" si="65"/>
        <v>67040201.958708778</v>
      </c>
      <c r="W14" s="97">
        <f t="shared" si="16"/>
        <v>63847811.389246464</v>
      </c>
      <c r="X14" s="97">
        <f t="shared" si="17"/>
        <v>60655420.819784142</v>
      </c>
      <c r="Y14" s="97">
        <f t="shared" si="18"/>
        <v>57463030.25032182</v>
      </c>
      <c r="Z14" s="97">
        <f t="shared" si="66"/>
        <v>69403503.105435029</v>
      </c>
      <c r="AA14" s="97">
        <f t="shared" si="19"/>
        <v>66098574.386128604</v>
      </c>
      <c r="AB14" s="97">
        <f t="shared" si="20"/>
        <v>62793645.666822173</v>
      </c>
      <c r="AC14" s="97">
        <f t="shared" si="67"/>
        <v>59488716.947515748</v>
      </c>
      <c r="AD14" s="30">
        <f t="shared" si="68"/>
        <v>70904245.312227726</v>
      </c>
      <c r="AE14" s="30">
        <f t="shared" si="69"/>
        <v>67527852.678312123</v>
      </c>
      <c r="AF14" s="30">
        <f t="shared" si="70"/>
        <v>64151460.04439652</v>
      </c>
      <c r="AG14" s="30">
        <f t="shared" si="71"/>
        <v>60775067.410480924</v>
      </c>
      <c r="AH14" s="30">
        <f t="shared" si="72"/>
        <v>71587487.62818788</v>
      </c>
      <c r="AI14" s="30">
        <f t="shared" si="73"/>
        <v>68178559.645893216</v>
      </c>
      <c r="AJ14" s="30">
        <f t="shared" si="74"/>
        <v>64769631.66359856</v>
      </c>
      <c r="AK14" s="30">
        <f t="shared" si="75"/>
        <v>61360703.681303911</v>
      </c>
      <c r="AL14" s="97">
        <f t="shared" si="22"/>
        <v>72778946.974144429</v>
      </c>
      <c r="AM14" s="97">
        <f t="shared" si="23"/>
        <v>69313282.832518503</v>
      </c>
      <c r="AN14" s="97">
        <f t="shared" si="24"/>
        <v>65847618.690892577</v>
      </c>
      <c r="AO14" s="97">
        <f t="shared" si="25"/>
        <v>62381954.549266666</v>
      </c>
      <c r="AP14" s="97">
        <f t="shared" si="26"/>
        <v>72903089.252279863</v>
      </c>
      <c r="AQ14" s="97">
        <f t="shared" si="27"/>
        <v>69431513.57359986</v>
      </c>
      <c r="AR14" s="97">
        <f t="shared" si="28"/>
        <v>65959937.894919872</v>
      </c>
      <c r="AS14" s="97">
        <f t="shared" si="29"/>
        <v>62488362.216239892</v>
      </c>
      <c r="AT14" s="97">
        <f t="shared" si="76"/>
        <v>74095774.694810584</v>
      </c>
      <c r="AU14" s="97">
        <f t="shared" si="77"/>
        <v>70567404.471248165</v>
      </c>
      <c r="AV14" s="97">
        <f t="shared" si="78"/>
        <v>67039034.24768576</v>
      </c>
      <c r="AW14" s="97">
        <f t="shared" si="79"/>
        <v>63510664.024123371</v>
      </c>
      <c r="AX14" s="97">
        <f t="shared" si="80"/>
        <v>75608164.819057956</v>
      </c>
      <c r="AY14" s="97">
        <f t="shared" si="81"/>
        <v>72007776.018150419</v>
      </c>
      <c r="AZ14" s="97">
        <f t="shared" si="82"/>
        <v>68407387.217242911</v>
      </c>
      <c r="BA14" s="97">
        <f t="shared" si="83"/>
        <v>64806998.416335404</v>
      </c>
      <c r="BB14" s="142">
        <f t="shared" si="31"/>
        <v>77515358.040190339</v>
      </c>
      <c r="BC14" s="142">
        <f t="shared" si="32"/>
        <v>73824150.514466971</v>
      </c>
      <c r="BD14" s="142">
        <f t="shared" si="33"/>
        <v>70132942.988743633</v>
      </c>
      <c r="BE14" s="142">
        <f t="shared" si="34"/>
        <v>66441735.463020295</v>
      </c>
      <c r="BF14" s="154">
        <f t="shared" si="35"/>
        <v>78882762.244541287</v>
      </c>
      <c r="BG14" s="154">
        <f t="shared" si="36"/>
        <v>75126440.232896447</v>
      </c>
      <c r="BH14" s="154">
        <f t="shared" si="37"/>
        <v>71370118.221251637</v>
      </c>
      <c r="BI14" s="154">
        <f t="shared" si="37"/>
        <v>67227120.739179656</v>
      </c>
      <c r="BJ14" s="203">
        <f t="shared" si="38"/>
        <v>79815208.68920292</v>
      </c>
      <c r="BK14" s="203">
        <f t="shared" si="39"/>
        <v>76014484.465907529</v>
      </c>
      <c r="BL14" s="203">
        <f t="shared" si="40"/>
        <v>72213760.242612168</v>
      </c>
      <c r="BM14" s="203">
        <f t="shared" si="41"/>
        <v>68021789.788974807</v>
      </c>
      <c r="BN14" s="207">
        <f t="shared" si="42"/>
        <v>84781206.338763505</v>
      </c>
      <c r="BO14" s="207">
        <f t="shared" si="43"/>
        <v>80744006.036917612</v>
      </c>
      <c r="BP14" s="207">
        <f t="shared" si="44"/>
        <v>76706805.735071748</v>
      </c>
      <c r="BQ14" s="207">
        <f t="shared" si="45"/>
        <v>72254016.375342786</v>
      </c>
      <c r="BR14" s="203">
        <f t="shared" si="46"/>
        <v>91347873.065912202</v>
      </c>
      <c r="BS14" s="203">
        <f t="shared" si="47"/>
        <v>86997974.348487809</v>
      </c>
      <c r="BT14" s="203">
        <f t="shared" si="48"/>
        <v>82648075.631063432</v>
      </c>
      <c r="BU14" s="203">
        <f t="shared" si="49"/>
        <v>77850398.707282856</v>
      </c>
      <c r="BV14" s="154">
        <f t="shared" si="84"/>
        <v>94308589.768406212</v>
      </c>
      <c r="BW14" s="154">
        <f t="shared" si="50"/>
        <v>89817704.541339248</v>
      </c>
      <c r="BX14" s="154">
        <f t="shared" si="51"/>
        <v>85326819.314272299</v>
      </c>
      <c r="BY14" s="154">
        <f t="shared" si="52"/>
        <v>80373642.741461486</v>
      </c>
      <c r="BZ14" s="203">
        <f t="shared" si="85"/>
        <v>96758637.247755498</v>
      </c>
      <c r="CA14" s="203">
        <f t="shared" si="53"/>
        <v>92151083.093100473</v>
      </c>
      <c r="CB14" s="203">
        <f t="shared" si="54"/>
        <v>87543528.938445464</v>
      </c>
      <c r="CC14" s="203">
        <f t="shared" si="55"/>
        <v>82461673.548500508</v>
      </c>
      <c r="CD14" s="154">
        <f t="shared" si="86"/>
        <v>99366238.136886522</v>
      </c>
      <c r="CE14" s="154">
        <f t="shared" si="56"/>
        <v>94634512.511320502</v>
      </c>
      <c r="CF14" s="154">
        <f t="shared" si="57"/>
        <v>89902786.885754481</v>
      </c>
      <c r="CG14" s="154">
        <f t="shared" si="58"/>
        <v>84683977.824176833</v>
      </c>
    </row>
    <row r="15" spans="1:85" ht="15" x14ac:dyDescent="0.4">
      <c r="A15" s="4" t="s">
        <v>12</v>
      </c>
      <c r="B15" s="30">
        <f t="shared" si="59"/>
        <v>29963791.199999999</v>
      </c>
      <c r="C15" s="30">
        <f t="shared" si="2"/>
        <v>28536944</v>
      </c>
      <c r="D15" s="30">
        <f t="shared" si="3"/>
        <v>27110096.800000001</v>
      </c>
      <c r="E15" s="30">
        <f t="shared" si="60"/>
        <v>25683249.599999998</v>
      </c>
      <c r="F15" s="28">
        <f t="shared" si="4"/>
        <v>30354884.86024097</v>
      </c>
      <c r="G15" s="28">
        <f t="shared" si="5"/>
        <v>28909414.152610447</v>
      </c>
      <c r="H15" s="28">
        <f t="shared" si="6"/>
        <v>27463943.444979925</v>
      </c>
      <c r="I15" s="28">
        <f t="shared" si="7"/>
        <v>26018472.737349398</v>
      </c>
      <c r="J15" s="30">
        <f t="shared" si="8"/>
        <v>31428286.536963861</v>
      </c>
      <c r="K15" s="30">
        <f t="shared" si="9"/>
        <v>29931701.463775106</v>
      </c>
      <c r="L15" s="30">
        <f t="shared" si="10"/>
        <v>28435116.39058635</v>
      </c>
      <c r="M15" s="30">
        <f t="shared" si="11"/>
        <v>26938531.317397591</v>
      </c>
      <c r="N15" s="28">
        <f t="shared" si="61"/>
        <v>32577048.953602418</v>
      </c>
      <c r="O15" s="28">
        <f t="shared" si="62"/>
        <v>31025760.908192776</v>
      </c>
      <c r="P15" s="28">
        <f t="shared" si="12"/>
        <v>29474472.862783138</v>
      </c>
      <c r="Q15" s="28">
        <f t="shared" si="13"/>
        <v>27923184.817373496</v>
      </c>
      <c r="R15" s="30">
        <f t="shared" si="63"/>
        <v>32577048.953602418</v>
      </c>
      <c r="S15" s="30">
        <f t="shared" si="14"/>
        <v>31025760.908192776</v>
      </c>
      <c r="T15" s="30">
        <f t="shared" si="15"/>
        <v>29474472.862783138</v>
      </c>
      <c r="U15" s="30">
        <f t="shared" si="64"/>
        <v>27923184.817373496</v>
      </c>
      <c r="V15" s="97">
        <f t="shared" si="65"/>
        <v>32958913.083682995</v>
      </c>
      <c r="W15" s="97">
        <f t="shared" si="16"/>
        <v>31389441.032079037</v>
      </c>
      <c r="X15" s="97">
        <f t="shared" si="17"/>
        <v>29819968.980475087</v>
      </c>
      <c r="Y15" s="97">
        <f t="shared" si="18"/>
        <v>28250496.928871132</v>
      </c>
      <c r="Z15" s="97">
        <f t="shared" si="66"/>
        <v>34120780.661789246</v>
      </c>
      <c r="AA15" s="97">
        <f t="shared" si="19"/>
        <v>32495981.582656417</v>
      </c>
      <c r="AB15" s="97">
        <f t="shared" si="20"/>
        <v>30871182.503523596</v>
      </c>
      <c r="AC15" s="97">
        <f t="shared" si="67"/>
        <v>29246383.424390774</v>
      </c>
      <c r="AD15" s="30">
        <f t="shared" si="68"/>
        <v>34858589.178314306</v>
      </c>
      <c r="AE15" s="30">
        <f t="shared" si="69"/>
        <v>33198656.36029933</v>
      </c>
      <c r="AF15" s="30">
        <f t="shared" si="70"/>
        <v>31538723.542284362</v>
      </c>
      <c r="AG15" s="30">
        <f t="shared" si="71"/>
        <v>29878790.724269394</v>
      </c>
      <c r="AH15" s="30">
        <f t="shared" si="72"/>
        <v>35194490.972295992</v>
      </c>
      <c r="AI15" s="30">
        <f t="shared" si="73"/>
        <v>33518562.83075808</v>
      </c>
      <c r="AJ15" s="30">
        <f t="shared" si="74"/>
        <v>31842634.689220175</v>
      </c>
      <c r="AK15" s="30">
        <f t="shared" si="75"/>
        <v>30166706.547682267</v>
      </c>
      <c r="AL15" s="97">
        <f t="shared" si="22"/>
        <v>35780247.039234906</v>
      </c>
      <c r="AM15" s="97">
        <f t="shared" si="23"/>
        <v>34076425.751652278</v>
      </c>
      <c r="AN15" s="97">
        <f t="shared" si="24"/>
        <v>32372604.464069664</v>
      </c>
      <c r="AO15" s="97">
        <f t="shared" si="25"/>
        <v>30668783.176487047</v>
      </c>
      <c r="AP15" s="97">
        <f t="shared" si="26"/>
        <v>35841278.993726872</v>
      </c>
      <c r="AQ15" s="97">
        <f t="shared" si="27"/>
        <v>34134551.422597006</v>
      </c>
      <c r="AR15" s="97">
        <f t="shared" si="28"/>
        <v>32427823.851467155</v>
      </c>
      <c r="AS15" s="97">
        <f t="shared" si="29"/>
        <v>30721096.280337304</v>
      </c>
      <c r="AT15" s="97">
        <f t="shared" si="76"/>
        <v>36427637.845401503</v>
      </c>
      <c r="AU15" s="97">
        <f t="shared" si="77"/>
        <v>34692988.424191892</v>
      </c>
      <c r="AV15" s="97">
        <f t="shared" si="78"/>
        <v>32958339.0029823</v>
      </c>
      <c r="AW15" s="97">
        <f t="shared" si="79"/>
        <v>31223689.581772704</v>
      </c>
      <c r="AX15" s="97">
        <f t="shared" si="80"/>
        <v>37171172.816915929</v>
      </c>
      <c r="AY15" s="97">
        <f t="shared" si="81"/>
        <v>35401116.968491346</v>
      </c>
      <c r="AZ15" s="97">
        <f t="shared" si="82"/>
        <v>33631061.120066777</v>
      </c>
      <c r="BA15" s="97">
        <f t="shared" si="83"/>
        <v>31861005.271642208</v>
      </c>
      <c r="BB15" s="142">
        <f t="shared" si="31"/>
        <v>38108804.473333187</v>
      </c>
      <c r="BC15" s="142">
        <f t="shared" si="32"/>
        <v>36294099.498412542</v>
      </c>
      <c r="BD15" s="142">
        <f t="shared" si="33"/>
        <v>34479394.523491912</v>
      </c>
      <c r="BE15" s="142">
        <f t="shared" si="34"/>
        <v>32664689.548571285</v>
      </c>
      <c r="BF15" s="154">
        <f t="shared" si="35"/>
        <v>38781060.149848364</v>
      </c>
      <c r="BG15" s="154">
        <f t="shared" si="36"/>
        <v>36934342.999855563</v>
      </c>
      <c r="BH15" s="154">
        <f t="shared" si="37"/>
        <v>35087625.849862784</v>
      </c>
      <c r="BI15" s="154">
        <f t="shared" si="37"/>
        <v>33050807.792518165</v>
      </c>
      <c r="BJ15" s="203">
        <f t="shared" si="38"/>
        <v>39239477.941365771</v>
      </c>
      <c r="BK15" s="203">
        <f t="shared" si="39"/>
        <v>37370931.372729279</v>
      </c>
      <c r="BL15" s="203">
        <f t="shared" si="40"/>
        <v>35502384.804092817</v>
      </c>
      <c r="BM15" s="203">
        <f t="shared" si="41"/>
        <v>33441490.209594164</v>
      </c>
      <c r="BN15" s="207">
        <f t="shared" si="42"/>
        <v>41680906.817228213</v>
      </c>
      <c r="BO15" s="207">
        <f t="shared" si="43"/>
        <v>39696101.730693504</v>
      </c>
      <c r="BP15" s="207">
        <f t="shared" si="44"/>
        <v>37711296.644158833</v>
      </c>
      <c r="BQ15" s="207">
        <f t="shared" si="45"/>
        <v>35522175.889754683</v>
      </c>
      <c r="BR15" s="203">
        <f t="shared" si="46"/>
        <v>44909271.165577136</v>
      </c>
      <c r="BS15" s="203">
        <f t="shared" si="47"/>
        <v>42770734.443406761</v>
      </c>
      <c r="BT15" s="203">
        <f t="shared" si="48"/>
        <v>40632197.72123643</v>
      </c>
      <c r="BU15" s="203">
        <f t="shared" si="49"/>
        <v>38273520.209616341</v>
      </c>
      <c r="BV15" s="154">
        <f t="shared" si="84"/>
        <v>46364845.606164455</v>
      </c>
      <c r="BW15" s="154">
        <f t="shared" si="50"/>
        <v>44156995.815394685</v>
      </c>
      <c r="BX15" s="154">
        <f t="shared" si="51"/>
        <v>41949146.024624959</v>
      </c>
      <c r="BY15" s="154">
        <f t="shared" si="52"/>
        <v>39514020.362981588</v>
      </c>
      <c r="BZ15" s="203">
        <f t="shared" si="85"/>
        <v>47569360.204323113</v>
      </c>
      <c r="CA15" s="203">
        <f t="shared" si="53"/>
        <v>45304152.575545788</v>
      </c>
      <c r="CB15" s="203">
        <f t="shared" si="54"/>
        <v>43038944.946768507</v>
      </c>
      <c r="CC15" s="203">
        <f t="shared" si="55"/>
        <v>40540557.036120467</v>
      </c>
      <c r="CD15" s="154">
        <f t="shared" si="86"/>
        <v>48851332.641022183</v>
      </c>
      <c r="CE15" s="154">
        <f t="shared" si="56"/>
        <v>46525078.705735378</v>
      </c>
      <c r="CF15" s="154">
        <f t="shared" si="57"/>
        <v>44198824.770448618</v>
      </c>
      <c r="CG15" s="154">
        <f t="shared" si="58"/>
        <v>41633106.451658115</v>
      </c>
    </row>
    <row r="16" spans="1:85" ht="15" x14ac:dyDescent="0.4">
      <c r="A16" s="4" t="s">
        <v>13</v>
      </c>
      <c r="B16" s="30">
        <f t="shared" si="59"/>
        <v>3864132.8249999997</v>
      </c>
      <c r="C16" s="30">
        <f t="shared" si="2"/>
        <v>3680126.5</v>
      </c>
      <c r="D16" s="30">
        <f t="shared" si="3"/>
        <v>3496120.1749999998</v>
      </c>
      <c r="E16" s="30">
        <f t="shared" si="60"/>
        <v>3312113.85</v>
      </c>
      <c r="F16" s="28">
        <f t="shared" si="4"/>
        <v>3914568.2935993979</v>
      </c>
      <c r="G16" s="28">
        <f t="shared" si="5"/>
        <v>3728160.2796184747</v>
      </c>
      <c r="H16" s="28">
        <f t="shared" si="6"/>
        <v>3541752.2656375505</v>
      </c>
      <c r="I16" s="28">
        <f t="shared" si="7"/>
        <v>3355344.2516566273</v>
      </c>
      <c r="J16" s="30">
        <f t="shared" si="8"/>
        <v>4052994.2566475905</v>
      </c>
      <c r="K16" s="30">
        <f t="shared" si="9"/>
        <v>3859994.5301405629</v>
      </c>
      <c r="L16" s="30">
        <f t="shared" si="10"/>
        <v>3666994.8036335343</v>
      </c>
      <c r="M16" s="30">
        <f t="shared" si="11"/>
        <v>3473995.0771265067</v>
      </c>
      <c r="N16" s="28">
        <f t="shared" si="61"/>
        <v>4201138.746529744</v>
      </c>
      <c r="O16" s="28">
        <f t="shared" si="62"/>
        <v>4001084.5205045189</v>
      </c>
      <c r="P16" s="28">
        <f t="shared" si="12"/>
        <v>3801030.2944792924</v>
      </c>
      <c r="Q16" s="28">
        <f t="shared" si="13"/>
        <v>3600976.0684540672</v>
      </c>
      <c r="R16" s="30">
        <f t="shared" si="63"/>
        <v>4201138.746529744</v>
      </c>
      <c r="S16" s="30">
        <f t="shared" si="14"/>
        <v>4001084.5205045189</v>
      </c>
      <c r="T16" s="30">
        <f t="shared" si="15"/>
        <v>3801030.2944792924</v>
      </c>
      <c r="U16" s="30">
        <f t="shared" si="64"/>
        <v>3600976.0684540672</v>
      </c>
      <c r="V16" s="97">
        <f t="shared" si="65"/>
        <v>4250383.9742075559</v>
      </c>
      <c r="W16" s="97">
        <f t="shared" si="16"/>
        <v>4047984.7373405304</v>
      </c>
      <c r="X16" s="97">
        <f t="shared" si="17"/>
        <v>3845585.5004735035</v>
      </c>
      <c r="Y16" s="97">
        <f t="shared" si="18"/>
        <v>3643186.2636064775</v>
      </c>
      <c r="Z16" s="97">
        <f t="shared" si="66"/>
        <v>4400218.5067237085</v>
      </c>
      <c r="AA16" s="97">
        <f t="shared" si="19"/>
        <v>4190684.2921178183</v>
      </c>
      <c r="AB16" s="97">
        <f t="shared" si="20"/>
        <v>3981150.0775119271</v>
      </c>
      <c r="AC16" s="97">
        <f t="shared" si="67"/>
        <v>3771615.8629060369</v>
      </c>
      <c r="AD16" s="30">
        <f t="shared" si="68"/>
        <v>4495366.349940191</v>
      </c>
      <c r="AE16" s="30">
        <f t="shared" si="69"/>
        <v>4281301.2856573258</v>
      </c>
      <c r="AF16" s="30">
        <f t="shared" si="70"/>
        <v>4067236.2213744591</v>
      </c>
      <c r="AG16" s="30">
        <f t="shared" si="71"/>
        <v>3853171.1570915938</v>
      </c>
      <c r="AH16" s="30">
        <f t="shared" si="72"/>
        <v>4538684.2712084791</v>
      </c>
      <c r="AI16" s="30">
        <f t="shared" si="73"/>
        <v>4322556.448769981</v>
      </c>
      <c r="AJ16" s="30">
        <f t="shared" si="74"/>
        <v>4106428.6263314816</v>
      </c>
      <c r="AK16" s="30">
        <f t="shared" si="75"/>
        <v>3890300.8038929836</v>
      </c>
      <c r="AL16" s="97">
        <f t="shared" si="22"/>
        <v>4614223.4187947679</v>
      </c>
      <c r="AM16" s="97">
        <f t="shared" si="23"/>
        <v>4394498.4940902563</v>
      </c>
      <c r="AN16" s="97">
        <f t="shared" si="24"/>
        <v>4174773.5693857428</v>
      </c>
      <c r="AO16" s="97">
        <f t="shared" si="25"/>
        <v>3955048.6446812311</v>
      </c>
      <c r="AP16" s="97">
        <f t="shared" si="26"/>
        <v>4622094.1043549553</v>
      </c>
      <c r="AQ16" s="97">
        <f t="shared" si="27"/>
        <v>4401994.3850999586</v>
      </c>
      <c r="AR16" s="97">
        <f t="shared" si="28"/>
        <v>4181894.6658449597</v>
      </c>
      <c r="AS16" s="97">
        <f t="shared" si="29"/>
        <v>3961794.946589963</v>
      </c>
      <c r="AT16" s="97">
        <f t="shared" si="76"/>
        <v>4697710.9871072704</v>
      </c>
      <c r="AU16" s="97">
        <f t="shared" si="77"/>
        <v>4474010.463911688</v>
      </c>
      <c r="AV16" s="97">
        <f t="shared" si="78"/>
        <v>4250309.9407161018</v>
      </c>
      <c r="AW16" s="97">
        <f t="shared" si="79"/>
        <v>4026609.4175205189</v>
      </c>
      <c r="AX16" s="97">
        <f t="shared" si="80"/>
        <v>4793597.3144010045</v>
      </c>
      <c r="AY16" s="97">
        <f t="shared" si="81"/>
        <v>4565330.775620007</v>
      </c>
      <c r="AZ16" s="97">
        <f t="shared" si="82"/>
        <v>4337064.2368390048</v>
      </c>
      <c r="BA16" s="97">
        <f t="shared" si="83"/>
        <v>4108797.6980580054</v>
      </c>
      <c r="BB16" s="142">
        <f t="shared" si="31"/>
        <v>4914514.3651552843</v>
      </c>
      <c r="BC16" s="142">
        <f t="shared" si="32"/>
        <v>4680489.8715764638</v>
      </c>
      <c r="BD16" s="142">
        <f t="shared" si="33"/>
        <v>4446465.3779976387</v>
      </c>
      <c r="BE16" s="142">
        <f t="shared" si="34"/>
        <v>4212440.8844188163</v>
      </c>
      <c r="BF16" s="154">
        <f t="shared" si="35"/>
        <v>5001208.5090663815</v>
      </c>
      <c r="BG16" s="154">
        <f t="shared" si="36"/>
        <v>4763055.7229203656</v>
      </c>
      <c r="BH16" s="154">
        <f t="shared" si="37"/>
        <v>4524902.936774346</v>
      </c>
      <c r="BI16" s="154">
        <f t="shared" si="37"/>
        <v>4262234.7229490522</v>
      </c>
      <c r="BJ16" s="203">
        <f t="shared" si="38"/>
        <v>5060326.1028295634</v>
      </c>
      <c r="BK16" s="203">
        <f t="shared" si="39"/>
        <v>4819358.193171015</v>
      </c>
      <c r="BL16" s="203">
        <f t="shared" si="40"/>
        <v>4578390.2835124629</v>
      </c>
      <c r="BM16" s="203">
        <f t="shared" si="41"/>
        <v>4312617.1575981667</v>
      </c>
      <c r="BN16" s="207">
        <f t="shared" si="42"/>
        <v>5375172.9590285514</v>
      </c>
      <c r="BO16" s="207">
        <f t="shared" si="43"/>
        <v>5119212.3419319559</v>
      </c>
      <c r="BP16" s="207">
        <f t="shared" si="44"/>
        <v>4863251.7248353567</v>
      </c>
      <c r="BQ16" s="207">
        <f t="shared" si="45"/>
        <v>4580942.5434463937</v>
      </c>
      <c r="BR16" s="203">
        <f t="shared" si="46"/>
        <v>5791503.0744751841</v>
      </c>
      <c r="BS16" s="203">
        <f t="shared" si="47"/>
        <v>5515717.2137858924</v>
      </c>
      <c r="BT16" s="203">
        <f t="shared" si="48"/>
        <v>5239931.353096596</v>
      </c>
      <c r="BU16" s="203">
        <f t="shared" si="49"/>
        <v>4935756.1192149604</v>
      </c>
      <c r="BV16" s="154">
        <f t="shared" si="84"/>
        <v>5979214.0666377665</v>
      </c>
      <c r="BW16" s="154">
        <f t="shared" si="50"/>
        <v>5694489.5872740662</v>
      </c>
      <c r="BX16" s="154">
        <f t="shared" si="51"/>
        <v>5409765.1079103611</v>
      </c>
      <c r="BY16" s="154">
        <f t="shared" si="52"/>
        <v>5095731.114703388</v>
      </c>
      <c r="BZ16" s="203">
        <f t="shared" si="85"/>
        <v>6134548.3621502975</v>
      </c>
      <c r="CA16" s="203">
        <f t="shared" si="53"/>
        <v>5842427.0115717147</v>
      </c>
      <c r="CB16" s="203">
        <f t="shared" si="54"/>
        <v>5550305.6609931272</v>
      </c>
      <c r="CC16" s="203">
        <f t="shared" si="55"/>
        <v>5228113.3632735303</v>
      </c>
      <c r="CD16" s="154">
        <f t="shared" si="86"/>
        <v>6299871.6264972379</v>
      </c>
      <c r="CE16" s="154">
        <f t="shared" si="56"/>
        <v>5999877.7395211812</v>
      </c>
      <c r="CF16" s="154">
        <f t="shared" si="57"/>
        <v>5699883.8525451208</v>
      </c>
      <c r="CG16" s="154">
        <f t="shared" si="58"/>
        <v>5369008.6201966126</v>
      </c>
    </row>
    <row r="17" spans="1:85" ht="15" x14ac:dyDescent="0.4">
      <c r="A17" s="4" t="s">
        <v>14</v>
      </c>
      <c r="B17" s="30">
        <f t="shared" si="59"/>
        <v>5253827.04</v>
      </c>
      <c r="C17" s="30">
        <f t="shared" si="2"/>
        <v>5003644.8</v>
      </c>
      <c r="D17" s="30">
        <f t="shared" si="3"/>
        <v>4753462.5599999996</v>
      </c>
      <c r="E17" s="30">
        <f t="shared" si="60"/>
        <v>4503280.32</v>
      </c>
      <c r="F17" s="28">
        <f t="shared" si="4"/>
        <v>5322401.0877108444</v>
      </c>
      <c r="G17" s="28">
        <f t="shared" si="5"/>
        <v>5068953.4168674704</v>
      </c>
      <c r="H17" s="28">
        <f t="shared" si="6"/>
        <v>4815505.7460240964</v>
      </c>
      <c r="I17" s="28">
        <f t="shared" si="7"/>
        <v>4562058.0751807243</v>
      </c>
      <c r="J17" s="30">
        <f t="shared" si="8"/>
        <v>5510610.4740433739</v>
      </c>
      <c r="K17" s="30">
        <f t="shared" si="9"/>
        <v>5248200.4514698796</v>
      </c>
      <c r="L17" s="30">
        <f t="shared" si="10"/>
        <v>4985790.4288963852</v>
      </c>
      <c r="M17" s="30">
        <f t="shared" si="11"/>
        <v>4723380.4063228928</v>
      </c>
      <c r="N17" s="28">
        <f t="shared" si="61"/>
        <v>5712033.5518771093</v>
      </c>
      <c r="O17" s="28">
        <f t="shared" si="62"/>
        <v>5440031.9541686755</v>
      </c>
      <c r="P17" s="28">
        <f t="shared" si="12"/>
        <v>5168030.3564602407</v>
      </c>
      <c r="Q17" s="28">
        <f t="shared" si="13"/>
        <v>4896028.7587518087</v>
      </c>
      <c r="R17" s="30">
        <f t="shared" si="63"/>
        <v>5712033.5518771093</v>
      </c>
      <c r="S17" s="30">
        <f t="shared" si="14"/>
        <v>5440031.9541686755</v>
      </c>
      <c r="T17" s="30">
        <f t="shared" si="15"/>
        <v>5168030.3564602407</v>
      </c>
      <c r="U17" s="30">
        <f t="shared" si="64"/>
        <v>4896028.7587518087</v>
      </c>
      <c r="V17" s="97">
        <f t="shared" si="65"/>
        <v>5778989.3011957537</v>
      </c>
      <c r="W17" s="97">
        <f t="shared" si="16"/>
        <v>5503799.3344721468</v>
      </c>
      <c r="X17" s="97">
        <f t="shared" si="17"/>
        <v>5228609.367748538</v>
      </c>
      <c r="Y17" s="97">
        <f t="shared" si="18"/>
        <v>4953419.401024932</v>
      </c>
      <c r="Z17" s="97">
        <f t="shared" si="66"/>
        <v>5982710.227496759</v>
      </c>
      <c r="AA17" s="97">
        <f t="shared" si="19"/>
        <v>5697819.264282628</v>
      </c>
      <c r="AB17" s="97">
        <f t="shared" si="20"/>
        <v>5412928.301068495</v>
      </c>
      <c r="AC17" s="97">
        <f t="shared" si="67"/>
        <v>5128037.3378543649</v>
      </c>
      <c r="AD17" s="30">
        <f t="shared" si="68"/>
        <v>6112076.9791400433</v>
      </c>
      <c r="AE17" s="30">
        <f t="shared" si="69"/>
        <v>5821025.6944190897</v>
      </c>
      <c r="AF17" s="30">
        <f t="shared" si="70"/>
        <v>5529974.4096981334</v>
      </c>
      <c r="AG17" s="30">
        <f t="shared" si="71"/>
        <v>5238923.1249771798</v>
      </c>
      <c r="AH17" s="30">
        <f t="shared" si="72"/>
        <v>6170973.729428621</v>
      </c>
      <c r="AI17" s="30">
        <f t="shared" si="73"/>
        <v>5877117.8375510685</v>
      </c>
      <c r="AJ17" s="30">
        <f t="shared" si="74"/>
        <v>5583261.9456735132</v>
      </c>
      <c r="AK17" s="30">
        <f t="shared" si="75"/>
        <v>5289406.0537959607</v>
      </c>
      <c r="AL17" s="97">
        <f t="shared" si="22"/>
        <v>6273679.7269035904</v>
      </c>
      <c r="AM17" s="97">
        <f t="shared" si="23"/>
        <v>5974933.0732415151</v>
      </c>
      <c r="AN17" s="97">
        <f t="shared" si="24"/>
        <v>5676186.4195794379</v>
      </c>
      <c r="AO17" s="97">
        <f t="shared" si="25"/>
        <v>5377439.7659173626</v>
      </c>
      <c r="AP17" s="97">
        <f t="shared" si="26"/>
        <v>6284381.0206976123</v>
      </c>
      <c r="AQ17" s="97">
        <f t="shared" si="27"/>
        <v>5985124.7816167744</v>
      </c>
      <c r="AR17" s="97">
        <f t="shared" si="28"/>
        <v>5685868.5425359337</v>
      </c>
      <c r="AS17" s="97">
        <f t="shared" si="29"/>
        <v>5386612.3034550957</v>
      </c>
      <c r="AT17" s="97">
        <f t="shared" si="76"/>
        <v>6387192.7099631391</v>
      </c>
      <c r="AU17" s="97">
        <f t="shared" si="77"/>
        <v>6083040.6761553716</v>
      </c>
      <c r="AV17" s="97">
        <f t="shared" si="78"/>
        <v>5778888.6423476012</v>
      </c>
      <c r="AW17" s="97">
        <f t="shared" si="79"/>
        <v>5474736.6085398337</v>
      </c>
      <c r="AX17" s="97">
        <f t="shared" si="80"/>
        <v>6517563.5336167263</v>
      </c>
      <c r="AY17" s="97">
        <f t="shared" si="81"/>
        <v>6207203.3653492639</v>
      </c>
      <c r="AZ17" s="97">
        <f t="shared" si="82"/>
        <v>5896843.1970817987</v>
      </c>
      <c r="BA17" s="97">
        <f t="shared" si="83"/>
        <v>5586483.0288143372</v>
      </c>
      <c r="BB17" s="142">
        <f t="shared" si="31"/>
        <v>6681967.1138300663</v>
      </c>
      <c r="BC17" s="142">
        <f t="shared" si="32"/>
        <v>6363778.2036476824</v>
      </c>
      <c r="BD17" s="142">
        <f t="shared" si="33"/>
        <v>6045589.2934652967</v>
      </c>
      <c r="BE17" s="142">
        <f t="shared" si="34"/>
        <v>5727400.3832829138</v>
      </c>
      <c r="BF17" s="154">
        <f t="shared" si="35"/>
        <v>6799839.8832501424</v>
      </c>
      <c r="BG17" s="154">
        <f t="shared" si="36"/>
        <v>6476037.9840477556</v>
      </c>
      <c r="BH17" s="154">
        <f t="shared" si="37"/>
        <v>6152236.084845366</v>
      </c>
      <c r="BI17" s="154">
        <f t="shared" si="37"/>
        <v>5795102.0455039954</v>
      </c>
      <c r="BJ17" s="203">
        <f t="shared" si="38"/>
        <v>6880218.4899696829</v>
      </c>
      <c r="BK17" s="203">
        <f t="shared" si="39"/>
        <v>6552589.0380663658</v>
      </c>
      <c r="BL17" s="203">
        <f t="shared" si="40"/>
        <v>6224959.5861630458</v>
      </c>
      <c r="BM17" s="203">
        <f t="shared" si="41"/>
        <v>5863603.9861691818</v>
      </c>
      <c r="BN17" s="207">
        <f t="shared" si="42"/>
        <v>7308296.6646781918</v>
      </c>
      <c r="BO17" s="207">
        <f t="shared" si="43"/>
        <v>6960282.5377887553</v>
      </c>
      <c r="BP17" s="207">
        <f t="shared" si="44"/>
        <v>6612268.410899316</v>
      </c>
      <c r="BQ17" s="207">
        <f t="shared" si="45"/>
        <v>6228429.7391989958</v>
      </c>
      <c r="BR17" s="203">
        <f t="shared" si="46"/>
        <v>7874355.4719604813</v>
      </c>
      <c r="BS17" s="203">
        <f t="shared" si="47"/>
        <v>7499386.1637718882</v>
      </c>
      <c r="BT17" s="203">
        <f t="shared" si="48"/>
        <v>7124416.8555832915</v>
      </c>
      <c r="BU17" s="203">
        <f t="shared" si="49"/>
        <v>6710848.2384988964</v>
      </c>
      <c r="BV17" s="154">
        <f t="shared" si="84"/>
        <v>8129574.7232109876</v>
      </c>
      <c r="BW17" s="154">
        <f t="shared" si="50"/>
        <v>7742452.1173437992</v>
      </c>
      <c r="BX17" s="154">
        <f t="shared" si="51"/>
        <v>7355329.5114766071</v>
      </c>
      <c r="BY17" s="154">
        <f t="shared" si="52"/>
        <v>6928356.5372776724</v>
      </c>
      <c r="BZ17" s="203">
        <f t="shared" si="85"/>
        <v>8340773.3436939893</v>
      </c>
      <c r="CA17" s="203">
        <f t="shared" si="53"/>
        <v>7943593.6606609439</v>
      </c>
      <c r="CB17" s="203">
        <f t="shared" si="54"/>
        <v>7546413.9776278939</v>
      </c>
      <c r="CC17" s="203">
        <f t="shared" si="55"/>
        <v>7108348.6515895855</v>
      </c>
      <c r="CD17" s="154">
        <f t="shared" si="86"/>
        <v>8565553.3592637237</v>
      </c>
      <c r="CE17" s="154">
        <f t="shared" si="56"/>
        <v>8157669.865965453</v>
      </c>
      <c r="CF17" s="154">
        <f t="shared" si="57"/>
        <v>7749786.3726671776</v>
      </c>
      <c r="CG17" s="154">
        <f t="shared" si="58"/>
        <v>7299915.3870395338</v>
      </c>
    </row>
    <row r="18" spans="1:85" ht="15" x14ac:dyDescent="0.4">
      <c r="A18" s="4" t="s">
        <v>15</v>
      </c>
      <c r="B18" s="30">
        <f t="shared" si="59"/>
        <v>49019207.369999997</v>
      </c>
      <c r="C18" s="30">
        <f t="shared" si="2"/>
        <v>46684959.400000006</v>
      </c>
      <c r="D18" s="30">
        <f t="shared" si="3"/>
        <v>44350711.43</v>
      </c>
      <c r="E18" s="30">
        <f t="shared" si="60"/>
        <v>42016463.460000001</v>
      </c>
      <c r="F18" s="28">
        <f t="shared" si="4"/>
        <v>49659016.30153615</v>
      </c>
      <c r="G18" s="28">
        <f t="shared" si="5"/>
        <v>47294301.23955825</v>
      </c>
      <c r="H18" s="28">
        <f t="shared" si="6"/>
        <v>44929586.177580327</v>
      </c>
      <c r="I18" s="28">
        <f t="shared" si="7"/>
        <v>42564871.115602419</v>
      </c>
      <c r="J18" s="30">
        <f t="shared" si="8"/>
        <v>51415045.738244578</v>
      </c>
      <c r="K18" s="30">
        <f t="shared" si="9"/>
        <v>48966710.226899616</v>
      </c>
      <c r="L18" s="30">
        <f t="shared" si="10"/>
        <v>46518374.715554625</v>
      </c>
      <c r="M18" s="30">
        <f t="shared" si="11"/>
        <v>44070039.204209648</v>
      </c>
      <c r="N18" s="28">
        <f t="shared" si="61"/>
        <v>53294361.434452862</v>
      </c>
      <c r="O18" s="28">
        <f t="shared" si="62"/>
        <v>50756534.699478939</v>
      </c>
      <c r="P18" s="28">
        <f t="shared" si="12"/>
        <v>48218707.96450498</v>
      </c>
      <c r="Q18" s="28">
        <f t="shared" si="13"/>
        <v>45680881.229531035</v>
      </c>
      <c r="R18" s="30">
        <f t="shared" si="63"/>
        <v>53294361.434452862</v>
      </c>
      <c r="S18" s="30">
        <f t="shared" si="14"/>
        <v>50756534.699478939</v>
      </c>
      <c r="T18" s="30">
        <f t="shared" si="15"/>
        <v>48218707.96450498</v>
      </c>
      <c r="U18" s="30">
        <f t="shared" si="64"/>
        <v>45680881.229531035</v>
      </c>
      <c r="V18" s="97">
        <f t="shared" si="65"/>
        <v>53919071.333632253</v>
      </c>
      <c r="W18" s="97">
        <f t="shared" si="16"/>
        <v>51351496.508221216</v>
      </c>
      <c r="X18" s="97">
        <f t="shared" si="17"/>
        <v>48783921.682810143</v>
      </c>
      <c r="Y18" s="97">
        <f t="shared" si="18"/>
        <v>46216346.857399084</v>
      </c>
      <c r="Z18" s="97">
        <f t="shared" si="66"/>
        <v>55819826.393882096</v>
      </c>
      <c r="AA18" s="97">
        <f t="shared" si="19"/>
        <v>53161739.422744878</v>
      </c>
      <c r="AB18" s="97">
        <f t="shared" si="20"/>
        <v>50503652.451607622</v>
      </c>
      <c r="AC18" s="97">
        <f t="shared" si="67"/>
        <v>47845565.480470382</v>
      </c>
      <c r="AD18" s="30">
        <f t="shared" si="68"/>
        <v>57026842.836811185</v>
      </c>
      <c r="AE18" s="30">
        <f t="shared" si="69"/>
        <v>54311278.892201155</v>
      </c>
      <c r="AF18" s="30">
        <f t="shared" si="70"/>
        <v>51595714.947591081</v>
      </c>
      <c r="AG18" s="30">
        <f t="shared" si="71"/>
        <v>48880151.002981029</v>
      </c>
      <c r="AH18" s="30">
        <f t="shared" si="72"/>
        <v>57576360.739443727</v>
      </c>
      <c r="AI18" s="30">
        <f t="shared" si="73"/>
        <v>54834629.275660716</v>
      </c>
      <c r="AJ18" s="30">
        <f t="shared" si="74"/>
        <v>52092897.81187766</v>
      </c>
      <c r="AK18" s="30">
        <f t="shared" si="75"/>
        <v>49351166.348094635</v>
      </c>
      <c r="AL18" s="97">
        <f t="shared" si="22"/>
        <v>58534627.265927665</v>
      </c>
      <c r="AM18" s="97">
        <f t="shared" si="23"/>
        <v>55747264.062788278</v>
      </c>
      <c r="AN18" s="97">
        <f t="shared" si="24"/>
        <v>52959900.859648846</v>
      </c>
      <c r="AO18" s="97">
        <f t="shared" si="25"/>
        <v>50172537.656509444</v>
      </c>
      <c r="AP18" s="97">
        <f t="shared" si="26"/>
        <v>58634472.376096435</v>
      </c>
      <c r="AQ18" s="97">
        <f t="shared" si="27"/>
        <v>55842354.643901393</v>
      </c>
      <c r="AR18" s="97">
        <f t="shared" si="28"/>
        <v>53050236.911706306</v>
      </c>
      <c r="AS18" s="97">
        <f t="shared" si="29"/>
        <v>50258119.179511249</v>
      </c>
      <c r="AT18" s="97">
        <f t="shared" si="76"/>
        <v>59593725.027125254</v>
      </c>
      <c r="AU18" s="97">
        <f t="shared" si="77"/>
        <v>56755928.597262174</v>
      </c>
      <c r="AV18" s="97">
        <f t="shared" si="78"/>
        <v>53918132.167399049</v>
      </c>
      <c r="AW18" s="97">
        <f t="shared" si="79"/>
        <v>51080335.737535946</v>
      </c>
      <c r="AX18" s="97">
        <f t="shared" si="80"/>
        <v>60810109.653230667</v>
      </c>
      <c r="AY18" s="97">
        <f t="shared" si="81"/>
        <v>57914390.145933993</v>
      </c>
      <c r="AZ18" s="97">
        <f t="shared" si="82"/>
        <v>55018670.638637275</v>
      </c>
      <c r="BA18" s="97">
        <f t="shared" si="83"/>
        <v>52122951.131340586</v>
      </c>
      <c r="BB18" s="142">
        <f t="shared" si="31"/>
        <v>62344026.382786371</v>
      </c>
      <c r="BC18" s="142">
        <f t="shared" si="32"/>
        <v>59375263.221701331</v>
      </c>
      <c r="BD18" s="142">
        <f t="shared" si="33"/>
        <v>56406500.060616247</v>
      </c>
      <c r="BE18" s="142">
        <f t="shared" si="34"/>
        <v>53437736.899531193</v>
      </c>
      <c r="BF18" s="154">
        <f t="shared" si="35"/>
        <v>63443801.781460121</v>
      </c>
      <c r="BG18" s="154">
        <f t="shared" si="36"/>
        <v>60422668.363295376</v>
      </c>
      <c r="BH18" s="154">
        <f t="shared" si="37"/>
        <v>57401534.945130594</v>
      </c>
      <c r="BI18" s="154">
        <f t="shared" si="37"/>
        <v>54069406.308219783</v>
      </c>
      <c r="BJ18" s="203">
        <f t="shared" si="38"/>
        <v>64193749.497838855</v>
      </c>
      <c r="BK18" s="203">
        <f t="shared" si="39"/>
        <v>61136904.283656076</v>
      </c>
      <c r="BL18" s="203">
        <f t="shared" si="40"/>
        <v>58080059.069473259</v>
      </c>
      <c r="BM18" s="203">
        <f t="shared" si="41"/>
        <v>54708542.467280366</v>
      </c>
      <c r="BN18" s="207">
        <f t="shared" si="42"/>
        <v>68187800.435725734</v>
      </c>
      <c r="BO18" s="207">
        <f t="shared" si="43"/>
        <v>64940762.319738828</v>
      </c>
      <c r="BP18" s="207">
        <f t="shared" si="44"/>
        <v>61693724.203751869</v>
      </c>
      <c r="BQ18" s="207">
        <f t="shared" si="45"/>
        <v>58112436.258516565</v>
      </c>
      <c r="BR18" s="203">
        <f t="shared" si="46"/>
        <v>73469236.96694915</v>
      </c>
      <c r="BS18" s="203">
        <f t="shared" si="47"/>
        <v>69970701.873284936</v>
      </c>
      <c r="BT18" s="203">
        <f t="shared" si="48"/>
        <v>66472166.779620677</v>
      </c>
      <c r="BU18" s="203">
        <f t="shared" si="49"/>
        <v>62613492.779080294</v>
      </c>
      <c r="BV18" s="154">
        <f t="shared" si="84"/>
        <v>75850481.211690173</v>
      </c>
      <c r="BW18" s="154">
        <f t="shared" si="50"/>
        <v>72238553.534943044</v>
      </c>
      <c r="BX18" s="154">
        <f t="shared" si="51"/>
        <v>68626625.858195886</v>
      </c>
      <c r="BY18" s="154">
        <f t="shared" si="52"/>
        <v>64642886.651652992</v>
      </c>
      <c r="BZ18" s="203">
        <f t="shared" si="85"/>
        <v>77821004.583490059</v>
      </c>
      <c r="CA18" s="203">
        <f t="shared" si="53"/>
        <v>74115242.460466743</v>
      </c>
      <c r="CB18" s="203">
        <f t="shared" si="54"/>
        <v>70409480.337443396</v>
      </c>
      <c r="CC18" s="203">
        <f t="shared" si="55"/>
        <v>66322247.374654718</v>
      </c>
      <c r="CD18" s="154">
        <f t="shared" si="86"/>
        <v>79918244.959306583</v>
      </c>
      <c r="CE18" s="154">
        <f t="shared" si="56"/>
        <v>76112614.246958673</v>
      </c>
      <c r="CF18" s="154">
        <f t="shared" si="57"/>
        <v>72306983.534610733</v>
      </c>
      <c r="CG18" s="154">
        <f t="shared" si="58"/>
        <v>68109601.518352404</v>
      </c>
    </row>
    <row r="19" spans="1:85" ht="15" x14ac:dyDescent="0.4">
      <c r="A19" s="4" t="s">
        <v>16</v>
      </c>
      <c r="B19" s="30">
        <f t="shared" si="59"/>
        <v>24752700.105</v>
      </c>
      <c r="C19" s="30">
        <f t="shared" si="2"/>
        <v>23574000.100000001</v>
      </c>
      <c r="D19" s="30">
        <f t="shared" si="3"/>
        <v>22395300.094999999</v>
      </c>
      <c r="E19" s="30">
        <f t="shared" si="60"/>
        <v>21216600.09</v>
      </c>
      <c r="F19" s="28">
        <f t="shared" si="4"/>
        <v>25075777.51600904</v>
      </c>
      <c r="G19" s="28">
        <f t="shared" si="5"/>
        <v>23881692.872389562</v>
      </c>
      <c r="H19" s="28">
        <f t="shared" si="6"/>
        <v>22687608.228770081</v>
      </c>
      <c r="I19" s="28">
        <f t="shared" si="7"/>
        <v>21493523.585150607</v>
      </c>
      <c r="J19" s="30">
        <f t="shared" si="8"/>
        <v>25962500.748686146</v>
      </c>
      <c r="K19" s="30">
        <f t="shared" si="9"/>
        <v>24726191.189224903</v>
      </c>
      <c r="L19" s="30">
        <f t="shared" si="10"/>
        <v>23489881.629763655</v>
      </c>
      <c r="M19" s="30">
        <f t="shared" si="11"/>
        <v>22253572.070302412</v>
      </c>
      <c r="N19" s="28">
        <f t="shared" si="61"/>
        <v>26911478.513253842</v>
      </c>
      <c r="O19" s="28">
        <f t="shared" si="62"/>
        <v>25629979.536432233</v>
      </c>
      <c r="P19" s="28">
        <f t="shared" si="12"/>
        <v>24348480.55961062</v>
      </c>
      <c r="Q19" s="28">
        <f t="shared" si="13"/>
        <v>23066981.582789008</v>
      </c>
      <c r="R19" s="30">
        <f t="shared" si="63"/>
        <v>26911478.513253842</v>
      </c>
      <c r="S19" s="30">
        <f t="shared" si="14"/>
        <v>25629979.536432233</v>
      </c>
      <c r="T19" s="30">
        <f t="shared" si="15"/>
        <v>24348480.55961062</v>
      </c>
      <c r="U19" s="30">
        <f t="shared" si="64"/>
        <v>23066981.582789008</v>
      </c>
      <c r="V19" s="97">
        <f t="shared" si="65"/>
        <v>27226931.528850254</v>
      </c>
      <c r="W19" s="97">
        <f t="shared" si="16"/>
        <v>25930410.979857385</v>
      </c>
      <c r="X19" s="97">
        <f t="shared" si="17"/>
        <v>24633890.430864517</v>
      </c>
      <c r="Y19" s="97">
        <f t="shared" si="18"/>
        <v>23337369.881871644</v>
      </c>
      <c r="Z19" s="97">
        <f t="shared" si="66"/>
        <v>28186735.297693316</v>
      </c>
      <c r="AA19" s="97">
        <f t="shared" si="19"/>
        <v>26844509.807326969</v>
      </c>
      <c r="AB19" s="97">
        <f t="shared" si="20"/>
        <v>25502284.316960622</v>
      </c>
      <c r="AC19" s="97">
        <f t="shared" si="67"/>
        <v>24160058.826594271</v>
      </c>
      <c r="AD19" s="30">
        <f t="shared" si="68"/>
        <v>28796229.364133738</v>
      </c>
      <c r="AE19" s="30">
        <f t="shared" si="69"/>
        <v>27424980.346794035</v>
      </c>
      <c r="AF19" s="30">
        <f t="shared" si="70"/>
        <v>26053731.329454336</v>
      </c>
      <c r="AG19" s="30">
        <f t="shared" si="71"/>
        <v>24682482.31211463</v>
      </c>
      <c r="AH19" s="30">
        <f t="shared" si="72"/>
        <v>29073713.488744784</v>
      </c>
      <c r="AI19" s="30">
        <f t="shared" si="73"/>
        <v>27689250.941661697</v>
      </c>
      <c r="AJ19" s="30">
        <f t="shared" si="74"/>
        <v>26304788.394578617</v>
      </c>
      <c r="AK19" s="30">
        <f t="shared" si="75"/>
        <v>24920325.847495526</v>
      </c>
      <c r="AL19" s="97">
        <f t="shared" si="22"/>
        <v>29557598.994515602</v>
      </c>
      <c r="AM19" s="97">
        <f t="shared" si="23"/>
        <v>28150094.280491047</v>
      </c>
      <c r="AN19" s="97">
        <f t="shared" si="24"/>
        <v>26742589.566466499</v>
      </c>
      <c r="AO19" s="97">
        <f t="shared" si="25"/>
        <v>25335084.85244194</v>
      </c>
      <c r="AP19" s="97">
        <f t="shared" si="26"/>
        <v>29608016.702217475</v>
      </c>
      <c r="AQ19" s="97">
        <f t="shared" si="27"/>
        <v>28198111.144969024</v>
      </c>
      <c r="AR19" s="97">
        <f t="shared" si="28"/>
        <v>26788205.587720577</v>
      </c>
      <c r="AS19" s="97">
        <f t="shared" si="29"/>
        <v>25378300.030472118</v>
      </c>
      <c r="AT19" s="97">
        <f t="shared" si="76"/>
        <v>30092400.160656951</v>
      </c>
      <c r="AU19" s="97">
        <f t="shared" si="77"/>
        <v>28659428.724435192</v>
      </c>
      <c r="AV19" s="97">
        <f t="shared" si="78"/>
        <v>27226457.288213439</v>
      </c>
      <c r="AW19" s="97">
        <f t="shared" si="79"/>
        <v>25793485.851991672</v>
      </c>
      <c r="AX19" s="97">
        <f t="shared" si="80"/>
        <v>30706624.777449645</v>
      </c>
      <c r="AY19" s="97">
        <f t="shared" si="81"/>
        <v>29244404.549952041</v>
      </c>
      <c r="AZ19" s="97">
        <f t="shared" si="82"/>
        <v>27782184.322454445</v>
      </c>
      <c r="BA19" s="97">
        <f t="shared" si="83"/>
        <v>26319964.094956838</v>
      </c>
      <c r="BB19" s="142">
        <f t="shared" si="31"/>
        <v>31481190.153551009</v>
      </c>
      <c r="BC19" s="142">
        <f t="shared" si="32"/>
        <v>29982085.860524766</v>
      </c>
      <c r="BD19" s="142">
        <f t="shared" si="33"/>
        <v>28482981.567498535</v>
      </c>
      <c r="BE19" s="142">
        <f t="shared" si="34"/>
        <v>26983877.274472293</v>
      </c>
      <c r="BF19" s="154">
        <f t="shared" si="35"/>
        <v>32036531.867274605</v>
      </c>
      <c r="BG19" s="154">
        <f t="shared" si="36"/>
        <v>30510982.730737716</v>
      </c>
      <c r="BH19" s="154">
        <f t="shared" si="37"/>
        <v>28985433.594200835</v>
      </c>
      <c r="BI19" s="154">
        <f t="shared" si="37"/>
        <v>27302844.558474936</v>
      </c>
      <c r="BJ19" s="203">
        <f t="shared" si="38"/>
        <v>32415224.871790893</v>
      </c>
      <c r="BK19" s="203">
        <f t="shared" si="39"/>
        <v>30871642.735038944</v>
      </c>
      <c r="BL19" s="203">
        <f t="shared" si="40"/>
        <v>29328060.598287001</v>
      </c>
      <c r="BM19" s="203">
        <f t="shared" si="41"/>
        <v>27625582.246827893</v>
      </c>
      <c r="BN19" s="207">
        <f t="shared" si="42"/>
        <v>34432057.668032989</v>
      </c>
      <c r="BO19" s="207">
        <f t="shared" si="43"/>
        <v>32792435.874317128</v>
      </c>
      <c r="BP19" s="207">
        <f t="shared" si="44"/>
        <v>31152814.080601275</v>
      </c>
      <c r="BQ19" s="207">
        <f t="shared" si="45"/>
        <v>29344409.758006826</v>
      </c>
      <c r="BR19" s="203">
        <f t="shared" si="46"/>
        <v>37098967.673211329</v>
      </c>
      <c r="BS19" s="203">
        <f t="shared" si="47"/>
        <v>35332350.164963163</v>
      </c>
      <c r="BT19" s="203">
        <f t="shared" si="48"/>
        <v>33565732.656715013</v>
      </c>
      <c r="BU19" s="203">
        <f t="shared" si="49"/>
        <v>31617259.691466872</v>
      </c>
      <c r="BV19" s="154">
        <f t="shared" si="84"/>
        <v>38301398.879859209</v>
      </c>
      <c r="BW19" s="154">
        <f t="shared" si="50"/>
        <v>36477522.742723048</v>
      </c>
      <c r="BX19" s="154">
        <f t="shared" si="51"/>
        <v>34653646.605586901</v>
      </c>
      <c r="BY19" s="154">
        <f t="shared" si="52"/>
        <v>32642020.813032035</v>
      </c>
      <c r="BZ19" s="203">
        <f t="shared" si="85"/>
        <v>39296432.800010003</v>
      </c>
      <c r="CA19" s="203">
        <f t="shared" si="53"/>
        <v>37425174.095247611</v>
      </c>
      <c r="CB19" s="203">
        <f t="shared" si="54"/>
        <v>35553915.390485242</v>
      </c>
      <c r="CC19" s="203">
        <f t="shared" si="55"/>
        <v>33490029.472797062</v>
      </c>
      <c r="CD19" s="154">
        <f t="shared" si="86"/>
        <v>40355453.638083667</v>
      </c>
      <c r="CE19" s="154">
        <f t="shared" si="56"/>
        <v>38433765.369603477</v>
      </c>
      <c r="CF19" s="154">
        <f t="shared" si="57"/>
        <v>36512077.101123318</v>
      </c>
      <c r="CG19" s="154">
        <f t="shared" si="58"/>
        <v>34392570.404690102</v>
      </c>
    </row>
    <row r="20" spans="1:85" ht="15" x14ac:dyDescent="0.4">
      <c r="A20" s="4" t="s">
        <v>17</v>
      </c>
      <c r="B20" s="30">
        <f t="shared" si="59"/>
        <v>11816872.514999999</v>
      </c>
      <c r="C20" s="30">
        <f t="shared" si="2"/>
        <v>11254164.300000001</v>
      </c>
      <c r="D20" s="30">
        <f t="shared" si="3"/>
        <v>10691456.085000001</v>
      </c>
      <c r="E20" s="30">
        <f t="shared" si="60"/>
        <v>10128747.869999999</v>
      </c>
      <c r="F20" s="28">
        <f t="shared" si="4"/>
        <v>11971108.802846387</v>
      </c>
      <c r="G20" s="28">
        <f t="shared" si="5"/>
        <v>11401056.002710845</v>
      </c>
      <c r="H20" s="28">
        <f t="shared" si="6"/>
        <v>10831003.202575304</v>
      </c>
      <c r="I20" s="28">
        <f t="shared" si="7"/>
        <v>10260950.40243976</v>
      </c>
      <c r="J20" s="30">
        <f t="shared" si="8"/>
        <v>12394428.091335543</v>
      </c>
      <c r="K20" s="30">
        <f t="shared" si="9"/>
        <v>11804217.229843374</v>
      </c>
      <c r="L20" s="30">
        <f t="shared" si="10"/>
        <v>11214006.368351206</v>
      </c>
      <c r="M20" s="30">
        <f t="shared" si="11"/>
        <v>10623795.506859036</v>
      </c>
      <c r="N20" s="28">
        <f t="shared" si="61"/>
        <v>12847467.526059715</v>
      </c>
      <c r="O20" s="28">
        <f t="shared" si="62"/>
        <v>12235683.35815211</v>
      </c>
      <c r="P20" s="28">
        <f t="shared" si="12"/>
        <v>11623899.190244505</v>
      </c>
      <c r="Q20" s="28">
        <f t="shared" si="13"/>
        <v>11012115.022336898</v>
      </c>
      <c r="R20" s="30">
        <f t="shared" si="63"/>
        <v>12847467.526059715</v>
      </c>
      <c r="S20" s="30">
        <f t="shared" si="14"/>
        <v>12235683.35815211</v>
      </c>
      <c r="T20" s="30">
        <f t="shared" si="15"/>
        <v>11623899.190244505</v>
      </c>
      <c r="U20" s="30">
        <f t="shared" si="64"/>
        <v>11012115.022336898</v>
      </c>
      <c r="V20" s="97">
        <f t="shared" si="65"/>
        <v>12998063.948024288</v>
      </c>
      <c r="W20" s="97">
        <f t="shared" si="16"/>
        <v>12379108.521927893</v>
      </c>
      <c r="X20" s="97">
        <f t="shared" si="17"/>
        <v>11760153.095831499</v>
      </c>
      <c r="Y20" s="97">
        <f t="shared" si="18"/>
        <v>11141197.669735104</v>
      </c>
      <c r="Z20" s="97">
        <f t="shared" si="66"/>
        <v>13456271.688098025</v>
      </c>
      <c r="AA20" s="97">
        <f t="shared" si="19"/>
        <v>12815496.845807644</v>
      </c>
      <c r="AB20" s="97">
        <f t="shared" si="20"/>
        <v>12174722.003517261</v>
      </c>
      <c r="AC20" s="97">
        <f t="shared" si="67"/>
        <v>11533947.161226878</v>
      </c>
      <c r="AD20" s="30">
        <f t="shared" si="68"/>
        <v>13747242.51759232</v>
      </c>
      <c r="AE20" s="30">
        <f t="shared" si="69"/>
        <v>13092611.921516497</v>
      </c>
      <c r="AF20" s="30">
        <f t="shared" si="70"/>
        <v>12437981.325440671</v>
      </c>
      <c r="AG20" s="30">
        <f t="shared" si="71"/>
        <v>11783350.729364846</v>
      </c>
      <c r="AH20" s="30">
        <f t="shared" si="72"/>
        <v>13879712.693029979</v>
      </c>
      <c r="AI20" s="30">
        <f t="shared" si="73"/>
        <v>13218773.993361887</v>
      </c>
      <c r="AJ20" s="30">
        <f t="shared" si="74"/>
        <v>12557835.293693792</v>
      </c>
      <c r="AK20" s="30">
        <f t="shared" si="75"/>
        <v>11896896.594025696</v>
      </c>
      <c r="AL20" s="97">
        <f t="shared" si="22"/>
        <v>14110718.333194263</v>
      </c>
      <c r="AM20" s="97">
        <f t="shared" si="23"/>
        <v>13438779.364946919</v>
      </c>
      <c r="AN20" s="97">
        <f t="shared" si="24"/>
        <v>12766840.396699572</v>
      </c>
      <c r="AO20" s="97">
        <f t="shared" si="25"/>
        <v>12094901.428452224</v>
      </c>
      <c r="AP20" s="97">
        <f t="shared" si="26"/>
        <v>14134787.611369343</v>
      </c>
      <c r="AQ20" s="97">
        <f t="shared" si="27"/>
        <v>13461702.487018423</v>
      </c>
      <c r="AR20" s="97">
        <f t="shared" si="28"/>
        <v>12788617.362667501</v>
      </c>
      <c r="AS20" s="97">
        <f t="shared" si="29"/>
        <v>12115532.238316579</v>
      </c>
      <c r="AT20" s="97">
        <f t="shared" si="76"/>
        <v>14366030.972799553</v>
      </c>
      <c r="AU20" s="97">
        <f t="shared" si="77"/>
        <v>13681934.259809099</v>
      </c>
      <c r="AV20" s="97">
        <f t="shared" si="78"/>
        <v>12997837.546818644</v>
      </c>
      <c r="AW20" s="97">
        <f t="shared" si="79"/>
        <v>12313740.833828187</v>
      </c>
      <c r="AX20" s="97">
        <f t="shared" si="80"/>
        <v>14659260.154320151</v>
      </c>
      <c r="AY20" s="97">
        <f t="shared" si="81"/>
        <v>13961200.146971574</v>
      </c>
      <c r="AZ20" s="97">
        <f t="shared" si="82"/>
        <v>13263140.139622994</v>
      </c>
      <c r="BA20" s="97">
        <f t="shared" si="83"/>
        <v>12565080.132274413</v>
      </c>
      <c r="BB20" s="142">
        <f t="shared" si="31"/>
        <v>15029035.583469149</v>
      </c>
      <c r="BC20" s="142">
        <f t="shared" si="32"/>
        <v>14313367.222351572</v>
      </c>
      <c r="BD20" s="142">
        <f t="shared" si="33"/>
        <v>13597698.861233993</v>
      </c>
      <c r="BE20" s="142">
        <f t="shared" si="34"/>
        <v>12882030.500116412</v>
      </c>
      <c r="BF20" s="154">
        <f t="shared" si="35"/>
        <v>15294154.225293916</v>
      </c>
      <c r="BG20" s="154">
        <f t="shared" si="36"/>
        <v>14565861.166946588</v>
      </c>
      <c r="BH20" s="154">
        <f t="shared" si="37"/>
        <v>13837568.108599259</v>
      </c>
      <c r="BI20" s="154">
        <f t="shared" si="37"/>
        <v>13034304.624374624</v>
      </c>
      <c r="BJ20" s="203">
        <f t="shared" si="38"/>
        <v>15474941.24803118</v>
      </c>
      <c r="BK20" s="203">
        <f t="shared" si="39"/>
        <v>14738039.28383922</v>
      </c>
      <c r="BL20" s="203">
        <f t="shared" si="40"/>
        <v>14001137.31964726</v>
      </c>
      <c r="BM20" s="203">
        <f t="shared" si="41"/>
        <v>13188378.729537897</v>
      </c>
      <c r="BN20" s="207">
        <f t="shared" si="42"/>
        <v>16437771.805350849</v>
      </c>
      <c r="BO20" s="207">
        <f t="shared" si="43"/>
        <v>15655020.767000809</v>
      </c>
      <c r="BP20" s="207">
        <f t="shared" si="44"/>
        <v>14872269.728650769</v>
      </c>
      <c r="BQ20" s="207">
        <f t="shared" si="45"/>
        <v>14008942.364564259</v>
      </c>
      <c r="BR20" s="203">
        <f t="shared" si="46"/>
        <v>17710947.475337841</v>
      </c>
      <c r="BS20" s="203">
        <f t="shared" si="47"/>
        <v>16867569.024131276</v>
      </c>
      <c r="BT20" s="203">
        <f t="shared" si="48"/>
        <v>16024190.572924713</v>
      </c>
      <c r="BU20" s="203">
        <f t="shared" si="49"/>
        <v>15093994.815225927</v>
      </c>
      <c r="BV20" s="154">
        <f t="shared" si="84"/>
        <v>18284984.902234368</v>
      </c>
      <c r="BW20" s="154">
        <f t="shared" si="50"/>
        <v>17414271.3354613</v>
      </c>
      <c r="BX20" s="154">
        <f t="shared" si="51"/>
        <v>16543557.768688237</v>
      </c>
      <c r="BY20" s="154">
        <f t="shared" si="52"/>
        <v>15583213.020936659</v>
      </c>
      <c r="BZ20" s="203">
        <f t="shared" si="85"/>
        <v>18760011.421872422</v>
      </c>
      <c r="CA20" s="203">
        <f t="shared" si="53"/>
        <v>17866677.5446404</v>
      </c>
      <c r="CB20" s="203">
        <f t="shared" si="54"/>
        <v>16973343.667408381</v>
      </c>
      <c r="CC20" s="203">
        <f t="shared" si="55"/>
        <v>15988050.076350873</v>
      </c>
      <c r="CD20" s="154">
        <f t="shared" si="86"/>
        <v>19265585.124182057</v>
      </c>
      <c r="CE20" s="154">
        <f t="shared" si="56"/>
        <v>18348176.308744814</v>
      </c>
      <c r="CF20" s="154">
        <f t="shared" si="57"/>
        <v>17430767.493307576</v>
      </c>
      <c r="CG20" s="154">
        <f t="shared" si="58"/>
        <v>16418920.691940604</v>
      </c>
    </row>
    <row r="21" spans="1:85" ht="15" x14ac:dyDescent="0.4">
      <c r="A21" s="4" t="s">
        <v>18</v>
      </c>
      <c r="B21" s="30">
        <f t="shared" si="59"/>
        <v>10343492.25</v>
      </c>
      <c r="C21" s="30">
        <f t="shared" si="2"/>
        <v>9850945</v>
      </c>
      <c r="D21" s="30">
        <f t="shared" si="3"/>
        <v>9358397.75</v>
      </c>
      <c r="E21" s="30">
        <f t="shared" si="60"/>
        <v>8865850.5</v>
      </c>
      <c r="F21" s="28">
        <f t="shared" si="4"/>
        <v>10478497.670933736</v>
      </c>
      <c r="G21" s="28">
        <f t="shared" si="5"/>
        <v>9979521.591365464</v>
      </c>
      <c r="H21" s="28">
        <f t="shared" si="6"/>
        <v>9480545.5117971897</v>
      </c>
      <c r="I21" s="28">
        <f t="shared" si="7"/>
        <v>8981569.4322289173</v>
      </c>
      <c r="J21" s="30">
        <f t="shared" si="8"/>
        <v>10849035.626234941</v>
      </c>
      <c r="K21" s="30">
        <f t="shared" si="9"/>
        <v>10332414.882128516</v>
      </c>
      <c r="L21" s="30">
        <f t="shared" si="10"/>
        <v>9815794.1380220894</v>
      </c>
      <c r="M21" s="30">
        <f t="shared" si="11"/>
        <v>9299173.3939156644</v>
      </c>
      <c r="N21" s="28">
        <f t="shared" si="61"/>
        <v>11245588.08764684</v>
      </c>
      <c r="O21" s="28">
        <f t="shared" si="62"/>
        <v>10710083.892996991</v>
      </c>
      <c r="P21" s="28">
        <f t="shared" si="12"/>
        <v>10174579.69834714</v>
      </c>
      <c r="Q21" s="28">
        <f t="shared" si="13"/>
        <v>9639075.503697291</v>
      </c>
      <c r="R21" s="30">
        <f t="shared" si="63"/>
        <v>11245588.08764684</v>
      </c>
      <c r="S21" s="30">
        <f t="shared" si="14"/>
        <v>10710083.892996991</v>
      </c>
      <c r="T21" s="30">
        <f t="shared" si="15"/>
        <v>10174579.69834714</v>
      </c>
      <c r="U21" s="30">
        <f t="shared" si="64"/>
        <v>9639075.503697291</v>
      </c>
      <c r="V21" s="97">
        <f t="shared" si="65"/>
        <v>11377407.477378853</v>
      </c>
      <c r="W21" s="97">
        <f t="shared" si="16"/>
        <v>10835626.16893224</v>
      </c>
      <c r="X21" s="97">
        <f t="shared" si="17"/>
        <v>10293844.860485626</v>
      </c>
      <c r="Y21" s="97">
        <f t="shared" si="18"/>
        <v>9752063.552039016</v>
      </c>
      <c r="Z21" s="97">
        <f t="shared" si="66"/>
        <v>11778483.836823924</v>
      </c>
      <c r="AA21" s="97">
        <f t="shared" si="19"/>
        <v>11217603.654118022</v>
      </c>
      <c r="AB21" s="97">
        <f t="shared" si="20"/>
        <v>10656723.471412119</v>
      </c>
      <c r="AC21" s="97">
        <f t="shared" si="67"/>
        <v>10095843.288706219</v>
      </c>
      <c r="AD21" s="30">
        <f t="shared" si="68"/>
        <v>12033175.128113557</v>
      </c>
      <c r="AE21" s="30">
        <f t="shared" si="69"/>
        <v>11460166.788679577</v>
      </c>
      <c r="AF21" s="30">
        <f t="shared" si="70"/>
        <v>10887158.449245596</v>
      </c>
      <c r="AG21" s="30">
        <f t="shared" si="71"/>
        <v>10314150.109811619</v>
      </c>
      <c r="AH21" s="30">
        <f t="shared" si="72"/>
        <v>12149128.332420049</v>
      </c>
      <c r="AI21" s="30">
        <f t="shared" si="73"/>
        <v>11570598.411828618</v>
      </c>
      <c r="AJ21" s="30">
        <f t="shared" si="74"/>
        <v>10992068.491237184</v>
      </c>
      <c r="AK21" s="30">
        <f t="shared" si="75"/>
        <v>10413538.570645755</v>
      </c>
      <c r="AL21" s="97">
        <f t="shared" si="22"/>
        <v>12351331.161105262</v>
      </c>
      <c r="AM21" s="97">
        <f t="shared" si="23"/>
        <v>11763172.534385964</v>
      </c>
      <c r="AN21" s="97">
        <f t="shared" si="24"/>
        <v>11175013.907666663</v>
      </c>
      <c r="AO21" s="97">
        <f t="shared" si="25"/>
        <v>10586855.280947367</v>
      </c>
      <c r="AP21" s="97">
        <f t="shared" si="26"/>
        <v>12372399.374539148</v>
      </c>
      <c r="AQ21" s="97">
        <f t="shared" si="27"/>
        <v>11783237.499561094</v>
      </c>
      <c r="AR21" s="97">
        <f t="shared" si="28"/>
        <v>11194075.624583036</v>
      </c>
      <c r="AS21" s="97">
        <f t="shared" si="29"/>
        <v>10604913.749604983</v>
      </c>
      <c r="AT21" s="97">
        <f t="shared" si="76"/>
        <v>12574810.284344696</v>
      </c>
      <c r="AU21" s="97">
        <f t="shared" si="77"/>
        <v>11976009.794613997</v>
      </c>
      <c r="AV21" s="97">
        <f t="shared" si="78"/>
        <v>11377209.304883294</v>
      </c>
      <c r="AW21" s="97">
        <f t="shared" si="79"/>
        <v>10778408.815152597</v>
      </c>
      <c r="AX21" s="97">
        <f t="shared" si="80"/>
        <v>12831478.346277507</v>
      </c>
      <c r="AY21" s="97">
        <f t="shared" si="81"/>
        <v>12220455.567883341</v>
      </c>
      <c r="AZ21" s="97">
        <f t="shared" si="82"/>
        <v>11609432.789489171</v>
      </c>
      <c r="BA21" s="97">
        <f t="shared" si="83"/>
        <v>10998410.011095006</v>
      </c>
      <c r="BB21" s="142">
        <f t="shared" si="31"/>
        <v>13155148.52895808</v>
      </c>
      <c r="BC21" s="142">
        <f t="shared" si="32"/>
        <v>12528712.884721981</v>
      </c>
      <c r="BD21" s="142">
        <f t="shared" si="33"/>
        <v>11902277.240485879</v>
      </c>
      <c r="BE21" s="142">
        <f t="shared" si="34"/>
        <v>11275841.596249783</v>
      </c>
      <c r="BF21" s="154">
        <f t="shared" si="35"/>
        <v>13387210.998411318</v>
      </c>
      <c r="BG21" s="154">
        <f t="shared" si="36"/>
        <v>12749724.760391733</v>
      </c>
      <c r="BH21" s="154">
        <f t="shared" si="37"/>
        <v>12112238.522372141</v>
      </c>
      <c r="BI21" s="154">
        <f t="shared" si="37"/>
        <v>11409129.504885595</v>
      </c>
      <c r="BJ21" s="203">
        <f t="shared" si="38"/>
        <v>13545456.690425832</v>
      </c>
      <c r="BK21" s="203">
        <f t="shared" si="39"/>
        <v>12900434.943262698</v>
      </c>
      <c r="BL21" s="203">
        <f t="shared" si="40"/>
        <v>12255413.196099559</v>
      </c>
      <c r="BM21" s="203">
        <f t="shared" si="41"/>
        <v>11543992.964795062</v>
      </c>
      <c r="BN21" s="207">
        <f t="shared" si="42"/>
        <v>14388237.24806132</v>
      </c>
      <c r="BO21" s="207">
        <f t="shared" si="43"/>
        <v>13703083.093391735</v>
      </c>
      <c r="BP21" s="207">
        <f t="shared" si="44"/>
        <v>13017928.938722143</v>
      </c>
      <c r="BQ21" s="207">
        <f t="shared" si="45"/>
        <v>12262245.073274123</v>
      </c>
      <c r="BR21" s="203">
        <f t="shared" si="46"/>
        <v>15502667.708293715</v>
      </c>
      <c r="BS21" s="203">
        <f t="shared" si="47"/>
        <v>14764445.436470207</v>
      </c>
      <c r="BT21" s="203">
        <f t="shared" si="48"/>
        <v>14026223.164646691</v>
      </c>
      <c r="BU21" s="203">
        <f t="shared" si="49"/>
        <v>13212008.354549777</v>
      </c>
      <c r="BV21" s="154">
        <f t="shared" si="84"/>
        <v>16005131.593621852</v>
      </c>
      <c r="BW21" s="154">
        <f t="shared" si="50"/>
        <v>15242982.470116051</v>
      </c>
      <c r="BX21" s="154">
        <f t="shared" si="51"/>
        <v>14480833.346610243</v>
      </c>
      <c r="BY21" s="154">
        <f t="shared" si="52"/>
        <v>13640228.65674095</v>
      </c>
      <c r="BZ21" s="203">
        <f t="shared" si="85"/>
        <v>16420929.692330603</v>
      </c>
      <c r="CA21" s="203">
        <f t="shared" si="53"/>
        <v>15638980.65936248</v>
      </c>
      <c r="CB21" s="203">
        <f t="shared" si="54"/>
        <v>14857031.62639435</v>
      </c>
      <c r="CC21" s="203">
        <f t="shared" si="55"/>
        <v>13994588.826056</v>
      </c>
      <c r="CD21" s="154">
        <f t="shared" si="86"/>
        <v>16863466.215002354</v>
      </c>
      <c r="CE21" s="154">
        <f t="shared" si="56"/>
        <v>16060444.01428796</v>
      </c>
      <c r="CF21" s="154">
        <f t="shared" si="57"/>
        <v>15257421.813573554</v>
      </c>
      <c r="CG21" s="154">
        <f t="shared" si="58"/>
        <v>14371736.57538205</v>
      </c>
    </row>
    <row r="22" spans="1:85" ht="15" x14ac:dyDescent="0.4">
      <c r="A22" s="4" t="s">
        <v>19</v>
      </c>
      <c r="B22" s="30">
        <f t="shared" si="59"/>
        <v>15278058.809999999</v>
      </c>
      <c r="C22" s="30">
        <f t="shared" si="2"/>
        <v>14550532.200000001</v>
      </c>
      <c r="D22" s="30">
        <f t="shared" si="3"/>
        <v>13823005.59</v>
      </c>
      <c r="E22" s="30">
        <f t="shared" si="60"/>
        <v>13095478.98</v>
      </c>
      <c r="F22" s="28">
        <f t="shared" si="4"/>
        <v>15477471.224186748</v>
      </c>
      <c r="G22" s="28">
        <f t="shared" si="5"/>
        <v>14740448.784939762</v>
      </c>
      <c r="H22" s="28">
        <f t="shared" si="6"/>
        <v>14003426.345692772</v>
      </c>
      <c r="I22" s="28">
        <f t="shared" si="7"/>
        <v>13266403.906445786</v>
      </c>
      <c r="J22" s="30">
        <f t="shared" si="8"/>
        <v>16024781.604046989</v>
      </c>
      <c r="K22" s="30">
        <f t="shared" si="9"/>
        <v>15261696.765759038</v>
      </c>
      <c r="L22" s="30">
        <f t="shared" si="10"/>
        <v>14498611.927471085</v>
      </c>
      <c r="M22" s="30">
        <f t="shared" si="11"/>
        <v>13735527.089183135</v>
      </c>
      <c r="N22" s="28">
        <f t="shared" si="61"/>
        <v>16610517.22217937</v>
      </c>
      <c r="O22" s="28">
        <f t="shared" si="62"/>
        <v>15819540.2115994</v>
      </c>
      <c r="P22" s="28">
        <f t="shared" si="12"/>
        <v>15028563.201019429</v>
      </c>
      <c r="Q22" s="28">
        <f t="shared" si="13"/>
        <v>14237586.190439461</v>
      </c>
      <c r="R22" s="30">
        <f t="shared" si="63"/>
        <v>16610517.22217937</v>
      </c>
      <c r="S22" s="30">
        <f t="shared" si="14"/>
        <v>15819540.2115994</v>
      </c>
      <c r="T22" s="30">
        <f t="shared" si="15"/>
        <v>15028563.201019429</v>
      </c>
      <c r="U22" s="30">
        <f t="shared" si="64"/>
        <v>14237586.190439461</v>
      </c>
      <c r="V22" s="97">
        <f t="shared" si="65"/>
        <v>16805223.646271676</v>
      </c>
      <c r="W22" s="97">
        <f t="shared" si="16"/>
        <v>16004974.90121112</v>
      </c>
      <c r="X22" s="97">
        <f t="shared" si="17"/>
        <v>15204726.156150563</v>
      </c>
      <c r="Y22" s="97">
        <f t="shared" si="18"/>
        <v>14404477.411090009</v>
      </c>
      <c r="Z22" s="97">
        <f t="shared" si="66"/>
        <v>17397641.377033979</v>
      </c>
      <c r="AA22" s="97">
        <f t="shared" si="19"/>
        <v>16569182.263841886</v>
      </c>
      <c r="AB22" s="97">
        <f t="shared" si="20"/>
        <v>15740723.150649792</v>
      </c>
      <c r="AC22" s="97">
        <f t="shared" si="67"/>
        <v>14912264.037457699</v>
      </c>
      <c r="AD22" s="30">
        <f t="shared" si="68"/>
        <v>17773838.161704827</v>
      </c>
      <c r="AE22" s="30">
        <f t="shared" si="69"/>
        <v>16927464.915909361</v>
      </c>
      <c r="AF22" s="30">
        <f t="shared" si="70"/>
        <v>16081091.670113893</v>
      </c>
      <c r="AG22" s="30">
        <f t="shared" si="71"/>
        <v>15234718.424318427</v>
      </c>
      <c r="AH22" s="30">
        <f t="shared" si="72"/>
        <v>17945109.124333773</v>
      </c>
      <c r="AI22" s="30">
        <f t="shared" si="73"/>
        <v>17090580.118413117</v>
      </c>
      <c r="AJ22" s="30">
        <f t="shared" si="74"/>
        <v>16236051.112492463</v>
      </c>
      <c r="AK22" s="30">
        <f t="shared" si="75"/>
        <v>15381522.106571808</v>
      </c>
      <c r="AL22" s="97">
        <f t="shared" si="22"/>
        <v>18243776.792229116</v>
      </c>
      <c r="AM22" s="97">
        <f t="shared" si="23"/>
        <v>17375025.516408682</v>
      </c>
      <c r="AN22" s="97">
        <f t="shared" si="24"/>
        <v>16506274.240588248</v>
      </c>
      <c r="AO22" s="97">
        <f t="shared" si="25"/>
        <v>15637522.964767816</v>
      </c>
      <c r="AP22" s="97">
        <f t="shared" si="26"/>
        <v>18274896.011549316</v>
      </c>
      <c r="AQ22" s="97">
        <f t="shared" si="27"/>
        <v>17404662.868142206</v>
      </c>
      <c r="AR22" s="97">
        <f t="shared" si="28"/>
        <v>16534429.724735096</v>
      </c>
      <c r="AS22" s="97">
        <f t="shared" si="29"/>
        <v>15664196.581327986</v>
      </c>
      <c r="AT22" s="97">
        <f t="shared" si="76"/>
        <v>18573871.02975893</v>
      </c>
      <c r="AU22" s="97">
        <f t="shared" si="77"/>
        <v>17689400.980722792</v>
      </c>
      <c r="AV22" s="97">
        <f t="shared" si="78"/>
        <v>16804930.931686655</v>
      </c>
      <c r="AW22" s="97">
        <f t="shared" si="79"/>
        <v>15920460.882650513</v>
      </c>
      <c r="AX22" s="97">
        <f t="shared" si="80"/>
        <v>18952987.642415378</v>
      </c>
      <c r="AY22" s="97">
        <f t="shared" si="81"/>
        <v>18050464.421347979</v>
      </c>
      <c r="AZ22" s="97">
        <f t="shared" si="82"/>
        <v>17147941.200280581</v>
      </c>
      <c r="BA22" s="97">
        <f t="shared" si="83"/>
        <v>16245417.979213182</v>
      </c>
      <c r="BB22" s="142">
        <f t="shared" si="31"/>
        <v>19431071.056267913</v>
      </c>
      <c r="BC22" s="142">
        <f t="shared" si="32"/>
        <v>18505781.958350394</v>
      </c>
      <c r="BD22" s="142">
        <f t="shared" si="33"/>
        <v>17580492.860432874</v>
      </c>
      <c r="BE22" s="142">
        <f t="shared" si="34"/>
        <v>16655203.762515355</v>
      </c>
      <c r="BF22" s="154">
        <f t="shared" si="35"/>
        <v>19773843.494261514</v>
      </c>
      <c r="BG22" s="154">
        <f t="shared" si="36"/>
        <v>18832231.899296679</v>
      </c>
      <c r="BH22" s="154">
        <f t="shared" si="37"/>
        <v>17890620.304331847</v>
      </c>
      <c r="BI22" s="154">
        <f t="shared" si="37"/>
        <v>16852079.291358124</v>
      </c>
      <c r="BJ22" s="203">
        <f t="shared" si="38"/>
        <v>20007583.408266563</v>
      </c>
      <c r="BK22" s="203">
        <f t="shared" si="39"/>
        <v>19054841.341206249</v>
      </c>
      <c r="BL22" s="203">
        <f t="shared" si="40"/>
        <v>18102099.274145938</v>
      </c>
      <c r="BM22" s="203">
        <f t="shared" si="41"/>
        <v>17051282.019219879</v>
      </c>
      <c r="BN22" s="207">
        <f t="shared" si="42"/>
        <v>21252429.018653091</v>
      </c>
      <c r="BO22" s="207">
        <f t="shared" si="43"/>
        <v>20240408.589193419</v>
      </c>
      <c r="BP22" s="207">
        <f t="shared" si="44"/>
        <v>19228388.15973375</v>
      </c>
      <c r="BQ22" s="207">
        <f t="shared" si="45"/>
        <v>18112190.432792634</v>
      </c>
      <c r="BR22" s="203">
        <f t="shared" si="46"/>
        <v>22898520.464323763</v>
      </c>
      <c r="BS22" s="203">
        <f t="shared" si="47"/>
        <v>21808114.727927394</v>
      </c>
      <c r="BT22" s="203">
        <f t="shared" si="48"/>
        <v>20717708.991531026</v>
      </c>
      <c r="BU22" s="203">
        <f t="shared" si="49"/>
        <v>19515056.980781589</v>
      </c>
      <c r="BV22" s="154">
        <f t="shared" si="84"/>
        <v>23640694.635715865</v>
      </c>
      <c r="BW22" s="154">
        <f t="shared" si="50"/>
        <v>22514947.272110347</v>
      </c>
      <c r="BX22" s="154">
        <f t="shared" si="51"/>
        <v>21389199.908504829</v>
      </c>
      <c r="BY22" s="154">
        <f t="shared" si="52"/>
        <v>20147568.206428103</v>
      </c>
      <c r="BZ22" s="203">
        <f t="shared" si="85"/>
        <v>24254857.401213028</v>
      </c>
      <c r="CA22" s="203">
        <f t="shared" si="53"/>
        <v>23099864.191631455</v>
      </c>
      <c r="CB22" s="203">
        <f t="shared" si="54"/>
        <v>21944870.982049879</v>
      </c>
      <c r="CC22" s="203">
        <f t="shared" si="55"/>
        <v>20670982.869083926</v>
      </c>
      <c r="CD22" s="154">
        <f t="shared" si="86"/>
        <v>24908514.682094339</v>
      </c>
      <c r="CE22" s="154">
        <f t="shared" si="56"/>
        <v>23722394.935327943</v>
      </c>
      <c r="CF22" s="154">
        <f t="shared" si="57"/>
        <v>22536275.188561544</v>
      </c>
      <c r="CG22" s="154">
        <f t="shared" si="58"/>
        <v>21228056.375303503</v>
      </c>
    </row>
    <row r="23" spans="1:85" ht="15" x14ac:dyDescent="0.4">
      <c r="A23" s="4" t="s">
        <v>20</v>
      </c>
      <c r="B23" s="30">
        <f t="shared" si="59"/>
        <v>18323133.149999999</v>
      </c>
      <c r="C23" s="30">
        <f t="shared" si="2"/>
        <v>17450603</v>
      </c>
      <c r="D23" s="30">
        <f t="shared" si="3"/>
        <v>16578072.85</v>
      </c>
      <c r="E23" s="30">
        <f t="shared" si="60"/>
        <v>15705542.699999999</v>
      </c>
      <c r="F23" s="28">
        <f t="shared" si="4"/>
        <v>18562290.510391567</v>
      </c>
      <c r="G23" s="28">
        <f t="shared" si="5"/>
        <v>17678371.914658636</v>
      </c>
      <c r="H23" s="28">
        <f t="shared" si="6"/>
        <v>16794453.318925705</v>
      </c>
      <c r="I23" s="28">
        <f t="shared" si="7"/>
        <v>15910534.723192774</v>
      </c>
      <c r="J23" s="30">
        <f t="shared" si="8"/>
        <v>19218685.481066264</v>
      </c>
      <c r="K23" s="30">
        <f t="shared" si="9"/>
        <v>18303509.98196787</v>
      </c>
      <c r="L23" s="30">
        <f t="shared" si="10"/>
        <v>17388334.48286948</v>
      </c>
      <c r="M23" s="30">
        <f t="shared" si="11"/>
        <v>16473158.983771086</v>
      </c>
      <c r="N23" s="28">
        <f t="shared" si="61"/>
        <v>19921164.235416416</v>
      </c>
      <c r="O23" s="28">
        <f t="shared" si="62"/>
        <v>18972537.367063254</v>
      </c>
      <c r="P23" s="28">
        <f t="shared" si="12"/>
        <v>18023910.498710092</v>
      </c>
      <c r="Q23" s="28">
        <f t="shared" si="13"/>
        <v>17075283.63035693</v>
      </c>
      <c r="R23" s="30">
        <f t="shared" si="63"/>
        <v>19921164.235416416</v>
      </c>
      <c r="S23" s="30">
        <f t="shared" si="14"/>
        <v>18972537.367063254</v>
      </c>
      <c r="T23" s="30">
        <f t="shared" si="15"/>
        <v>18023910.498710092</v>
      </c>
      <c r="U23" s="30">
        <f t="shared" si="64"/>
        <v>17075283.63035693</v>
      </c>
      <c r="V23" s="97">
        <f t="shared" si="65"/>
        <v>20154677.653460637</v>
      </c>
      <c r="W23" s="97">
        <f t="shared" si="16"/>
        <v>19194931.09853394</v>
      </c>
      <c r="X23" s="97">
        <f t="shared" si="17"/>
        <v>18235184.543607242</v>
      </c>
      <c r="Y23" s="97">
        <f t="shared" si="18"/>
        <v>17275437.988680545</v>
      </c>
      <c r="Z23" s="97">
        <f t="shared" si="66"/>
        <v>20865170.334250268</v>
      </c>
      <c r="AA23" s="97">
        <f t="shared" si="19"/>
        <v>19871590.794524066</v>
      </c>
      <c r="AB23" s="97">
        <f t="shared" si="20"/>
        <v>18878011.254797861</v>
      </c>
      <c r="AC23" s="97">
        <f t="shared" si="67"/>
        <v>17884431.71507166</v>
      </c>
      <c r="AD23" s="30">
        <f t="shared" si="68"/>
        <v>21316347.009366486</v>
      </c>
      <c r="AE23" s="30">
        <f t="shared" si="69"/>
        <v>20301282.866063323</v>
      </c>
      <c r="AF23" s="30">
        <f t="shared" si="70"/>
        <v>19286218.722760156</v>
      </c>
      <c r="AG23" s="30">
        <f t="shared" si="71"/>
        <v>18271154.579456989</v>
      </c>
      <c r="AH23" s="30">
        <f t="shared" si="72"/>
        <v>21521754.037314616</v>
      </c>
      <c r="AI23" s="30">
        <f t="shared" si="73"/>
        <v>20496908.606966302</v>
      </c>
      <c r="AJ23" s="30">
        <f t="shared" si="74"/>
        <v>19472063.176617987</v>
      </c>
      <c r="AK23" s="30">
        <f t="shared" si="75"/>
        <v>18447217.746269669</v>
      </c>
      <c r="AL23" s="97">
        <f t="shared" si="22"/>
        <v>21879949.244867057</v>
      </c>
      <c r="AM23" s="97">
        <f t="shared" si="23"/>
        <v>20838046.899873387</v>
      </c>
      <c r="AN23" s="97">
        <f t="shared" si="24"/>
        <v>19796144.554879718</v>
      </c>
      <c r="AO23" s="97">
        <f t="shared" si="25"/>
        <v>18754242.209886048</v>
      </c>
      <c r="AP23" s="97">
        <f t="shared" si="26"/>
        <v>21917270.844830714</v>
      </c>
      <c r="AQ23" s="97">
        <f t="shared" si="27"/>
        <v>20873591.280791156</v>
      </c>
      <c r="AR23" s="97">
        <f t="shared" si="28"/>
        <v>19829911.716751598</v>
      </c>
      <c r="AS23" s="97">
        <f t="shared" si="29"/>
        <v>18786232.15271204</v>
      </c>
      <c r="AT23" s="97">
        <f t="shared" si="76"/>
        <v>22275834.660777856</v>
      </c>
      <c r="AU23" s="97">
        <f t="shared" si="77"/>
        <v>21215080.629312243</v>
      </c>
      <c r="AV23" s="97">
        <f t="shared" si="78"/>
        <v>20154326.597846631</v>
      </c>
      <c r="AW23" s="97">
        <f t="shared" si="79"/>
        <v>19093572.566381019</v>
      </c>
      <c r="AX23" s="97">
        <f t="shared" si="80"/>
        <v>22730513.115643747</v>
      </c>
      <c r="AY23" s="97">
        <f t="shared" si="81"/>
        <v>21648107.729184523</v>
      </c>
      <c r="AZ23" s="97">
        <f t="shared" si="82"/>
        <v>20565702.342725296</v>
      </c>
      <c r="BA23" s="97">
        <f t="shared" si="83"/>
        <v>19483296.956266068</v>
      </c>
      <c r="BB23" s="142">
        <f t="shared" si="31"/>
        <v>23303883.473603938</v>
      </c>
      <c r="BC23" s="142">
        <f t="shared" si="32"/>
        <v>22194174.736765657</v>
      </c>
      <c r="BD23" s="142">
        <f t="shared" si="33"/>
        <v>21084465.999927372</v>
      </c>
      <c r="BE23" s="142">
        <f t="shared" si="34"/>
        <v>19974757.263089087</v>
      </c>
      <c r="BF23" s="154">
        <f t="shared" si="35"/>
        <v>23714973.985796228</v>
      </c>
      <c r="BG23" s="154">
        <f t="shared" si="36"/>
        <v>22585689.510282125</v>
      </c>
      <c r="BH23" s="154">
        <f t="shared" si="37"/>
        <v>21456405.034768015</v>
      </c>
      <c r="BI23" s="154">
        <f t="shared" si="37"/>
        <v>20210872.110781752</v>
      </c>
      <c r="BJ23" s="203">
        <f t="shared" si="38"/>
        <v>23995300.6699677</v>
      </c>
      <c r="BK23" s="203">
        <f t="shared" si="39"/>
        <v>22852667.304731146</v>
      </c>
      <c r="BL23" s="203">
        <f t="shared" si="40"/>
        <v>21710033.939494587</v>
      </c>
      <c r="BM23" s="203">
        <f t="shared" si="41"/>
        <v>20449777.992205974</v>
      </c>
      <c r="BN23" s="207">
        <f t="shared" si="42"/>
        <v>25488256.820612691</v>
      </c>
      <c r="BO23" s="207">
        <f t="shared" si="43"/>
        <v>24274530.305345424</v>
      </c>
      <c r="BP23" s="207">
        <f t="shared" si="44"/>
        <v>23060803.790078152</v>
      </c>
      <c r="BQ23" s="207">
        <f t="shared" si="45"/>
        <v>21722136.369902834</v>
      </c>
      <c r="BR23" s="203">
        <f t="shared" si="46"/>
        <v>27462431.230542175</v>
      </c>
      <c r="BS23" s="203">
        <f t="shared" si="47"/>
        <v>26154696.41004017</v>
      </c>
      <c r="BT23" s="203">
        <f t="shared" si="48"/>
        <v>24846961.589538161</v>
      </c>
      <c r="BU23" s="203">
        <f t="shared" si="49"/>
        <v>23404608.657132003</v>
      </c>
      <c r="BV23" s="154">
        <f t="shared" si="84"/>
        <v>28352528.351650741</v>
      </c>
      <c r="BW23" s="154">
        <f t="shared" si="50"/>
        <v>27002407.953953091</v>
      </c>
      <c r="BX23" s="154">
        <f t="shared" si="51"/>
        <v>25652287.556255434</v>
      </c>
      <c r="BY23" s="154">
        <f t="shared" si="52"/>
        <v>24163185.878919169</v>
      </c>
      <c r="BZ23" s="203">
        <f t="shared" si="85"/>
        <v>29089100.076365598</v>
      </c>
      <c r="CA23" s="203">
        <f t="shared" si="53"/>
        <v>27703904.834633909</v>
      </c>
      <c r="CB23" s="203">
        <f t="shared" si="54"/>
        <v>26318709.59290221</v>
      </c>
      <c r="CC23" s="203">
        <f t="shared" si="55"/>
        <v>24790922.470051259</v>
      </c>
      <c r="CD23" s="154">
        <f t="shared" si="86"/>
        <v>29873037.979799762</v>
      </c>
      <c r="CE23" s="154">
        <f t="shared" si="56"/>
        <v>28450512.361714065</v>
      </c>
      <c r="CF23" s="154">
        <f t="shared" si="57"/>
        <v>27027986.743628357</v>
      </c>
      <c r="CG23" s="154">
        <f t="shared" si="58"/>
        <v>25459026.458636355</v>
      </c>
    </row>
    <row r="24" spans="1:85" ht="15" x14ac:dyDescent="0.4">
      <c r="A24" s="4" t="s">
        <v>21</v>
      </c>
      <c r="B24" s="30">
        <f t="shared" si="59"/>
        <v>5296426.2749999994</v>
      </c>
      <c r="C24" s="30">
        <f t="shared" si="2"/>
        <v>5044215.5</v>
      </c>
      <c r="D24" s="30">
        <f t="shared" si="3"/>
        <v>4792004.7249999996</v>
      </c>
      <c r="E24" s="30">
        <f t="shared" si="60"/>
        <v>4539793.95</v>
      </c>
      <c r="F24" s="28">
        <f t="shared" si="4"/>
        <v>5365556.336822289</v>
      </c>
      <c r="G24" s="28">
        <f t="shared" si="5"/>
        <v>5110053.6541164666</v>
      </c>
      <c r="H24" s="28">
        <f t="shared" si="6"/>
        <v>4854550.9714106433</v>
      </c>
      <c r="I24" s="28">
        <f t="shared" si="7"/>
        <v>4599048.28870482</v>
      </c>
      <c r="J24" s="30">
        <f t="shared" si="8"/>
        <v>5555291.7680391567</v>
      </c>
      <c r="K24" s="30">
        <f t="shared" si="9"/>
        <v>5290754.064799197</v>
      </c>
      <c r="L24" s="30">
        <f t="shared" si="10"/>
        <v>5026216.3615592374</v>
      </c>
      <c r="M24" s="30">
        <f t="shared" si="11"/>
        <v>4761678.6583192777</v>
      </c>
      <c r="N24" s="28">
        <f t="shared" si="61"/>
        <v>5758348.0303994734</v>
      </c>
      <c r="O24" s="28">
        <f t="shared" si="62"/>
        <v>5484140.981332832</v>
      </c>
      <c r="P24" s="28">
        <f t="shared" si="12"/>
        <v>5209933.9322661906</v>
      </c>
      <c r="Q24" s="28">
        <f t="shared" si="13"/>
        <v>4935726.8831995493</v>
      </c>
      <c r="R24" s="30">
        <f t="shared" si="63"/>
        <v>5758348.0303994734</v>
      </c>
      <c r="S24" s="30">
        <f t="shared" si="14"/>
        <v>5484140.981332832</v>
      </c>
      <c r="T24" s="30">
        <f t="shared" si="15"/>
        <v>5209933.9322661906</v>
      </c>
      <c r="U24" s="30">
        <f t="shared" si="64"/>
        <v>4935726.8831995493</v>
      </c>
      <c r="V24" s="97">
        <f t="shared" si="65"/>
        <v>5825846.6722949212</v>
      </c>
      <c r="W24" s="97">
        <f t="shared" si="16"/>
        <v>5548425.4021856394</v>
      </c>
      <c r="X24" s="97">
        <f t="shared" si="17"/>
        <v>5271004.1320763575</v>
      </c>
      <c r="Y24" s="97">
        <f t="shared" si="18"/>
        <v>4993582.8619670765</v>
      </c>
      <c r="Z24" s="97">
        <f t="shared" si="66"/>
        <v>6031219.4146050643</v>
      </c>
      <c r="AA24" s="97">
        <f t="shared" si="19"/>
        <v>5744018.4901000615</v>
      </c>
      <c r="AB24" s="97">
        <f t="shared" si="20"/>
        <v>5456817.5655950587</v>
      </c>
      <c r="AC24" s="97">
        <f t="shared" si="67"/>
        <v>5169616.6410900569</v>
      </c>
      <c r="AD24" s="30">
        <f t="shared" si="68"/>
        <v>6161635.1015506499</v>
      </c>
      <c r="AE24" s="30">
        <f t="shared" si="69"/>
        <v>5868223.9062387142</v>
      </c>
      <c r="AF24" s="30">
        <f t="shared" si="70"/>
        <v>5574812.7109267786</v>
      </c>
      <c r="AG24" s="30">
        <f t="shared" si="71"/>
        <v>5281401.5156148449</v>
      </c>
      <c r="AH24" s="30">
        <f t="shared" si="72"/>
        <v>6221009.4002029588</v>
      </c>
      <c r="AI24" s="30">
        <f t="shared" si="73"/>
        <v>5924770.8573361514</v>
      </c>
      <c r="AJ24" s="30">
        <f t="shared" si="74"/>
        <v>5628532.314469344</v>
      </c>
      <c r="AK24" s="30">
        <f t="shared" si="75"/>
        <v>5332293.7716025384</v>
      </c>
      <c r="AL24" s="97">
        <f t="shared" si="22"/>
        <v>6324548.1614687862</v>
      </c>
      <c r="AM24" s="97">
        <f t="shared" si="23"/>
        <v>6023379.2013988439</v>
      </c>
      <c r="AN24" s="97">
        <f t="shared" si="24"/>
        <v>5722210.2413289025</v>
      </c>
      <c r="AO24" s="97">
        <f t="shared" si="25"/>
        <v>5421041.2812589621</v>
      </c>
      <c r="AP24" s="97">
        <f t="shared" si="26"/>
        <v>6335336.2238080353</v>
      </c>
      <c r="AQ24" s="97">
        <f t="shared" si="27"/>
        <v>6033653.5464838427</v>
      </c>
      <c r="AR24" s="97">
        <f t="shared" si="28"/>
        <v>5731970.8691596519</v>
      </c>
      <c r="AS24" s="97">
        <f t="shared" si="29"/>
        <v>5430288.1918354612</v>
      </c>
      <c r="AT24" s="97">
        <f t="shared" si="76"/>
        <v>6438981.5338377068</v>
      </c>
      <c r="AU24" s="97">
        <f t="shared" si="77"/>
        <v>6132363.3655597204</v>
      </c>
      <c r="AV24" s="97">
        <f t="shared" si="78"/>
        <v>5825745.1972817359</v>
      </c>
      <c r="AW24" s="97">
        <f t="shared" si="79"/>
        <v>5519127.0290037515</v>
      </c>
      <c r="AX24" s="97">
        <f t="shared" si="80"/>
        <v>6570409.4340398135</v>
      </c>
      <c r="AY24" s="97">
        <f t="shared" si="81"/>
        <v>6257532.7943236316</v>
      </c>
      <c r="AZ24" s="97">
        <f t="shared" si="82"/>
        <v>5944656.1546074515</v>
      </c>
      <c r="BA24" s="97">
        <f t="shared" si="83"/>
        <v>5631779.5148912715</v>
      </c>
      <c r="BB24" s="142">
        <f t="shared" si="31"/>
        <v>6736146.0361998267</v>
      </c>
      <c r="BC24" s="142">
        <f t="shared" si="32"/>
        <v>6415377.1773331687</v>
      </c>
      <c r="BD24" s="142">
        <f t="shared" si="33"/>
        <v>6094608.3184665116</v>
      </c>
      <c r="BE24" s="142">
        <f t="shared" si="34"/>
        <v>5773839.4595998544</v>
      </c>
      <c r="BF24" s="154">
        <f t="shared" si="35"/>
        <v>6854974.5450773304</v>
      </c>
      <c r="BG24" s="154">
        <f t="shared" si="36"/>
        <v>6528547.1857879339</v>
      </c>
      <c r="BH24" s="154">
        <f t="shared" si="37"/>
        <v>6202119.8264985392</v>
      </c>
      <c r="BI24" s="154">
        <f t="shared" si="37"/>
        <v>5842090.0624306845</v>
      </c>
      <c r="BJ24" s="203">
        <f t="shared" si="38"/>
        <v>6936004.8799810214</v>
      </c>
      <c r="BK24" s="203">
        <f t="shared" si="39"/>
        <v>6605718.9333152585</v>
      </c>
      <c r="BL24" s="203">
        <f t="shared" si="40"/>
        <v>6275432.9866494974</v>
      </c>
      <c r="BM24" s="203">
        <f t="shared" si="41"/>
        <v>5911147.4325468475</v>
      </c>
      <c r="BN24" s="207">
        <f t="shared" si="42"/>
        <v>7367554.0107419351</v>
      </c>
      <c r="BO24" s="207">
        <f t="shared" si="43"/>
        <v>7016718.1054685097</v>
      </c>
      <c r="BP24" s="207">
        <f t="shared" si="44"/>
        <v>6665882.2001950862</v>
      </c>
      <c r="BQ24" s="207">
        <f t="shared" si="45"/>
        <v>6278931.2764824042</v>
      </c>
      <c r="BR24" s="203">
        <f t="shared" si="46"/>
        <v>7938202.5527017554</v>
      </c>
      <c r="BS24" s="203">
        <f t="shared" si="47"/>
        <v>7560192.9073350048</v>
      </c>
      <c r="BT24" s="203">
        <f t="shared" si="48"/>
        <v>7182183.2619682569</v>
      </c>
      <c r="BU24" s="203">
        <f t="shared" si="49"/>
        <v>6765261.3356535304</v>
      </c>
      <c r="BV24" s="154">
        <f t="shared" si="84"/>
        <v>8195491.1801950978</v>
      </c>
      <c r="BW24" s="154">
        <f t="shared" si="50"/>
        <v>7805229.695423902</v>
      </c>
      <c r="BX24" s="154">
        <f t="shared" si="51"/>
        <v>7414968.2106527099</v>
      </c>
      <c r="BY24" s="154">
        <f t="shared" si="52"/>
        <v>6984533.2416206636</v>
      </c>
      <c r="BZ24" s="203">
        <f t="shared" si="85"/>
        <v>8408402.2475472353</v>
      </c>
      <c r="CA24" s="203">
        <f t="shared" si="53"/>
        <v>8008002.1405211762</v>
      </c>
      <c r="CB24" s="203">
        <f t="shared" si="54"/>
        <v>7607602.0334951207</v>
      </c>
      <c r="CC24" s="203">
        <f t="shared" si="55"/>
        <v>7165984.7732901229</v>
      </c>
      <c r="CD24" s="154">
        <f t="shared" si="86"/>
        <v>8635004.8310533818</v>
      </c>
      <c r="CE24" s="154">
        <f t="shared" si="56"/>
        <v>8223814.1248127446</v>
      </c>
      <c r="CF24" s="154">
        <f t="shared" si="57"/>
        <v>7812623.4185721101</v>
      </c>
      <c r="CG24" s="154">
        <f t="shared" si="58"/>
        <v>7359104.775781313</v>
      </c>
    </row>
    <row r="25" spans="1:85" ht="15" x14ac:dyDescent="0.4">
      <c r="A25" s="4" t="s">
        <v>22</v>
      </c>
      <c r="B25" s="30">
        <f t="shared" si="59"/>
        <v>19380230.52</v>
      </c>
      <c r="C25" s="30">
        <f t="shared" si="2"/>
        <v>18457362.400000002</v>
      </c>
      <c r="D25" s="30">
        <f t="shared" si="3"/>
        <v>17534494.280000001</v>
      </c>
      <c r="E25" s="30">
        <f t="shared" si="60"/>
        <v>16611626.16</v>
      </c>
      <c r="F25" s="28">
        <f t="shared" si="4"/>
        <v>19633185.336024098</v>
      </c>
      <c r="G25" s="28">
        <f t="shared" si="5"/>
        <v>18698271.748594381</v>
      </c>
      <c r="H25" s="28">
        <f t="shared" si="6"/>
        <v>17763358.161164664</v>
      </c>
      <c r="I25" s="28">
        <f t="shared" si="7"/>
        <v>16828444.573734943</v>
      </c>
      <c r="J25" s="30">
        <f t="shared" si="8"/>
        <v>20327449.015696388</v>
      </c>
      <c r="K25" s="30">
        <f t="shared" si="9"/>
        <v>19359475.253044181</v>
      </c>
      <c r="L25" s="30">
        <f t="shared" si="10"/>
        <v>18391501.490391973</v>
      </c>
      <c r="M25" s="30">
        <f t="shared" si="11"/>
        <v>17423527.727739763</v>
      </c>
      <c r="N25" s="28">
        <f t="shared" si="61"/>
        <v>21070455.142610244</v>
      </c>
      <c r="O25" s="28">
        <f t="shared" si="62"/>
        <v>20067100.135819282</v>
      </c>
      <c r="P25" s="28">
        <f t="shared" si="12"/>
        <v>19063745.12902832</v>
      </c>
      <c r="Q25" s="28">
        <f t="shared" si="13"/>
        <v>18060390.122237355</v>
      </c>
      <c r="R25" s="30">
        <f t="shared" si="63"/>
        <v>21070455.142610244</v>
      </c>
      <c r="S25" s="30">
        <f t="shared" si="14"/>
        <v>20067100.135819282</v>
      </c>
      <c r="T25" s="30">
        <f t="shared" si="15"/>
        <v>19063745.12902832</v>
      </c>
      <c r="U25" s="30">
        <f t="shared" si="64"/>
        <v>18060390.122237355</v>
      </c>
      <c r="V25" s="97">
        <f t="shared" si="65"/>
        <v>21317440.406220037</v>
      </c>
      <c r="W25" s="97">
        <f t="shared" si="16"/>
        <v>20302324.196400039</v>
      </c>
      <c r="X25" s="97">
        <f t="shared" si="17"/>
        <v>19287207.98658004</v>
      </c>
      <c r="Y25" s="97">
        <f t="shared" si="18"/>
        <v>18272091.776760034</v>
      </c>
      <c r="Z25" s="97">
        <f t="shared" si="66"/>
        <v>22068922.798655517</v>
      </c>
      <c r="AA25" s="97">
        <f t="shared" si="19"/>
        <v>21018021.71300526</v>
      </c>
      <c r="AB25" s="97">
        <f t="shared" si="20"/>
        <v>19967120.627354998</v>
      </c>
      <c r="AC25" s="97">
        <f t="shared" si="67"/>
        <v>18916219.541704733</v>
      </c>
      <c r="AD25" s="30">
        <f t="shared" si="68"/>
        <v>22546128.738132056</v>
      </c>
      <c r="AE25" s="30">
        <f t="shared" si="69"/>
        <v>21472503.560125772</v>
      </c>
      <c r="AF25" s="30">
        <f t="shared" si="70"/>
        <v>20398878.382119484</v>
      </c>
      <c r="AG25" s="30">
        <f t="shared" si="71"/>
        <v>19325253.204113197</v>
      </c>
      <c r="AH25" s="30">
        <f t="shared" si="72"/>
        <v>22763386.099057954</v>
      </c>
      <c r="AI25" s="30">
        <f t="shared" si="73"/>
        <v>21679415.332436152</v>
      </c>
      <c r="AJ25" s="30">
        <f t="shared" si="74"/>
        <v>20595444.565814342</v>
      </c>
      <c r="AK25" s="30">
        <f t="shared" si="75"/>
        <v>19511473.799192537</v>
      </c>
      <c r="AL25" s="97">
        <f t="shared" si="22"/>
        <v>23142246.288344171</v>
      </c>
      <c r="AM25" s="97">
        <f t="shared" si="23"/>
        <v>22040234.560327787</v>
      </c>
      <c r="AN25" s="97">
        <f t="shared" si="24"/>
        <v>20938222.832311396</v>
      </c>
      <c r="AO25" s="97">
        <f t="shared" si="25"/>
        <v>19836211.104295008</v>
      </c>
      <c r="AP25" s="97">
        <f t="shared" si="26"/>
        <v>23181721.044367049</v>
      </c>
      <c r="AQ25" s="97">
        <f t="shared" si="27"/>
        <v>22077829.566063859</v>
      </c>
      <c r="AR25" s="97">
        <f t="shared" si="28"/>
        <v>20973938.087760665</v>
      </c>
      <c r="AS25" s="97">
        <f t="shared" si="29"/>
        <v>19870046.609457474</v>
      </c>
      <c r="AT25" s="97">
        <f t="shared" si="76"/>
        <v>23560971.107786823</v>
      </c>
      <c r="AU25" s="97">
        <f t="shared" si="77"/>
        <v>22439020.102654122</v>
      </c>
      <c r="AV25" s="97">
        <f t="shared" si="78"/>
        <v>21317069.097521413</v>
      </c>
      <c r="AW25" s="97">
        <f t="shared" si="79"/>
        <v>20195118.092388708</v>
      </c>
      <c r="AX25" s="97">
        <f t="shared" si="80"/>
        <v>24041880.851532172</v>
      </c>
      <c r="AY25" s="97">
        <f t="shared" si="81"/>
        <v>22897029.382411599</v>
      </c>
      <c r="AZ25" s="97">
        <f t="shared" si="82"/>
        <v>21752177.913291015</v>
      </c>
      <c r="BA25" s="97">
        <f t="shared" si="83"/>
        <v>20607326.444170438</v>
      </c>
      <c r="BB25" s="142">
        <f t="shared" si="31"/>
        <v>24648330.066283602</v>
      </c>
      <c r="BC25" s="142">
        <f t="shared" si="32"/>
        <v>23474600.063127246</v>
      </c>
      <c r="BD25" s="142">
        <f t="shared" si="33"/>
        <v>22300870.059970882</v>
      </c>
      <c r="BE25" s="142">
        <f t="shared" si="34"/>
        <v>21127140.056814522</v>
      </c>
      <c r="BF25" s="154">
        <f t="shared" si="35"/>
        <v>25083137.193735573</v>
      </c>
      <c r="BG25" s="154">
        <f t="shared" si="36"/>
        <v>23888702.089271981</v>
      </c>
      <c r="BH25" s="154">
        <f t="shared" si="37"/>
        <v>22694266.984808378</v>
      </c>
      <c r="BI25" s="154">
        <f t="shared" si="37"/>
        <v>21376876.831634529</v>
      </c>
      <c r="BJ25" s="203">
        <f t="shared" si="38"/>
        <v>25379636.472307391</v>
      </c>
      <c r="BK25" s="203">
        <f t="shared" si="39"/>
        <v>24171082.354578476</v>
      </c>
      <c r="BL25" s="203">
        <f t="shared" si="40"/>
        <v>22962528.236849546</v>
      </c>
      <c r="BM25" s="203">
        <f t="shared" si="41"/>
        <v>21629565.660378058</v>
      </c>
      <c r="BN25" s="207">
        <f t="shared" si="42"/>
        <v>26958724.181755804</v>
      </c>
      <c r="BO25" s="207">
        <f t="shared" si="43"/>
        <v>25674975.411196012</v>
      </c>
      <c r="BP25" s="207">
        <f t="shared" si="44"/>
        <v>24391226.640636206</v>
      </c>
      <c r="BQ25" s="207">
        <f t="shared" si="45"/>
        <v>22975328.880126227</v>
      </c>
      <c r="BR25" s="203">
        <f t="shared" si="46"/>
        <v>29046792.572565831</v>
      </c>
      <c r="BS25" s="203">
        <f t="shared" si="47"/>
        <v>27663611.973872229</v>
      </c>
      <c r="BT25" s="203">
        <f t="shared" si="48"/>
        <v>26280431.375178613</v>
      </c>
      <c r="BU25" s="203">
        <f t="shared" si="49"/>
        <v>24754866.282549839</v>
      </c>
      <c r="BV25" s="154">
        <f t="shared" si="84"/>
        <v>29988241.136578061</v>
      </c>
      <c r="BW25" s="154">
        <f t="shared" si="50"/>
        <v>28560229.653883878</v>
      </c>
      <c r="BX25" s="154">
        <f t="shared" si="51"/>
        <v>27132218.171189677</v>
      </c>
      <c r="BY25" s="154">
        <f t="shared" si="52"/>
        <v>25557207.307150017</v>
      </c>
      <c r="BZ25" s="203">
        <f t="shared" si="85"/>
        <v>30767307.123962861</v>
      </c>
      <c r="CA25" s="203">
        <f t="shared" si="53"/>
        <v>29302197.260917023</v>
      </c>
      <c r="CB25" s="203">
        <f t="shared" si="54"/>
        <v>27837087.397871163</v>
      </c>
      <c r="CC25" s="203">
        <f t="shared" si="55"/>
        <v>26221159.249341678</v>
      </c>
      <c r="CD25" s="154">
        <f t="shared" si="86"/>
        <v>31596471.937510025</v>
      </c>
      <c r="CE25" s="154">
        <f t="shared" si="56"/>
        <v>30091878.035723846</v>
      </c>
      <c r="CF25" s="154">
        <f t="shared" si="57"/>
        <v>28587284.133937642</v>
      </c>
      <c r="CG25" s="154">
        <f t="shared" si="58"/>
        <v>26927807.463056732</v>
      </c>
    </row>
    <row r="26" spans="1:85" ht="15" x14ac:dyDescent="0.4">
      <c r="A26" s="4" t="s">
        <v>23</v>
      </c>
      <c r="B26" s="30">
        <f t="shared" si="59"/>
        <v>27476502.375</v>
      </c>
      <c r="C26" s="30">
        <f t="shared" si="2"/>
        <v>26168097.5</v>
      </c>
      <c r="D26" s="30">
        <f t="shared" si="3"/>
        <v>24859692.625</v>
      </c>
      <c r="E26" s="30">
        <f t="shared" si="60"/>
        <v>23551287.75</v>
      </c>
      <c r="F26" s="28">
        <f t="shared" si="4"/>
        <v>27835131.422063258</v>
      </c>
      <c r="G26" s="28">
        <f t="shared" si="5"/>
        <v>26509648.973393578</v>
      </c>
      <c r="H26" s="28">
        <f t="shared" si="6"/>
        <v>25184166.524723899</v>
      </c>
      <c r="I26" s="28">
        <f t="shared" si="7"/>
        <v>23858684.076054219</v>
      </c>
      <c r="J26" s="30">
        <f t="shared" si="8"/>
        <v>28819430.222003017</v>
      </c>
      <c r="K26" s="30">
        <f t="shared" si="9"/>
        <v>27447076.401907634</v>
      </c>
      <c r="L26" s="30">
        <f t="shared" si="10"/>
        <v>26074722.581812251</v>
      </c>
      <c r="M26" s="30">
        <f t="shared" si="11"/>
        <v>24702368.761716869</v>
      </c>
      <c r="N26" s="28">
        <f t="shared" si="61"/>
        <v>29872834.08062689</v>
      </c>
      <c r="O26" s="28">
        <f t="shared" si="62"/>
        <v>28450318.172025606</v>
      </c>
      <c r="P26" s="28">
        <f t="shared" si="12"/>
        <v>27027802.263424326</v>
      </c>
      <c r="Q26" s="28">
        <f t="shared" si="13"/>
        <v>25605286.354823045</v>
      </c>
      <c r="R26" s="30">
        <f t="shared" si="63"/>
        <v>29872834.08062689</v>
      </c>
      <c r="S26" s="30">
        <f t="shared" si="14"/>
        <v>28450318.172025606</v>
      </c>
      <c r="T26" s="30">
        <f t="shared" si="15"/>
        <v>27027802.263424326</v>
      </c>
      <c r="U26" s="30">
        <f t="shared" si="64"/>
        <v>25605286.354823045</v>
      </c>
      <c r="V26" s="97">
        <f t="shared" si="65"/>
        <v>30222999.739139631</v>
      </c>
      <c r="W26" s="97">
        <f t="shared" si="16"/>
        <v>28783809.275371071</v>
      </c>
      <c r="X26" s="97">
        <f t="shared" si="17"/>
        <v>27344618.811602518</v>
      </c>
      <c r="Y26" s="97">
        <f t="shared" si="18"/>
        <v>25905428.347833965</v>
      </c>
      <c r="Z26" s="97">
        <f t="shared" si="66"/>
        <v>31288420.902175631</v>
      </c>
      <c r="AA26" s="97">
        <f t="shared" si="19"/>
        <v>29798496.097310118</v>
      </c>
      <c r="AB26" s="97">
        <f t="shared" si="20"/>
        <v>28308571.292444613</v>
      </c>
      <c r="AC26" s="97">
        <f t="shared" si="67"/>
        <v>26818646.487579107</v>
      </c>
      <c r="AD26" s="30">
        <f t="shared" si="68"/>
        <v>31964984.068741683</v>
      </c>
      <c r="AE26" s="30">
        <f t="shared" si="69"/>
        <v>30442841.970230166</v>
      </c>
      <c r="AF26" s="30">
        <f t="shared" si="70"/>
        <v>28920699.87171866</v>
      </c>
      <c r="AG26" s="30">
        <f t="shared" si="71"/>
        <v>27398557.77320715</v>
      </c>
      <c r="AH26" s="30">
        <f t="shared" si="72"/>
        <v>32273002.716265317</v>
      </c>
      <c r="AI26" s="30">
        <f t="shared" si="73"/>
        <v>30736193.063109819</v>
      </c>
      <c r="AJ26" s="30">
        <f t="shared" si="74"/>
        <v>29199383.409954328</v>
      </c>
      <c r="AK26" s="30">
        <f t="shared" si="75"/>
        <v>27662573.756798837</v>
      </c>
      <c r="AL26" s="97">
        <f t="shared" si="22"/>
        <v>32810135.279264141</v>
      </c>
      <c r="AM26" s="97">
        <f t="shared" si="23"/>
        <v>31247747.885013461</v>
      </c>
      <c r="AN26" s="97">
        <f t="shared" si="24"/>
        <v>29685360.490762789</v>
      </c>
      <c r="AO26" s="97">
        <f t="shared" si="25"/>
        <v>28122973.096512116</v>
      </c>
      <c r="AP26" s="97">
        <f t="shared" si="26"/>
        <v>32866100.982380819</v>
      </c>
      <c r="AQ26" s="97">
        <f t="shared" si="27"/>
        <v>31301048.554648392</v>
      </c>
      <c r="AR26" s="97">
        <f t="shared" si="28"/>
        <v>29735996.126915973</v>
      </c>
      <c r="AS26" s="97">
        <f t="shared" si="29"/>
        <v>28170943.699183557</v>
      </c>
      <c r="AT26" s="97">
        <f t="shared" si="76"/>
        <v>33403786.293064747</v>
      </c>
      <c r="AU26" s="97">
        <f t="shared" si="77"/>
        <v>31813129.802918799</v>
      </c>
      <c r="AV26" s="97">
        <f t="shared" si="78"/>
        <v>30222473.312772859</v>
      </c>
      <c r="AW26" s="97">
        <f t="shared" si="79"/>
        <v>28631816.822626922</v>
      </c>
      <c r="AX26" s="97">
        <f t="shared" si="80"/>
        <v>34085600.562639274</v>
      </c>
      <c r="AY26" s="97">
        <f t="shared" si="81"/>
        <v>32462476.726323109</v>
      </c>
      <c r="AZ26" s="97">
        <f t="shared" si="82"/>
        <v>30839352.890006952</v>
      </c>
      <c r="BA26" s="97">
        <f t="shared" si="83"/>
        <v>29216229.053690802</v>
      </c>
      <c r="BB26" s="142">
        <f t="shared" si="31"/>
        <v>34945399.586816959</v>
      </c>
      <c r="BC26" s="142">
        <f t="shared" si="32"/>
        <v>33281332.939825665</v>
      </c>
      <c r="BD26" s="142">
        <f t="shared" si="33"/>
        <v>31617266.292834379</v>
      </c>
      <c r="BE26" s="142">
        <f t="shared" si="34"/>
        <v>29953199.645843104</v>
      </c>
      <c r="BF26" s="154">
        <f t="shared" si="35"/>
        <v>35561851.442628063</v>
      </c>
      <c r="BG26" s="154">
        <f t="shared" si="36"/>
        <v>33868429.94536005</v>
      </c>
      <c r="BH26" s="154">
        <f t="shared" si="37"/>
        <v>32175008.448092043</v>
      </c>
      <c r="BI26" s="154">
        <f t="shared" si="37"/>
        <v>30307266.285008486</v>
      </c>
      <c r="BJ26" s="203">
        <f t="shared" si="38"/>
        <v>35982216.057148881</v>
      </c>
      <c r="BK26" s="203">
        <f t="shared" si="39"/>
        <v>34268777.197284639</v>
      </c>
      <c r="BL26" s="203">
        <f t="shared" si="40"/>
        <v>32555338.3374204</v>
      </c>
      <c r="BM26" s="203">
        <f t="shared" si="41"/>
        <v>30665518.226126652</v>
      </c>
      <c r="BN26" s="207">
        <f t="shared" si="42"/>
        <v>38220982.368737243</v>
      </c>
      <c r="BO26" s="207">
        <f t="shared" si="43"/>
        <v>36400935.589273557</v>
      </c>
      <c r="BP26" s="207">
        <f t="shared" si="44"/>
        <v>34580888.809809871</v>
      </c>
      <c r="BQ26" s="207">
        <f t="shared" si="45"/>
        <v>32573486.568682682</v>
      </c>
      <c r="BR26" s="203">
        <f t="shared" si="46"/>
        <v>41181360.783227548</v>
      </c>
      <c r="BS26" s="203">
        <f t="shared" si="47"/>
        <v>39220343.60307385</v>
      </c>
      <c r="BT26" s="203">
        <f t="shared" si="48"/>
        <v>37259326.422920145</v>
      </c>
      <c r="BU26" s="203">
        <f t="shared" si="49"/>
        <v>35096442.299969502</v>
      </c>
      <c r="BV26" s="154">
        <f t="shared" si="84"/>
        <v>42516108.255829975</v>
      </c>
      <c r="BW26" s="154">
        <f t="shared" si="50"/>
        <v>40491531.672219016</v>
      </c>
      <c r="BX26" s="154">
        <f t="shared" si="51"/>
        <v>38466955.088608049</v>
      </c>
      <c r="BY26" s="154">
        <f t="shared" si="52"/>
        <v>36233968.762579747</v>
      </c>
      <c r="BZ26" s="203">
        <f t="shared" si="85"/>
        <v>43620636.317587011</v>
      </c>
      <c r="CA26" s="203">
        <f t="shared" si="53"/>
        <v>41543463.159606673</v>
      </c>
      <c r="CB26" s="203">
        <f t="shared" si="54"/>
        <v>39466290.00162632</v>
      </c>
      <c r="CC26" s="203">
        <f t="shared" si="55"/>
        <v>37175292.814308055</v>
      </c>
      <c r="CD26" s="154">
        <f t="shared" si="86"/>
        <v>44796192.45687978</v>
      </c>
      <c r="CE26" s="154">
        <f t="shared" si="56"/>
        <v>42663040.435123593</v>
      </c>
      <c r="CF26" s="154">
        <f t="shared" si="57"/>
        <v>40529888.413367398</v>
      </c>
      <c r="CG26" s="154">
        <f t="shared" si="58"/>
        <v>38177149.90276704</v>
      </c>
    </row>
    <row r="27" spans="1:85" ht="15" x14ac:dyDescent="0.4">
      <c r="A27" s="4" t="s">
        <v>24</v>
      </c>
      <c r="B27" s="30">
        <f t="shared" si="59"/>
        <v>38772484.799999997</v>
      </c>
      <c r="C27" s="30">
        <f t="shared" si="2"/>
        <v>36926176</v>
      </c>
      <c r="D27" s="30">
        <f t="shared" si="3"/>
        <v>35079867.200000003</v>
      </c>
      <c r="E27" s="30">
        <f t="shared" si="60"/>
        <v>33233558.399999999</v>
      </c>
      <c r="F27" s="28">
        <f t="shared" si="4"/>
        <v>39278551.368674703</v>
      </c>
      <c r="G27" s="28">
        <f t="shared" si="5"/>
        <v>37408144.160642579</v>
      </c>
      <c r="H27" s="28">
        <f t="shared" si="6"/>
        <v>35537736.952610448</v>
      </c>
      <c r="I27" s="28">
        <f t="shared" si="7"/>
        <v>33667329.744578317</v>
      </c>
      <c r="J27" s="30">
        <f t="shared" si="8"/>
        <v>40667509.458698794</v>
      </c>
      <c r="K27" s="30">
        <f t="shared" si="9"/>
        <v>38730961.389236957</v>
      </c>
      <c r="L27" s="30">
        <f t="shared" si="10"/>
        <v>36794413.319775105</v>
      </c>
      <c r="M27" s="30">
        <f t="shared" si="11"/>
        <v>34857865.250313252</v>
      </c>
      <c r="N27" s="28">
        <f t="shared" si="61"/>
        <v>42153982.683686748</v>
      </c>
      <c r="O27" s="28">
        <f t="shared" si="62"/>
        <v>40146650.174939767</v>
      </c>
      <c r="P27" s="28">
        <f t="shared" si="12"/>
        <v>38139317.666192777</v>
      </c>
      <c r="Q27" s="28">
        <f t="shared" si="13"/>
        <v>36131985.157445781</v>
      </c>
      <c r="R27" s="30">
        <f t="shared" si="63"/>
        <v>42153982.683686748</v>
      </c>
      <c r="S27" s="30">
        <f t="shared" si="14"/>
        <v>40146650.174939767</v>
      </c>
      <c r="T27" s="30">
        <f t="shared" si="15"/>
        <v>38139317.666192777</v>
      </c>
      <c r="U27" s="30">
        <f t="shared" si="64"/>
        <v>36131985.157445781</v>
      </c>
      <c r="V27" s="97">
        <f t="shared" si="65"/>
        <v>42648106.4439409</v>
      </c>
      <c r="W27" s="97">
        <f t="shared" si="16"/>
        <v>40617244.232324675</v>
      </c>
      <c r="X27" s="97">
        <f t="shared" si="17"/>
        <v>38586382.020708442</v>
      </c>
      <c r="Y27" s="97">
        <f t="shared" si="18"/>
        <v>36555519.809092201</v>
      </c>
      <c r="Z27" s="97">
        <f t="shared" si="66"/>
        <v>44151537.458763123</v>
      </c>
      <c r="AA27" s="97">
        <f t="shared" si="19"/>
        <v>42049083.294060126</v>
      </c>
      <c r="AB27" s="97">
        <f t="shared" si="20"/>
        <v>39946629.129357122</v>
      </c>
      <c r="AC27" s="97">
        <f t="shared" si="67"/>
        <v>37844174.96465411</v>
      </c>
      <c r="AD27" s="30">
        <f t="shared" si="68"/>
        <v>45106245.40280588</v>
      </c>
      <c r="AE27" s="30">
        <f t="shared" si="69"/>
        <v>42958328.955053225</v>
      </c>
      <c r="AF27" s="30">
        <f t="shared" si="70"/>
        <v>40810412.507300563</v>
      </c>
      <c r="AG27" s="30">
        <f t="shared" si="71"/>
        <v>38662496.059547901</v>
      </c>
      <c r="AH27" s="30">
        <f t="shared" si="72"/>
        <v>45540894.914094947</v>
      </c>
      <c r="AI27" s="30">
        <f t="shared" si="73"/>
        <v>43372280.870566621</v>
      </c>
      <c r="AJ27" s="30">
        <f t="shared" si="74"/>
        <v>41203666.827038288</v>
      </c>
      <c r="AK27" s="30">
        <f t="shared" si="75"/>
        <v>39035052.783509962</v>
      </c>
      <c r="AL27" s="97">
        <f t="shared" si="22"/>
        <v>46298850.34270896</v>
      </c>
      <c r="AM27" s="97">
        <f t="shared" si="23"/>
        <v>44094143.183532342</v>
      </c>
      <c r="AN27" s="97">
        <f t="shared" si="24"/>
        <v>41889436.024355724</v>
      </c>
      <c r="AO27" s="97">
        <f t="shared" si="25"/>
        <v>39684728.865179114</v>
      </c>
      <c r="AP27" s="97">
        <f t="shared" si="26"/>
        <v>46377824.345433086</v>
      </c>
      <c r="AQ27" s="97">
        <f t="shared" si="27"/>
        <v>44169356.519460082</v>
      </c>
      <c r="AR27" s="97">
        <f t="shared" si="28"/>
        <v>41960888.693487078</v>
      </c>
      <c r="AS27" s="97">
        <f t="shared" si="29"/>
        <v>39752420.867514081</v>
      </c>
      <c r="AT27" s="97">
        <f t="shared" si="76"/>
        <v>47136559.764197461</v>
      </c>
      <c r="AU27" s="97">
        <f t="shared" si="77"/>
        <v>44891961.680188052</v>
      </c>
      <c r="AV27" s="97">
        <f t="shared" si="78"/>
        <v>42647363.596178651</v>
      </c>
      <c r="AW27" s="97">
        <f t="shared" si="79"/>
        <v>40402765.512169257</v>
      </c>
      <c r="AX27" s="97">
        <f t="shared" si="80"/>
        <v>48098677.614668645</v>
      </c>
      <c r="AY27" s="97">
        <f t="shared" si="81"/>
        <v>45808264.394922517</v>
      </c>
      <c r="AZ27" s="97">
        <f t="shared" si="82"/>
        <v>43517851.17517639</v>
      </c>
      <c r="BA27" s="97">
        <f t="shared" si="83"/>
        <v>41227437.955430269</v>
      </c>
      <c r="BB27" s="142">
        <f t="shared" si="31"/>
        <v>49311952.293556303</v>
      </c>
      <c r="BC27" s="142">
        <f t="shared" si="32"/>
        <v>46963764.08910124</v>
      </c>
      <c r="BD27" s="142">
        <f t="shared" si="33"/>
        <v>44615575.884646177</v>
      </c>
      <c r="BE27" s="142">
        <f t="shared" si="34"/>
        <v>42267387.680191122</v>
      </c>
      <c r="BF27" s="154">
        <f t="shared" si="35"/>
        <v>50181836.308747225</v>
      </c>
      <c r="BG27" s="154">
        <f t="shared" si="36"/>
        <v>47792225.055949733</v>
      </c>
      <c r="BH27" s="154">
        <f t="shared" si="37"/>
        <v>45402613.803152248</v>
      </c>
      <c r="BI27" s="154">
        <f t="shared" si="37"/>
        <v>42767016.169940881</v>
      </c>
      <c r="BJ27" s="203">
        <f t="shared" si="38"/>
        <v>50775018.818097316</v>
      </c>
      <c r="BK27" s="203">
        <f t="shared" si="39"/>
        <v>48357160.779140294</v>
      </c>
      <c r="BL27" s="203">
        <f t="shared" si="40"/>
        <v>45939302.740183286</v>
      </c>
      <c r="BM27" s="203">
        <f t="shared" si="41"/>
        <v>43272550.599032298</v>
      </c>
      <c r="BN27" s="207">
        <f t="shared" si="42"/>
        <v>53934173.924599908</v>
      </c>
      <c r="BO27" s="207">
        <f t="shared" si="43"/>
        <v>51365879.92819038</v>
      </c>
      <c r="BP27" s="207">
        <f t="shared" si="44"/>
        <v>48797585.931780867</v>
      </c>
      <c r="BQ27" s="207">
        <f t="shared" si="45"/>
        <v>45964911.96843075</v>
      </c>
      <c r="BR27" s="203">
        <f t="shared" si="46"/>
        <v>58111606.172399729</v>
      </c>
      <c r="BS27" s="203">
        <f t="shared" si="47"/>
        <v>55344386.830856875</v>
      </c>
      <c r="BT27" s="203">
        <f t="shared" si="48"/>
        <v>52577167.489314042</v>
      </c>
      <c r="BU27" s="203">
        <f t="shared" si="49"/>
        <v>49525090.822614007</v>
      </c>
      <c r="BV27" s="154">
        <f t="shared" si="84"/>
        <v>59995087.387985706</v>
      </c>
      <c r="BW27" s="154">
        <f t="shared" si="50"/>
        <v>57138178.464748278</v>
      </c>
      <c r="BX27" s="154">
        <f t="shared" si="51"/>
        <v>54281269.541510873</v>
      </c>
      <c r="BY27" s="154">
        <f t="shared" si="52"/>
        <v>51130270.655156411</v>
      </c>
      <c r="BZ27" s="203">
        <f t="shared" si="85"/>
        <v>61553702.705946028</v>
      </c>
      <c r="CA27" s="203">
        <f t="shared" si="53"/>
        <v>58622574.005662873</v>
      </c>
      <c r="CB27" s="203">
        <f t="shared" si="54"/>
        <v>55691445.305379741</v>
      </c>
      <c r="CC27" s="203">
        <f t="shared" si="55"/>
        <v>52458586.464402869</v>
      </c>
      <c r="CD27" s="154">
        <f t="shared" si="86"/>
        <v>63212546.758227825</v>
      </c>
      <c r="CE27" s="154">
        <f t="shared" si="56"/>
        <v>60202425.484026492</v>
      </c>
      <c r="CF27" s="154">
        <f t="shared" si="57"/>
        <v>57192304.20982518</v>
      </c>
      <c r="CG27" s="154">
        <f t="shared" si="58"/>
        <v>53872321.306046754</v>
      </c>
    </row>
    <row r="28" spans="1:85" ht="15" x14ac:dyDescent="0.4">
      <c r="A28" s="4" t="s">
        <v>25</v>
      </c>
      <c r="B28" s="30">
        <f t="shared" si="59"/>
        <v>18373426.469999999</v>
      </c>
      <c r="C28" s="30">
        <f t="shared" si="2"/>
        <v>17498501.400000002</v>
      </c>
      <c r="D28" s="30">
        <f t="shared" si="3"/>
        <v>16623576.33</v>
      </c>
      <c r="E28" s="30">
        <f t="shared" si="60"/>
        <v>15748651.26</v>
      </c>
      <c r="F28" s="28">
        <f t="shared" si="4"/>
        <v>18613240.26930723</v>
      </c>
      <c r="G28" s="28">
        <f t="shared" si="5"/>
        <v>17726895.494578317</v>
      </c>
      <c r="H28" s="28">
        <f t="shared" si="6"/>
        <v>16840550.7198494</v>
      </c>
      <c r="I28" s="28">
        <f t="shared" si="7"/>
        <v>15954205.945120484</v>
      </c>
      <c r="J28" s="30">
        <f t="shared" si="8"/>
        <v>19271436.912328914</v>
      </c>
      <c r="K28" s="30">
        <f t="shared" si="9"/>
        <v>18353749.440313257</v>
      </c>
      <c r="L28" s="30">
        <f t="shared" si="10"/>
        <v>17436061.968297593</v>
      </c>
      <c r="M28" s="30">
        <f t="shared" si="11"/>
        <v>16518374.496281929</v>
      </c>
      <c r="N28" s="28">
        <f t="shared" si="61"/>
        <v>19975843.829755571</v>
      </c>
      <c r="O28" s="28">
        <f t="shared" si="62"/>
        <v>19024613.17119579</v>
      </c>
      <c r="P28" s="28">
        <f t="shared" si="12"/>
        <v>18073382.512635998</v>
      </c>
      <c r="Q28" s="28">
        <f t="shared" si="13"/>
        <v>17122151.854076207</v>
      </c>
      <c r="R28" s="30">
        <f t="shared" si="63"/>
        <v>19975843.829755571</v>
      </c>
      <c r="S28" s="30">
        <f t="shared" si="14"/>
        <v>19024613.17119579</v>
      </c>
      <c r="T28" s="30">
        <f t="shared" si="15"/>
        <v>18073382.512635998</v>
      </c>
      <c r="U28" s="30">
        <f t="shared" si="64"/>
        <v>17122151.854076207</v>
      </c>
      <c r="V28" s="97">
        <f t="shared" si="65"/>
        <v>20209998.195227385</v>
      </c>
      <c r="W28" s="97">
        <f t="shared" si="16"/>
        <v>19247617.328787994</v>
      </c>
      <c r="X28" s="97">
        <f t="shared" si="17"/>
        <v>18285236.462348595</v>
      </c>
      <c r="Y28" s="97">
        <f t="shared" si="18"/>
        <v>17322855.595909193</v>
      </c>
      <c r="Z28" s="97">
        <f t="shared" si="66"/>
        <v>20922441.035711873</v>
      </c>
      <c r="AA28" s="97">
        <f t="shared" si="19"/>
        <v>19926134.319725603</v>
      </c>
      <c r="AB28" s="97">
        <f t="shared" si="20"/>
        <v>18929827.603739321</v>
      </c>
      <c r="AC28" s="97">
        <f t="shared" si="67"/>
        <v>17933520.88775304</v>
      </c>
      <c r="AD28" s="30">
        <f t="shared" si="68"/>
        <v>21374856.100175176</v>
      </c>
      <c r="AE28" s="30">
        <f t="shared" si="69"/>
        <v>20357005.809690654</v>
      </c>
      <c r="AF28" s="30">
        <f t="shared" si="70"/>
        <v>19339155.519206118</v>
      </c>
      <c r="AG28" s="30">
        <f t="shared" si="71"/>
        <v>18321305.228721585</v>
      </c>
      <c r="AH28" s="30">
        <f t="shared" si="72"/>
        <v>21580826.929155707</v>
      </c>
      <c r="AI28" s="30">
        <f t="shared" si="73"/>
        <v>20553168.50395783</v>
      </c>
      <c r="AJ28" s="30">
        <f t="shared" si="74"/>
        <v>19525510.078759935</v>
      </c>
      <c r="AK28" s="30">
        <f t="shared" si="75"/>
        <v>18497851.653562043</v>
      </c>
      <c r="AL28" s="97">
        <f t="shared" si="22"/>
        <v>21940005.310603596</v>
      </c>
      <c r="AM28" s="97">
        <f t="shared" si="23"/>
        <v>20895243.152955819</v>
      </c>
      <c r="AN28" s="97">
        <f t="shared" si="24"/>
        <v>19850480.995308023</v>
      </c>
      <c r="AO28" s="97">
        <f t="shared" si="25"/>
        <v>18805718.837660234</v>
      </c>
      <c r="AP28" s="97">
        <f t="shared" si="26"/>
        <v>21977429.350862511</v>
      </c>
      <c r="AQ28" s="97">
        <f t="shared" si="27"/>
        <v>20930885.096059546</v>
      </c>
      <c r="AR28" s="97">
        <f t="shared" si="28"/>
        <v>19884340.841256563</v>
      </c>
      <c r="AS28" s="97">
        <f t="shared" si="29"/>
        <v>18837796.586453591</v>
      </c>
      <c r="AT28" s="97">
        <f t="shared" si="76"/>
        <v>22336977.352461103</v>
      </c>
      <c r="AU28" s="97">
        <f t="shared" si="77"/>
        <v>21273311.764248684</v>
      </c>
      <c r="AV28" s="97">
        <f t="shared" si="78"/>
        <v>20209646.176036242</v>
      </c>
      <c r="AW28" s="97">
        <f t="shared" si="79"/>
        <v>19145980.587823812</v>
      </c>
      <c r="AX28" s="97">
        <f t="shared" si="80"/>
        <v>22792903.808356103</v>
      </c>
      <c r="AY28" s="97">
        <f t="shared" si="81"/>
        <v>21707527.436529636</v>
      </c>
      <c r="AZ28" s="97">
        <f t="shared" si="82"/>
        <v>20622151.064703148</v>
      </c>
      <c r="BA28" s="97">
        <f t="shared" si="83"/>
        <v>19536774.692876671</v>
      </c>
      <c r="BB28" s="142">
        <f t="shared" si="31"/>
        <v>23367847.952778213</v>
      </c>
      <c r="BC28" s="142">
        <f t="shared" si="32"/>
        <v>22255093.288360216</v>
      </c>
      <c r="BD28" s="142">
        <f t="shared" si="33"/>
        <v>21142338.6239422</v>
      </c>
      <c r="BE28" s="142">
        <f t="shared" si="34"/>
        <v>20029583.959524192</v>
      </c>
      <c r="BF28" s="154">
        <f t="shared" si="35"/>
        <v>23780066.825852312</v>
      </c>
      <c r="BG28" s="154">
        <f t="shared" si="36"/>
        <v>22647682.691287931</v>
      </c>
      <c r="BH28" s="154">
        <f t="shared" si="37"/>
        <v>21515298.556723531</v>
      </c>
      <c r="BI28" s="154">
        <f t="shared" si="37"/>
        <v>20266346.895046301</v>
      </c>
      <c r="BJ28" s="203">
        <f t="shared" si="38"/>
        <v>24061162.950463701</v>
      </c>
      <c r="BK28" s="203">
        <f t="shared" si="39"/>
        <v>22915393.28615592</v>
      </c>
      <c r="BL28" s="203">
        <f t="shared" si="40"/>
        <v>21769623.621848121</v>
      </c>
      <c r="BM28" s="203">
        <f t="shared" si="41"/>
        <v>20505908.525126934</v>
      </c>
      <c r="BN28" s="207">
        <f t="shared" si="42"/>
        <v>25558216.965857897</v>
      </c>
      <c r="BO28" s="207">
        <f t="shared" si="43"/>
        <v>24341159.015102774</v>
      </c>
      <c r="BP28" s="207">
        <f t="shared" si="44"/>
        <v>23124101.064347632</v>
      </c>
      <c r="BQ28" s="207">
        <f t="shared" si="45"/>
        <v>21781759.270996876</v>
      </c>
      <c r="BR28" s="203">
        <f t="shared" si="46"/>
        <v>27537810.087997876</v>
      </c>
      <c r="BS28" s="203">
        <f t="shared" si="47"/>
        <v>26226485.79809323</v>
      </c>
      <c r="BT28" s="203">
        <f t="shared" si="48"/>
        <v>24915161.508188564</v>
      </c>
      <c r="BU28" s="203">
        <f t="shared" si="49"/>
        <v>23468849.606702805</v>
      </c>
      <c r="BV28" s="154">
        <f t="shared" si="84"/>
        <v>28430350.346913528</v>
      </c>
      <c r="BW28" s="154">
        <f t="shared" si="50"/>
        <v>27076524.139917657</v>
      </c>
      <c r="BX28" s="154">
        <f t="shared" si="51"/>
        <v>25722697.932921771</v>
      </c>
      <c r="BY28" s="154">
        <f t="shared" si="52"/>
        <v>24229508.97059131</v>
      </c>
      <c r="BZ28" s="203">
        <f t="shared" si="85"/>
        <v>29168943.813060421</v>
      </c>
      <c r="CA28" s="203">
        <f t="shared" si="53"/>
        <v>27779946.488628983</v>
      </c>
      <c r="CB28" s="203">
        <f t="shared" si="54"/>
        <v>26390949.164197531</v>
      </c>
      <c r="CC28" s="203">
        <f t="shared" si="55"/>
        <v>24858968.572575044</v>
      </c>
      <c r="CD28" s="154">
        <f t="shared" si="86"/>
        <v>29955033.468572944</v>
      </c>
      <c r="CE28" s="154">
        <f t="shared" si="56"/>
        <v>28528603.303402815</v>
      </c>
      <c r="CF28" s="154">
        <f t="shared" si="57"/>
        <v>27102173.138232671</v>
      </c>
      <c r="CG28" s="154">
        <f t="shared" si="58"/>
        <v>25528906.372409347</v>
      </c>
    </row>
    <row r="29" spans="1:85" ht="15" x14ac:dyDescent="0.4">
      <c r="A29" s="4" t="s">
        <v>26</v>
      </c>
      <c r="B29" s="30">
        <f t="shared" si="59"/>
        <v>11518766.91</v>
      </c>
      <c r="C29" s="30">
        <f t="shared" si="2"/>
        <v>10970254.200000001</v>
      </c>
      <c r="D29" s="30">
        <f t="shared" si="3"/>
        <v>10421741.49</v>
      </c>
      <c r="E29" s="30">
        <f t="shared" si="60"/>
        <v>9873228.7799999993</v>
      </c>
      <c r="F29" s="28">
        <f t="shared" si="4"/>
        <v>11669112.261234941</v>
      </c>
      <c r="G29" s="28">
        <f t="shared" si="5"/>
        <v>11113440.248795183</v>
      </c>
      <c r="H29" s="28">
        <f t="shared" si="6"/>
        <v>10557768.236355424</v>
      </c>
      <c r="I29" s="28">
        <f t="shared" si="7"/>
        <v>10002096.223915664</v>
      </c>
      <c r="J29" s="30">
        <f t="shared" si="8"/>
        <v>12081752.42523976</v>
      </c>
      <c r="K29" s="30">
        <f t="shared" si="9"/>
        <v>11506430.881180726</v>
      </c>
      <c r="L29" s="30">
        <f t="shared" si="10"/>
        <v>10931109.337121688</v>
      </c>
      <c r="M29" s="30">
        <f t="shared" si="11"/>
        <v>10355787.793062652</v>
      </c>
      <c r="N29" s="28">
        <f t="shared" si="61"/>
        <v>12523362.98192485</v>
      </c>
      <c r="O29" s="28">
        <f t="shared" si="62"/>
        <v>11927012.363737956</v>
      </c>
      <c r="P29" s="28">
        <f t="shared" si="12"/>
        <v>11330661.745551055</v>
      </c>
      <c r="Q29" s="28">
        <f t="shared" si="13"/>
        <v>10734311.127364159</v>
      </c>
      <c r="R29" s="30">
        <f t="shared" si="63"/>
        <v>12523362.98192485</v>
      </c>
      <c r="S29" s="30">
        <f t="shared" si="14"/>
        <v>11927012.363737956</v>
      </c>
      <c r="T29" s="30">
        <f t="shared" si="15"/>
        <v>11330661.745551055</v>
      </c>
      <c r="U29" s="30">
        <f t="shared" si="64"/>
        <v>10734311.127364159</v>
      </c>
      <c r="V29" s="97">
        <f t="shared" si="65"/>
        <v>12670160.290594123</v>
      </c>
      <c r="W29" s="97">
        <f t="shared" si="16"/>
        <v>12066819.324375359</v>
      </c>
      <c r="X29" s="97">
        <f t="shared" si="17"/>
        <v>11463478.358156588</v>
      </c>
      <c r="Y29" s="97">
        <f t="shared" si="18"/>
        <v>10860137.391937822</v>
      </c>
      <c r="Z29" s="97">
        <f t="shared" si="66"/>
        <v>13116808.771194004</v>
      </c>
      <c r="AA29" s="97">
        <f t="shared" si="19"/>
        <v>12492198.82970858</v>
      </c>
      <c r="AB29" s="97">
        <f t="shared" si="20"/>
        <v>11867588.888223147</v>
      </c>
      <c r="AC29" s="97">
        <f t="shared" si="67"/>
        <v>11242978.94673772</v>
      </c>
      <c r="AD29" s="30">
        <f t="shared" si="68"/>
        <v>13400439.246034084</v>
      </c>
      <c r="AE29" s="30">
        <f t="shared" si="69"/>
        <v>12762323.091461038</v>
      </c>
      <c r="AF29" s="30">
        <f t="shared" si="70"/>
        <v>12124206.936887981</v>
      </c>
      <c r="AG29" s="30">
        <f t="shared" si="71"/>
        <v>11486090.782314932</v>
      </c>
      <c r="AH29" s="30">
        <f t="shared" si="72"/>
        <v>13529567.581086889</v>
      </c>
      <c r="AI29" s="30">
        <f t="shared" si="73"/>
        <v>12885302.458177995</v>
      </c>
      <c r="AJ29" s="30">
        <f t="shared" si="74"/>
        <v>12241037.33526909</v>
      </c>
      <c r="AK29" s="30">
        <f t="shared" si="75"/>
        <v>11596772.212360194</v>
      </c>
      <c r="AL29" s="97">
        <f t="shared" si="22"/>
        <v>13754745.615340034</v>
      </c>
      <c r="AM29" s="97">
        <f t="shared" si="23"/>
        <v>13099757.728895275</v>
      </c>
      <c r="AN29" s="97">
        <f t="shared" si="24"/>
        <v>12444769.842450507</v>
      </c>
      <c r="AO29" s="97">
        <f t="shared" si="25"/>
        <v>11789781.956005746</v>
      </c>
      <c r="AP29" s="97">
        <f t="shared" si="26"/>
        <v>13778207.695060261</v>
      </c>
      <c r="AQ29" s="97">
        <f t="shared" si="27"/>
        <v>13122102.566724064</v>
      </c>
      <c r="AR29" s="97">
        <f t="shared" si="28"/>
        <v>12465997.438387856</v>
      </c>
      <c r="AS29" s="97">
        <f t="shared" si="29"/>
        <v>11809892.310051655</v>
      </c>
      <c r="AT29" s="97">
        <f t="shared" si="76"/>
        <v>14003617.453557555</v>
      </c>
      <c r="AU29" s="97">
        <f t="shared" si="77"/>
        <v>13336778.527197678</v>
      </c>
      <c r="AV29" s="97">
        <f t="shared" si="78"/>
        <v>12669939.600837789</v>
      </c>
      <c r="AW29" s="97">
        <f t="shared" si="79"/>
        <v>12003100.674477909</v>
      </c>
      <c r="AX29" s="97">
        <f t="shared" si="80"/>
        <v>14289449.308717063</v>
      </c>
      <c r="AY29" s="97">
        <f t="shared" si="81"/>
        <v>13608999.341635304</v>
      </c>
      <c r="AZ29" s="97">
        <f t="shared" si="82"/>
        <v>12928549.374553535</v>
      </c>
      <c r="BA29" s="97">
        <f t="shared" si="83"/>
        <v>12248099.407471772</v>
      </c>
      <c r="BB29" s="142">
        <f t="shared" si="31"/>
        <v>14649896.370492995</v>
      </c>
      <c r="BC29" s="142">
        <f t="shared" si="32"/>
        <v>13952282.257612383</v>
      </c>
      <c r="BD29" s="142">
        <f t="shared" si="33"/>
        <v>13254668.14473176</v>
      </c>
      <c r="BE29" s="142">
        <f t="shared" si="34"/>
        <v>12557054.031851143</v>
      </c>
      <c r="BF29" s="154">
        <f t="shared" si="35"/>
        <v>14908326.833781721</v>
      </c>
      <c r="BG29" s="154">
        <f t="shared" si="36"/>
        <v>14198406.508363551</v>
      </c>
      <c r="BH29" s="154">
        <f t="shared" si="37"/>
        <v>13488486.182945369</v>
      </c>
      <c r="BI29" s="154">
        <f t="shared" si="37"/>
        <v>12705486.719224917</v>
      </c>
      <c r="BJ29" s="203">
        <f t="shared" si="38"/>
        <v>15084553.121458095</v>
      </c>
      <c r="BK29" s="203">
        <f t="shared" si="39"/>
        <v>14366241.068055334</v>
      </c>
      <c r="BL29" s="203">
        <f t="shared" si="40"/>
        <v>13647929.014652563</v>
      </c>
      <c r="BM29" s="203">
        <f t="shared" si="41"/>
        <v>12855673.979177983</v>
      </c>
      <c r="BN29" s="207">
        <f t="shared" si="42"/>
        <v>16023094.241328225</v>
      </c>
      <c r="BO29" s="207">
        <f t="shared" si="43"/>
        <v>15260089.753645934</v>
      </c>
      <c r="BP29" s="207">
        <f t="shared" si="44"/>
        <v>14497085.265963633</v>
      </c>
      <c r="BQ29" s="207">
        <f t="shared" si="45"/>
        <v>13655537.160801804</v>
      </c>
      <c r="BR29" s="203">
        <f t="shared" si="46"/>
        <v>17264151.361936692</v>
      </c>
      <c r="BS29" s="203">
        <f t="shared" si="47"/>
        <v>16442048.916130187</v>
      </c>
      <c r="BT29" s="203">
        <f t="shared" si="48"/>
        <v>15619946.470323673</v>
      </c>
      <c r="BU29" s="203">
        <f t="shared" si="49"/>
        <v>14713216.868222769</v>
      </c>
      <c r="BV29" s="154">
        <f t="shared" si="84"/>
        <v>17823707.48049885</v>
      </c>
      <c r="BW29" s="154">
        <f t="shared" si="50"/>
        <v>16974959.505237006</v>
      </c>
      <c r="BX29" s="154">
        <f t="shared" si="51"/>
        <v>16126211.52997515</v>
      </c>
      <c r="BY29" s="154">
        <f t="shared" si="52"/>
        <v>15190093.50986862</v>
      </c>
      <c r="BZ29" s="203">
        <f t="shared" si="85"/>
        <v>18286750.451372374</v>
      </c>
      <c r="CA29" s="203">
        <f t="shared" si="53"/>
        <v>17415952.810830839</v>
      </c>
      <c r="CB29" s="203">
        <f t="shared" si="54"/>
        <v>16545155.170289289</v>
      </c>
      <c r="CC29" s="203">
        <f t="shared" si="55"/>
        <v>15584717.694222622</v>
      </c>
      <c r="CD29" s="154">
        <f t="shared" si="86"/>
        <v>18779569.987619221</v>
      </c>
      <c r="CE29" s="154">
        <f t="shared" si="56"/>
        <v>17885304.750113551</v>
      </c>
      <c r="CF29" s="154">
        <f t="shared" si="57"/>
        <v>16991039.512607865</v>
      </c>
      <c r="CG29" s="154">
        <f t="shared" si="58"/>
        <v>16004718.687128849</v>
      </c>
    </row>
    <row r="30" spans="1:85" ht="15" x14ac:dyDescent="0.4">
      <c r="A30" s="4" t="s">
        <v>27</v>
      </c>
      <c r="B30" s="30">
        <f t="shared" si="59"/>
        <v>21986963.460000001</v>
      </c>
      <c r="C30" s="30">
        <f t="shared" si="2"/>
        <v>20939965.200000003</v>
      </c>
      <c r="D30" s="30">
        <f t="shared" si="3"/>
        <v>19892966.940000001</v>
      </c>
      <c r="E30" s="30">
        <f t="shared" si="60"/>
        <v>18845968.68</v>
      </c>
      <c r="F30" s="28">
        <f t="shared" si="4"/>
        <v>22273941.898734946</v>
      </c>
      <c r="G30" s="28">
        <f t="shared" si="5"/>
        <v>21213277.998795189</v>
      </c>
      <c r="H30" s="28">
        <f t="shared" si="6"/>
        <v>20152614.098855425</v>
      </c>
      <c r="I30" s="28">
        <f t="shared" si="7"/>
        <v>19091950.198915664</v>
      </c>
      <c r="J30" s="30">
        <f t="shared" si="8"/>
        <v>23061587.336739764</v>
      </c>
      <c r="K30" s="30">
        <f t="shared" si="9"/>
        <v>21963416.511180729</v>
      </c>
      <c r="L30" s="30">
        <f t="shared" si="10"/>
        <v>20865245.68562169</v>
      </c>
      <c r="M30" s="30">
        <f t="shared" si="11"/>
        <v>19767074.860062651</v>
      </c>
      <c r="N30" s="28">
        <f t="shared" si="61"/>
        <v>23904531.312362354</v>
      </c>
      <c r="O30" s="28">
        <f t="shared" si="62"/>
        <v>22766220.297487959</v>
      </c>
      <c r="P30" s="28">
        <f t="shared" si="12"/>
        <v>21627909.282613557</v>
      </c>
      <c r="Q30" s="28">
        <f t="shared" si="13"/>
        <v>20489598.267739158</v>
      </c>
      <c r="R30" s="30">
        <f t="shared" si="63"/>
        <v>23904531.312362354</v>
      </c>
      <c r="S30" s="30">
        <f t="shared" si="14"/>
        <v>22766220.297487959</v>
      </c>
      <c r="T30" s="30">
        <f t="shared" si="15"/>
        <v>21627909.282613557</v>
      </c>
      <c r="U30" s="30">
        <f t="shared" si="64"/>
        <v>20489598.267739158</v>
      </c>
      <c r="V30" s="97">
        <f t="shared" si="65"/>
        <v>24184737.265565176</v>
      </c>
      <c r="W30" s="97">
        <f t="shared" si="16"/>
        <v>23033083.110062074</v>
      </c>
      <c r="X30" s="97">
        <f t="shared" si="17"/>
        <v>21881428.954558965</v>
      </c>
      <c r="Y30" s="97">
        <f t="shared" si="18"/>
        <v>20729774.799055863</v>
      </c>
      <c r="Z30" s="97">
        <f t="shared" si="66"/>
        <v>25037297.604631372</v>
      </c>
      <c r="AA30" s="97">
        <f t="shared" si="19"/>
        <v>23845045.337744169</v>
      </c>
      <c r="AB30" s="97">
        <f t="shared" si="20"/>
        <v>22652793.070856955</v>
      </c>
      <c r="AC30" s="97">
        <f t="shared" si="67"/>
        <v>21460540.803969748</v>
      </c>
      <c r="AD30" s="30">
        <f t="shared" si="68"/>
        <v>25578690.006715432</v>
      </c>
      <c r="AE30" s="30">
        <f t="shared" si="69"/>
        <v>24360657.149252798</v>
      </c>
      <c r="AF30" s="30">
        <f t="shared" si="70"/>
        <v>23142624.291790154</v>
      </c>
      <c r="AG30" s="30">
        <f t="shared" si="71"/>
        <v>21924591.434327517</v>
      </c>
      <c r="AH30" s="30">
        <f t="shared" si="72"/>
        <v>25825169.513301495</v>
      </c>
      <c r="AI30" s="30">
        <f t="shared" si="73"/>
        <v>24595399.536477618</v>
      </c>
      <c r="AJ30" s="30">
        <f t="shared" si="74"/>
        <v>23365629.559653733</v>
      </c>
      <c r="AK30" s="30">
        <f t="shared" si="75"/>
        <v>22135859.582829855</v>
      </c>
      <c r="AL30" s="97">
        <f t="shared" si="22"/>
        <v>26254988.195266519</v>
      </c>
      <c r="AM30" s="97">
        <f t="shared" si="23"/>
        <v>25004750.662158594</v>
      </c>
      <c r="AN30" s="97">
        <f t="shared" si="24"/>
        <v>23754513.129050657</v>
      </c>
      <c r="AO30" s="97">
        <f t="shared" si="25"/>
        <v>22504275.595942732</v>
      </c>
      <c r="AP30" s="97">
        <f t="shared" si="26"/>
        <v>26299772.493233033</v>
      </c>
      <c r="AQ30" s="97">
        <f t="shared" si="27"/>
        <v>25047402.374507654</v>
      </c>
      <c r="AR30" s="97">
        <f t="shared" si="28"/>
        <v>23795032.255782265</v>
      </c>
      <c r="AS30" s="97">
        <f t="shared" si="29"/>
        <v>22542662.137056887</v>
      </c>
      <c r="AT30" s="97">
        <f t="shared" si="76"/>
        <v>26730033.489252046</v>
      </c>
      <c r="AU30" s="97">
        <f t="shared" si="77"/>
        <v>25457174.751668621</v>
      </c>
      <c r="AV30" s="97">
        <f t="shared" si="78"/>
        <v>24184316.014085181</v>
      </c>
      <c r="AW30" s="97">
        <f t="shared" si="79"/>
        <v>22911457.276501756</v>
      </c>
      <c r="AX30" s="97">
        <f t="shared" si="80"/>
        <v>27275627.87484901</v>
      </c>
      <c r="AY30" s="97">
        <f t="shared" si="81"/>
        <v>25976788.452237159</v>
      </c>
      <c r="AZ30" s="97">
        <f t="shared" si="82"/>
        <v>24677949.029625293</v>
      </c>
      <c r="BA30" s="97">
        <f t="shared" si="83"/>
        <v>23379109.607013442</v>
      </c>
      <c r="BB30" s="142">
        <f t="shared" si="31"/>
        <v>27963647.385830835</v>
      </c>
      <c r="BC30" s="142">
        <f t="shared" si="32"/>
        <v>26632045.129362706</v>
      </c>
      <c r="BD30" s="142">
        <f t="shared" si="33"/>
        <v>25300442.872894563</v>
      </c>
      <c r="BE30" s="142">
        <f t="shared" si="34"/>
        <v>23968840.616426434</v>
      </c>
      <c r="BF30" s="154">
        <f t="shared" si="35"/>
        <v>28456938.13454346</v>
      </c>
      <c r="BG30" s="154">
        <f t="shared" si="36"/>
        <v>27101845.842422348</v>
      </c>
      <c r="BH30" s="154">
        <f t="shared" si="37"/>
        <v>25746753.550301224</v>
      </c>
      <c r="BI30" s="154">
        <f t="shared" si="37"/>
        <v>24252168.172149736</v>
      </c>
      <c r="BJ30" s="203">
        <f t="shared" si="38"/>
        <v>28793317.972603042</v>
      </c>
      <c r="BK30" s="203">
        <f t="shared" si="39"/>
        <v>27422207.59295528</v>
      </c>
      <c r="BL30" s="203">
        <f t="shared" si="40"/>
        <v>26051097.213307511</v>
      </c>
      <c r="BM30" s="203">
        <f t="shared" si="41"/>
        <v>24538844.847053092</v>
      </c>
      <c r="BN30" s="207">
        <f t="shared" si="42"/>
        <v>30584800.46977704</v>
      </c>
      <c r="BO30" s="207">
        <f t="shared" si="43"/>
        <v>29128381.399787661</v>
      </c>
      <c r="BP30" s="207">
        <f t="shared" si="44"/>
        <v>27671962.329798274</v>
      </c>
      <c r="BQ30" s="207">
        <f t="shared" si="45"/>
        <v>26065619.603828013</v>
      </c>
      <c r="BR30" s="203">
        <f t="shared" si="46"/>
        <v>32953723.964435302</v>
      </c>
      <c r="BS30" s="203">
        <f t="shared" si="47"/>
        <v>31384499.013747912</v>
      </c>
      <c r="BT30" s="203">
        <f t="shared" si="48"/>
        <v>29815274.063060511</v>
      </c>
      <c r="BU30" s="203">
        <f t="shared" si="49"/>
        <v>28084513.228566553</v>
      </c>
      <c r="BV30" s="154">
        <f t="shared" si="84"/>
        <v>34021801.826308243</v>
      </c>
      <c r="BW30" s="154">
        <f t="shared" si="50"/>
        <v>32401716.025055476</v>
      </c>
      <c r="BX30" s="154">
        <f t="shared" si="51"/>
        <v>30781630.223802697</v>
      </c>
      <c r="BY30" s="154">
        <f t="shared" si="52"/>
        <v>28994772.927084476</v>
      </c>
      <c r="BZ30" s="203">
        <f t="shared" si="85"/>
        <v>34905655.884694256</v>
      </c>
      <c r="CA30" s="203">
        <f t="shared" si="53"/>
        <v>33243481.794946916</v>
      </c>
      <c r="CB30" s="203">
        <f t="shared" si="54"/>
        <v>31581307.705199566</v>
      </c>
      <c r="CC30" s="203">
        <f t="shared" si="55"/>
        <v>29748029.555126075</v>
      </c>
      <c r="CD30" s="154">
        <f t="shared" si="86"/>
        <v>35846347.29901801</v>
      </c>
      <c r="CE30" s="154">
        <f t="shared" si="56"/>
        <v>34139378.380017161</v>
      </c>
      <c r="CF30" s="154">
        <f t="shared" si="57"/>
        <v>32432409.461016297</v>
      </c>
      <c r="CG30" s="154">
        <f t="shared" si="58"/>
        <v>30549725.305751603</v>
      </c>
    </row>
    <row r="31" spans="1:85" ht="15" x14ac:dyDescent="0.4">
      <c r="A31" s="4" t="s">
        <v>28</v>
      </c>
      <c r="B31" s="30">
        <f t="shared" si="59"/>
        <v>3557299.1999999997</v>
      </c>
      <c r="C31" s="30">
        <f t="shared" si="2"/>
        <v>3387904</v>
      </c>
      <c r="D31" s="30">
        <f t="shared" si="3"/>
        <v>3218508.8</v>
      </c>
      <c r="E31" s="30">
        <f t="shared" si="60"/>
        <v>3049113.6000000001</v>
      </c>
      <c r="F31" s="28">
        <f t="shared" si="4"/>
        <v>3603729.8120481931</v>
      </c>
      <c r="G31" s="28">
        <f t="shared" si="5"/>
        <v>3432123.6305220891</v>
      </c>
      <c r="H31" s="28">
        <f t="shared" si="6"/>
        <v>3260517.4489959842</v>
      </c>
      <c r="I31" s="28">
        <f t="shared" si="7"/>
        <v>3088911.2674698802</v>
      </c>
      <c r="J31" s="30">
        <f t="shared" si="8"/>
        <v>3731163.9841927714</v>
      </c>
      <c r="K31" s="30">
        <f t="shared" si="9"/>
        <v>3553489.5087550208</v>
      </c>
      <c r="L31" s="30">
        <f t="shared" si="10"/>
        <v>3375815.0333172693</v>
      </c>
      <c r="M31" s="30">
        <f t="shared" si="11"/>
        <v>3198140.5578795187</v>
      </c>
      <c r="N31" s="28">
        <f t="shared" si="61"/>
        <v>3867544.9781204825</v>
      </c>
      <c r="O31" s="28">
        <f t="shared" si="62"/>
        <v>3683376.169638555</v>
      </c>
      <c r="P31" s="28">
        <f t="shared" si="12"/>
        <v>3499207.3611566271</v>
      </c>
      <c r="Q31" s="28">
        <f t="shared" si="13"/>
        <v>3315038.5526746996</v>
      </c>
      <c r="R31" s="30">
        <f t="shared" si="63"/>
        <v>3867544.9781204825</v>
      </c>
      <c r="S31" s="30">
        <f t="shared" si="14"/>
        <v>3683376.169638555</v>
      </c>
      <c r="T31" s="30">
        <f t="shared" si="15"/>
        <v>3499207.3611566271</v>
      </c>
      <c r="U31" s="30">
        <f t="shared" si="64"/>
        <v>3315038.5526746996</v>
      </c>
      <c r="V31" s="97">
        <f t="shared" si="65"/>
        <v>3912879.8609921909</v>
      </c>
      <c r="W31" s="97">
        <f t="shared" si="16"/>
        <v>3726552.2485639914</v>
      </c>
      <c r="X31" s="97">
        <f t="shared" si="17"/>
        <v>3540224.6361357919</v>
      </c>
      <c r="Y31" s="97">
        <f t="shared" si="18"/>
        <v>3353897.0237075924</v>
      </c>
      <c r="Z31" s="97">
        <f t="shared" si="66"/>
        <v>4050816.6987746973</v>
      </c>
      <c r="AA31" s="97">
        <f t="shared" si="19"/>
        <v>3857920.6654997119</v>
      </c>
      <c r="AB31" s="97">
        <f t="shared" si="20"/>
        <v>3665024.632224726</v>
      </c>
      <c r="AC31" s="97">
        <f t="shared" si="67"/>
        <v>3472128.5989497406</v>
      </c>
      <c r="AD31" s="30">
        <f t="shared" si="68"/>
        <v>4138409.2743626549</v>
      </c>
      <c r="AE31" s="30">
        <f t="shared" si="69"/>
        <v>3941342.1660596714</v>
      </c>
      <c r="AF31" s="30">
        <f t="shared" si="70"/>
        <v>3744275.0577566875</v>
      </c>
      <c r="AG31" s="30">
        <f t="shared" si="71"/>
        <v>3547207.9494537041</v>
      </c>
      <c r="AH31" s="30">
        <f t="shared" si="72"/>
        <v>4178287.5119005544</v>
      </c>
      <c r="AI31" s="30">
        <f t="shared" si="73"/>
        <v>3979321.43990529</v>
      </c>
      <c r="AJ31" s="30">
        <f t="shared" si="74"/>
        <v>3780355.3679100252</v>
      </c>
      <c r="AK31" s="30">
        <f t="shared" si="75"/>
        <v>3581389.2959147608</v>
      </c>
      <c r="AL31" s="97">
        <f t="shared" si="22"/>
        <v>4247828.431285847</v>
      </c>
      <c r="AM31" s="97">
        <f t="shared" si="23"/>
        <v>4045550.8869389016</v>
      </c>
      <c r="AN31" s="97">
        <f t="shared" si="24"/>
        <v>3843273.3425919563</v>
      </c>
      <c r="AO31" s="97">
        <f t="shared" si="25"/>
        <v>3640995.7982450114</v>
      </c>
      <c r="AP31" s="97">
        <f t="shared" si="26"/>
        <v>4255074.1406635279</v>
      </c>
      <c r="AQ31" s="97">
        <f t="shared" si="27"/>
        <v>4052451.5625366927</v>
      </c>
      <c r="AR31" s="97">
        <f t="shared" si="28"/>
        <v>3849828.9844098575</v>
      </c>
      <c r="AS31" s="97">
        <f t="shared" si="29"/>
        <v>3647206.4062830233</v>
      </c>
      <c r="AT31" s="97">
        <f t="shared" si="76"/>
        <v>4324686.6226105755</v>
      </c>
      <c r="AU31" s="97">
        <f t="shared" si="77"/>
        <v>4118749.1643910236</v>
      </c>
      <c r="AV31" s="97">
        <f t="shared" si="78"/>
        <v>3912811.7061714716</v>
      </c>
      <c r="AW31" s="97">
        <f t="shared" si="79"/>
        <v>3706874.2479519211</v>
      </c>
      <c r="AX31" s="97">
        <f t="shared" si="80"/>
        <v>4412959.0425352035</v>
      </c>
      <c r="AY31" s="97">
        <f t="shared" si="81"/>
        <v>4202818.1357478127</v>
      </c>
      <c r="AZ31" s="97">
        <f t="shared" si="82"/>
        <v>3992677.2289604209</v>
      </c>
      <c r="BA31" s="97">
        <f t="shared" si="83"/>
        <v>3782536.322173031</v>
      </c>
      <c r="BB31" s="142">
        <f t="shared" si="31"/>
        <v>4524274.6073448984</v>
      </c>
      <c r="BC31" s="142">
        <f t="shared" si="32"/>
        <v>4308832.9593760939</v>
      </c>
      <c r="BD31" s="142">
        <f t="shared" si="33"/>
        <v>4093391.3114072881</v>
      </c>
      <c r="BE31" s="142">
        <f t="shared" si="34"/>
        <v>3877949.6634384841</v>
      </c>
      <c r="BF31" s="154">
        <f t="shared" si="35"/>
        <v>4604084.754342014</v>
      </c>
      <c r="BG31" s="154">
        <f t="shared" si="36"/>
        <v>4384842.6231828714</v>
      </c>
      <c r="BH31" s="154">
        <f t="shared" si="37"/>
        <v>4165600.4920237265</v>
      </c>
      <c r="BI31" s="154">
        <f t="shared" si="37"/>
        <v>3923789.5944114923</v>
      </c>
      <c r="BJ31" s="203">
        <f t="shared" si="38"/>
        <v>4658508.0825565904</v>
      </c>
      <c r="BK31" s="203">
        <f t="shared" si="39"/>
        <v>4436674.3643396106</v>
      </c>
      <c r="BL31" s="203">
        <f t="shared" si="40"/>
        <v>4214840.6461226288</v>
      </c>
      <c r="BM31" s="203">
        <f t="shared" si="41"/>
        <v>3970171.3836998423</v>
      </c>
      <c r="BN31" s="207">
        <f t="shared" si="42"/>
        <v>4948354.3483042419</v>
      </c>
      <c r="BO31" s="207">
        <f t="shared" si="43"/>
        <v>4712718.4269564217</v>
      </c>
      <c r="BP31" s="207">
        <f t="shared" si="44"/>
        <v>4477082.5056085996</v>
      </c>
      <c r="BQ31" s="207">
        <f t="shared" si="45"/>
        <v>4217190.2424311256</v>
      </c>
      <c r="BR31" s="203">
        <f t="shared" si="46"/>
        <v>5331625.5384228723</v>
      </c>
      <c r="BS31" s="203">
        <f t="shared" si="47"/>
        <v>5077738.6080217846</v>
      </c>
      <c r="BT31" s="203">
        <f t="shared" si="48"/>
        <v>4823851.677620694</v>
      </c>
      <c r="BU31" s="203">
        <f t="shared" si="49"/>
        <v>4543829.6480604243</v>
      </c>
      <c r="BV31" s="154">
        <f t="shared" si="84"/>
        <v>5504431.2344204374</v>
      </c>
      <c r="BW31" s="154">
        <f t="shared" si="50"/>
        <v>5242315.4613527991</v>
      </c>
      <c r="BX31" s="154">
        <f t="shared" si="51"/>
        <v>4980199.688285158</v>
      </c>
      <c r="BY31" s="154">
        <f t="shared" si="52"/>
        <v>4691101.7396896724</v>
      </c>
      <c r="BZ31" s="203">
        <f t="shared" si="85"/>
        <v>5647431.1234471016</v>
      </c>
      <c r="CA31" s="203">
        <f t="shared" si="53"/>
        <v>5378505.8318543835</v>
      </c>
      <c r="CB31" s="203">
        <f t="shared" si="54"/>
        <v>5109580.5402616635</v>
      </c>
      <c r="CC31" s="203">
        <f t="shared" si="55"/>
        <v>4812972.1018796079</v>
      </c>
      <c r="CD31" s="154">
        <f t="shared" si="86"/>
        <v>5799626.8016592655</v>
      </c>
      <c r="CE31" s="154">
        <f t="shared" si="56"/>
        <v>5523454.0968183493</v>
      </c>
      <c r="CF31" s="154">
        <f t="shared" si="57"/>
        <v>5247281.3919774303</v>
      </c>
      <c r="CG31" s="154">
        <f t="shared" si="58"/>
        <v>4942679.4922398953</v>
      </c>
    </row>
    <row r="32" spans="1:85" ht="15" x14ac:dyDescent="0.4">
      <c r="A32" s="4" t="s">
        <v>29</v>
      </c>
      <c r="B32" s="30">
        <f t="shared" si="59"/>
        <v>7227547.0049999999</v>
      </c>
      <c r="C32" s="30">
        <f t="shared" si="2"/>
        <v>6883378.1000000006</v>
      </c>
      <c r="D32" s="30">
        <f t="shared" si="3"/>
        <v>6539209.1950000003</v>
      </c>
      <c r="E32" s="30">
        <f t="shared" si="60"/>
        <v>6195040.29</v>
      </c>
      <c r="F32" s="28">
        <f t="shared" si="4"/>
        <v>7321882.4578765072</v>
      </c>
      <c r="G32" s="28">
        <f t="shared" si="5"/>
        <v>6973221.388453817</v>
      </c>
      <c r="H32" s="28">
        <f t="shared" si="6"/>
        <v>6624560.3190311259</v>
      </c>
      <c r="I32" s="28">
        <f t="shared" si="7"/>
        <v>6275899.2496084347</v>
      </c>
      <c r="J32" s="30">
        <f t="shared" si="8"/>
        <v>7580796.9931560252</v>
      </c>
      <c r="K32" s="30">
        <f t="shared" si="9"/>
        <v>7219806.6601485955</v>
      </c>
      <c r="L32" s="30">
        <f t="shared" si="10"/>
        <v>6858816.3271411657</v>
      </c>
      <c r="M32" s="30">
        <f t="shared" si="11"/>
        <v>6497825.994133736</v>
      </c>
      <c r="N32" s="28">
        <f t="shared" si="61"/>
        <v>7857889.2445475161</v>
      </c>
      <c r="O32" s="28">
        <f t="shared" si="62"/>
        <v>7483704.0424262062</v>
      </c>
      <c r="P32" s="28">
        <f t="shared" si="12"/>
        <v>7109518.8403048962</v>
      </c>
      <c r="Q32" s="28">
        <f t="shared" si="13"/>
        <v>6735333.6381835854</v>
      </c>
      <c r="R32" s="30">
        <f t="shared" si="63"/>
        <v>7857889.2445475161</v>
      </c>
      <c r="S32" s="30">
        <f t="shared" si="14"/>
        <v>7483704.0424262062</v>
      </c>
      <c r="T32" s="30">
        <f t="shared" si="15"/>
        <v>7109518.8403048962</v>
      </c>
      <c r="U32" s="30">
        <f t="shared" si="64"/>
        <v>6735333.6381835854</v>
      </c>
      <c r="V32" s="97">
        <f t="shared" si="65"/>
        <v>7949998.4483281374</v>
      </c>
      <c r="W32" s="97">
        <f t="shared" si="16"/>
        <v>7571427.0936458455</v>
      </c>
      <c r="X32" s="97">
        <f t="shared" si="17"/>
        <v>7192855.7389635537</v>
      </c>
      <c r="Y32" s="97">
        <f t="shared" si="18"/>
        <v>6814284.3842812609</v>
      </c>
      <c r="Z32" s="97">
        <f t="shared" si="66"/>
        <v>8230251.7873765156</v>
      </c>
      <c r="AA32" s="97">
        <f t="shared" si="19"/>
        <v>7838335.0355966818</v>
      </c>
      <c r="AB32" s="97">
        <f t="shared" si="20"/>
        <v>7446418.283816848</v>
      </c>
      <c r="AC32" s="97">
        <f t="shared" si="67"/>
        <v>7054501.5320370132</v>
      </c>
      <c r="AD32" s="30">
        <f t="shared" si="68"/>
        <v>8408218.1100718286</v>
      </c>
      <c r="AE32" s="30">
        <f t="shared" si="69"/>
        <v>8007826.7714969795</v>
      </c>
      <c r="AF32" s="30">
        <f t="shared" si="70"/>
        <v>7607435.4329221314</v>
      </c>
      <c r="AG32" s="30">
        <f t="shared" si="71"/>
        <v>7207044.0943472814</v>
      </c>
      <c r="AH32" s="30">
        <f t="shared" si="72"/>
        <v>8489240.768014608</v>
      </c>
      <c r="AI32" s="30">
        <f t="shared" si="73"/>
        <v>8084991.2076329598</v>
      </c>
      <c r="AJ32" s="30">
        <f t="shared" si="74"/>
        <v>7680741.6472513126</v>
      </c>
      <c r="AK32" s="30">
        <f t="shared" si="75"/>
        <v>7276492.0868696636</v>
      </c>
      <c r="AL32" s="97">
        <f t="shared" si="22"/>
        <v>8630530.6161185056</v>
      </c>
      <c r="AM32" s="97">
        <f t="shared" si="23"/>
        <v>8219552.9677319098</v>
      </c>
      <c r="AN32" s="97">
        <f t="shared" si="24"/>
        <v>7808575.319345315</v>
      </c>
      <c r="AO32" s="97">
        <f t="shared" si="25"/>
        <v>7397597.6709587183</v>
      </c>
      <c r="AP32" s="97">
        <f t="shared" si="26"/>
        <v>8645252.0950179342</v>
      </c>
      <c r="AQ32" s="97">
        <f t="shared" si="27"/>
        <v>8233573.4238266042</v>
      </c>
      <c r="AR32" s="97">
        <f t="shared" si="28"/>
        <v>7821894.7526352741</v>
      </c>
      <c r="AS32" s="97">
        <f t="shared" si="29"/>
        <v>7410216.0814439431</v>
      </c>
      <c r="AT32" s="97">
        <f t="shared" si="76"/>
        <v>8786687.3404442947</v>
      </c>
      <c r="AU32" s="97">
        <f t="shared" si="77"/>
        <v>8368273.6575659961</v>
      </c>
      <c r="AV32" s="97">
        <f t="shared" si="78"/>
        <v>7949859.9746876964</v>
      </c>
      <c r="AW32" s="97">
        <f t="shared" si="79"/>
        <v>7531446.291809395</v>
      </c>
      <c r="AX32" s="97">
        <f t="shared" si="80"/>
        <v>8966034.9377030097</v>
      </c>
      <c r="AY32" s="97">
        <f t="shared" si="81"/>
        <v>8539080.8930504862</v>
      </c>
      <c r="AZ32" s="97">
        <f t="shared" si="82"/>
        <v>8112126.8483979627</v>
      </c>
      <c r="BA32" s="97">
        <f t="shared" si="83"/>
        <v>7685172.8037454365</v>
      </c>
      <c r="BB32" s="142">
        <f t="shared" si="31"/>
        <v>9192200.4727949686</v>
      </c>
      <c r="BC32" s="142">
        <f t="shared" si="32"/>
        <v>8754476.6407571137</v>
      </c>
      <c r="BD32" s="142">
        <f t="shared" si="33"/>
        <v>8316752.8087192588</v>
      </c>
      <c r="BE32" s="142">
        <f t="shared" si="34"/>
        <v>7879028.976681401</v>
      </c>
      <c r="BF32" s="154">
        <f t="shared" si="35"/>
        <v>9354354.8366723768</v>
      </c>
      <c r="BG32" s="154">
        <f t="shared" si="36"/>
        <v>8908909.3682594076</v>
      </c>
      <c r="BH32" s="154">
        <f t="shared" si="37"/>
        <v>8463463.8998464383</v>
      </c>
      <c r="BI32" s="154">
        <f t="shared" si="37"/>
        <v>7972164.3125601979</v>
      </c>
      <c r="BJ32" s="203">
        <f t="shared" si="38"/>
        <v>9464929.5004058611</v>
      </c>
      <c r="BK32" s="203">
        <f t="shared" si="39"/>
        <v>9014218.571815107</v>
      </c>
      <c r="BL32" s="203">
        <f t="shared" si="40"/>
        <v>8563507.643224353</v>
      </c>
      <c r="BM32" s="203">
        <f t="shared" si="41"/>
        <v>8066400.5697346171</v>
      </c>
      <c r="BN32" s="207">
        <f t="shared" si="42"/>
        <v>10053825.005713617</v>
      </c>
      <c r="BO32" s="207">
        <f t="shared" si="43"/>
        <v>9575071.43401297</v>
      </c>
      <c r="BP32" s="207">
        <f t="shared" si="44"/>
        <v>9096317.8623123225</v>
      </c>
      <c r="BQ32" s="207">
        <f t="shared" si="45"/>
        <v>8568281.4384008795</v>
      </c>
      <c r="BR32" s="203">
        <f t="shared" si="46"/>
        <v>10832536.71549746</v>
      </c>
      <c r="BS32" s="203">
        <f t="shared" si="47"/>
        <v>10316701.633807106</v>
      </c>
      <c r="BT32" s="203">
        <f t="shared" si="48"/>
        <v>9800866.5521167517</v>
      </c>
      <c r="BU32" s="203">
        <f t="shared" si="49"/>
        <v>9231931.4507110659</v>
      </c>
      <c r="BV32" s="154">
        <f t="shared" si="84"/>
        <v>11183634.899916174</v>
      </c>
      <c r="BW32" s="154">
        <f t="shared" si="50"/>
        <v>10651080.857063023</v>
      </c>
      <c r="BX32" s="154">
        <f t="shared" si="51"/>
        <v>10118526.814209873</v>
      </c>
      <c r="BY32" s="154">
        <f t="shared" si="52"/>
        <v>9531151.703192234</v>
      </c>
      <c r="BZ32" s="203">
        <f t="shared" si="85"/>
        <v>11474175.099528845</v>
      </c>
      <c r="CA32" s="203">
        <f t="shared" si="53"/>
        <v>10927785.809075091</v>
      </c>
      <c r="CB32" s="203">
        <f t="shared" si="54"/>
        <v>10381396.518621337</v>
      </c>
      <c r="CC32" s="203">
        <f t="shared" si="55"/>
        <v>9778761.9607843235</v>
      </c>
      <c r="CD32" s="154">
        <f t="shared" si="86"/>
        <v>11783398.855078075</v>
      </c>
      <c r="CE32" s="154">
        <f t="shared" si="56"/>
        <v>11222284.623883881</v>
      </c>
      <c r="CF32" s="154">
        <f t="shared" si="57"/>
        <v>10661170.392689686</v>
      </c>
      <c r="CG32" s="154">
        <f t="shared" si="58"/>
        <v>10042295.109956836</v>
      </c>
    </row>
    <row r="33" spans="1:85" ht="15" x14ac:dyDescent="0.4">
      <c r="A33" s="4" t="s">
        <v>30</v>
      </c>
      <c r="B33" s="30">
        <f t="shared" si="59"/>
        <v>6409874.5199999996</v>
      </c>
      <c r="C33" s="30">
        <f t="shared" si="2"/>
        <v>6104642.4000000004</v>
      </c>
      <c r="D33" s="30">
        <f t="shared" si="3"/>
        <v>5799410.2800000003</v>
      </c>
      <c r="E33" s="30">
        <f t="shared" si="60"/>
        <v>5494178.1600000001</v>
      </c>
      <c r="F33" s="28">
        <f t="shared" si="4"/>
        <v>6493537.5408433741</v>
      </c>
      <c r="G33" s="28">
        <f t="shared" si="5"/>
        <v>6184321.4674698813</v>
      </c>
      <c r="H33" s="28">
        <f t="shared" si="6"/>
        <v>5875105.3940963866</v>
      </c>
      <c r="I33" s="28">
        <f t="shared" si="7"/>
        <v>5565889.3207228929</v>
      </c>
      <c r="J33" s="30">
        <f t="shared" si="8"/>
        <v>6723160.3549734941</v>
      </c>
      <c r="K33" s="30">
        <f t="shared" si="9"/>
        <v>6403009.8618795192</v>
      </c>
      <c r="L33" s="30">
        <f t="shared" si="10"/>
        <v>6082859.3687855434</v>
      </c>
      <c r="M33" s="30">
        <f t="shared" si="11"/>
        <v>5762708.8756915675</v>
      </c>
      <c r="N33" s="28">
        <f t="shared" si="61"/>
        <v>6968904.3896584343</v>
      </c>
      <c r="O33" s="28">
        <f t="shared" si="62"/>
        <v>6637051.7996747</v>
      </c>
      <c r="P33" s="28">
        <f t="shared" si="12"/>
        <v>6305199.2096909657</v>
      </c>
      <c r="Q33" s="28">
        <f t="shared" si="13"/>
        <v>5973346.6197072305</v>
      </c>
      <c r="R33" s="30">
        <f t="shared" si="63"/>
        <v>6968904.3896584343</v>
      </c>
      <c r="S33" s="30">
        <f t="shared" si="14"/>
        <v>6637051.7996747</v>
      </c>
      <c r="T33" s="30">
        <f t="shared" si="15"/>
        <v>6305199.2096909657</v>
      </c>
      <c r="U33" s="30">
        <f t="shared" si="64"/>
        <v>5973346.6197072305</v>
      </c>
      <c r="V33" s="97">
        <f t="shared" si="65"/>
        <v>7050593.0231550345</v>
      </c>
      <c r="W33" s="97">
        <f t="shared" si="16"/>
        <v>6714850.4982428905</v>
      </c>
      <c r="X33" s="97">
        <f t="shared" si="17"/>
        <v>6379107.9733307464</v>
      </c>
      <c r="Y33" s="97">
        <f t="shared" si="18"/>
        <v>6043365.4484186014</v>
      </c>
      <c r="Z33" s="97">
        <f t="shared" si="66"/>
        <v>7299140.5228625266</v>
      </c>
      <c r="AA33" s="97">
        <f t="shared" si="19"/>
        <v>6951562.4027262162</v>
      </c>
      <c r="AB33" s="97">
        <f t="shared" si="20"/>
        <v>6603984.2825899059</v>
      </c>
      <c r="AC33" s="97">
        <f t="shared" si="67"/>
        <v>6256406.1624535946</v>
      </c>
      <c r="AD33" s="30">
        <f t="shared" si="68"/>
        <v>7456973.0207312535</v>
      </c>
      <c r="AE33" s="30">
        <f t="shared" si="69"/>
        <v>7101879.0673630983</v>
      </c>
      <c r="AF33" s="30">
        <f t="shared" si="70"/>
        <v>6746785.1139949439</v>
      </c>
      <c r="AG33" s="30">
        <f t="shared" si="71"/>
        <v>6391691.1606267886</v>
      </c>
      <c r="AH33" s="30">
        <f t="shared" si="72"/>
        <v>7528829.3601408508</v>
      </c>
      <c r="AI33" s="30">
        <f t="shared" si="73"/>
        <v>7170313.676324619</v>
      </c>
      <c r="AJ33" s="30">
        <f t="shared" si="74"/>
        <v>6811797.9925083891</v>
      </c>
      <c r="AK33" s="30">
        <f t="shared" si="75"/>
        <v>6453282.3086921573</v>
      </c>
      <c r="AL33" s="97">
        <f t="shared" si="22"/>
        <v>7654134.6949479878</v>
      </c>
      <c r="AM33" s="97">
        <f t="shared" si="23"/>
        <v>7289652.0904266536</v>
      </c>
      <c r="AN33" s="97">
        <f t="shared" si="24"/>
        <v>6925169.4859053222</v>
      </c>
      <c r="AO33" s="97">
        <f t="shared" si="25"/>
        <v>6560686.881383989</v>
      </c>
      <c r="AP33" s="97">
        <f t="shared" si="26"/>
        <v>7667190.6920143347</v>
      </c>
      <c r="AQ33" s="97">
        <f t="shared" si="27"/>
        <v>7302086.3733469844</v>
      </c>
      <c r="AR33" s="97">
        <f t="shared" si="28"/>
        <v>6936982.0546796368</v>
      </c>
      <c r="AS33" s="97">
        <f t="shared" si="29"/>
        <v>6571877.7360122865</v>
      </c>
      <c r="AT33" s="97">
        <f t="shared" si="76"/>
        <v>7792624.9749406455</v>
      </c>
      <c r="AU33" s="97">
        <f t="shared" si="77"/>
        <v>7421547.5951815657</v>
      </c>
      <c r="AV33" s="97">
        <f t="shared" si="78"/>
        <v>7050470.2154224897</v>
      </c>
      <c r="AW33" s="97">
        <f t="shared" si="79"/>
        <v>6679392.8356634099</v>
      </c>
      <c r="AX33" s="97">
        <f t="shared" si="80"/>
        <v>7951682.4799415227</v>
      </c>
      <c r="AY33" s="97">
        <f t="shared" si="81"/>
        <v>7573030.9332776386</v>
      </c>
      <c r="AZ33" s="97">
        <f t="shared" si="82"/>
        <v>7194379.3866137592</v>
      </c>
      <c r="BA33" s="97">
        <f t="shared" si="83"/>
        <v>6815727.8399498761</v>
      </c>
      <c r="BB33" s="142">
        <f t="shared" si="31"/>
        <v>8152261.2793163611</v>
      </c>
      <c r="BC33" s="142">
        <f t="shared" si="32"/>
        <v>7764058.3612536751</v>
      </c>
      <c r="BD33" s="142">
        <f t="shared" si="33"/>
        <v>7375855.4431909937</v>
      </c>
      <c r="BE33" s="142">
        <f t="shared" si="34"/>
        <v>6987652.5251283087</v>
      </c>
      <c r="BF33" s="154">
        <f t="shared" si="35"/>
        <v>8296070.6692249374</v>
      </c>
      <c r="BG33" s="154">
        <f t="shared" si="36"/>
        <v>7901019.6849761289</v>
      </c>
      <c r="BH33" s="154">
        <f t="shared" si="37"/>
        <v>7505968.7007273249</v>
      </c>
      <c r="BI33" s="154">
        <f t="shared" si="37"/>
        <v>7070251.2015462061</v>
      </c>
      <c r="BJ33" s="203">
        <f t="shared" si="38"/>
        <v>8394135.7138566095</v>
      </c>
      <c r="BK33" s="203">
        <f t="shared" si="39"/>
        <v>7994414.9655777207</v>
      </c>
      <c r="BL33" s="203">
        <f t="shared" si="40"/>
        <v>7594694.2172988374</v>
      </c>
      <c r="BM33" s="203">
        <f t="shared" si="41"/>
        <v>7153826.2489730306</v>
      </c>
      <c r="BN33" s="207">
        <f t="shared" si="42"/>
        <v>8916407.8335402794</v>
      </c>
      <c r="BO33" s="207">
        <f t="shared" si="43"/>
        <v>8491816.9843240716</v>
      </c>
      <c r="BP33" s="207">
        <f t="shared" si="44"/>
        <v>8067226.1351078721</v>
      </c>
      <c r="BQ33" s="207">
        <f t="shared" si="45"/>
        <v>7598927.9397560637</v>
      </c>
      <c r="BR33" s="203">
        <f t="shared" si="46"/>
        <v>9607021.7228053398</v>
      </c>
      <c r="BS33" s="203">
        <f t="shared" si="47"/>
        <v>9149544.4979098421</v>
      </c>
      <c r="BT33" s="203">
        <f t="shared" si="48"/>
        <v>8692067.2730143555</v>
      </c>
      <c r="BU33" s="203">
        <f t="shared" si="49"/>
        <v>8187497.3812501011</v>
      </c>
      <c r="BV33" s="154">
        <f t="shared" si="84"/>
        <v>9918399.1935802624</v>
      </c>
      <c r="BW33" s="154">
        <f t="shared" si="50"/>
        <v>9446094.4700764362</v>
      </c>
      <c r="BX33" s="154">
        <f t="shared" si="51"/>
        <v>8973789.7465726193</v>
      </c>
      <c r="BY33" s="154">
        <f t="shared" si="52"/>
        <v>8452866.0147463847</v>
      </c>
      <c r="BZ33" s="203">
        <f t="shared" si="85"/>
        <v>10176069.772719301</v>
      </c>
      <c r="CA33" s="203">
        <f t="shared" si="53"/>
        <v>9691495.0216374248</v>
      </c>
      <c r="CB33" s="203">
        <f t="shared" si="54"/>
        <v>9206920.2705555595</v>
      </c>
      <c r="CC33" s="203">
        <f t="shared" si="55"/>
        <v>8672463.4355493467</v>
      </c>
      <c r="CD33" s="154">
        <f t="shared" si="86"/>
        <v>10450310.185172172</v>
      </c>
      <c r="CE33" s="154">
        <f t="shared" si="56"/>
        <v>9952676.3668306358</v>
      </c>
      <c r="CF33" s="154">
        <f t="shared" si="57"/>
        <v>9455042.5484891087</v>
      </c>
      <c r="CG33" s="154">
        <f t="shared" si="58"/>
        <v>8906182.3469431642</v>
      </c>
    </row>
    <row r="34" spans="1:85" ht="15" x14ac:dyDescent="0.4">
      <c r="A34" s="4" t="s">
        <v>31</v>
      </c>
      <c r="B34" s="30">
        <f t="shared" si="59"/>
        <v>4593497.6849999996</v>
      </c>
      <c r="C34" s="30">
        <f t="shared" si="2"/>
        <v>4374759.7</v>
      </c>
      <c r="D34" s="30">
        <f t="shared" si="3"/>
        <v>4156021.7149999999</v>
      </c>
      <c r="E34" s="30">
        <f t="shared" si="60"/>
        <v>3937283.73</v>
      </c>
      <c r="F34" s="28">
        <f t="shared" si="4"/>
        <v>4653452.9760692772</v>
      </c>
      <c r="G34" s="28">
        <f t="shared" si="5"/>
        <v>4431859.977208836</v>
      </c>
      <c r="H34" s="28">
        <f t="shared" si="6"/>
        <v>4210266.9783483939</v>
      </c>
      <c r="I34" s="28">
        <f t="shared" si="7"/>
        <v>3988673.9794879523</v>
      </c>
      <c r="J34" s="30">
        <f t="shared" si="8"/>
        <v>4818007.1903271079</v>
      </c>
      <c r="K34" s="30">
        <f t="shared" si="9"/>
        <v>4588578.2765020085</v>
      </c>
      <c r="L34" s="30">
        <f t="shared" si="10"/>
        <v>4359149.3626769073</v>
      </c>
      <c r="M34" s="30">
        <f t="shared" si="11"/>
        <v>4129720.4488518075</v>
      </c>
      <c r="N34" s="28">
        <f t="shared" si="61"/>
        <v>4994114.3279794427</v>
      </c>
      <c r="O34" s="28">
        <f t="shared" si="62"/>
        <v>4756299.3599804221</v>
      </c>
      <c r="P34" s="28">
        <f t="shared" si="12"/>
        <v>4518484.3919814005</v>
      </c>
      <c r="Q34" s="28">
        <f t="shared" si="13"/>
        <v>4280669.42398238</v>
      </c>
      <c r="R34" s="30">
        <f t="shared" si="63"/>
        <v>4994114.3279794427</v>
      </c>
      <c r="S34" s="30">
        <f t="shared" si="14"/>
        <v>4756299.3599804221</v>
      </c>
      <c r="T34" s="30">
        <f t="shared" si="15"/>
        <v>4518484.3919814005</v>
      </c>
      <c r="U34" s="30">
        <f t="shared" si="64"/>
        <v>4280669.42398238</v>
      </c>
      <c r="V34" s="97">
        <f t="shared" si="65"/>
        <v>5052654.7171378629</v>
      </c>
      <c r="W34" s="97">
        <f t="shared" si="16"/>
        <v>4812052.1115598707</v>
      </c>
      <c r="X34" s="97">
        <f t="shared" si="17"/>
        <v>4571449.5059818765</v>
      </c>
      <c r="Y34" s="97">
        <f t="shared" si="18"/>
        <v>4330846.9004038833</v>
      </c>
      <c r="Z34" s="97">
        <f t="shared" si="66"/>
        <v>5230770.8972528679</v>
      </c>
      <c r="AA34" s="97">
        <f t="shared" si="19"/>
        <v>4981686.5688122567</v>
      </c>
      <c r="AB34" s="97">
        <f t="shared" si="20"/>
        <v>4732602.2403716426</v>
      </c>
      <c r="AC34" s="97">
        <f t="shared" si="67"/>
        <v>4483517.9119310305</v>
      </c>
      <c r="AD34" s="30">
        <f t="shared" si="68"/>
        <v>5343878.1369212298</v>
      </c>
      <c r="AE34" s="30">
        <f t="shared" si="69"/>
        <v>5089407.7494487911</v>
      </c>
      <c r="AF34" s="30">
        <f t="shared" si="70"/>
        <v>4834937.3619763507</v>
      </c>
      <c r="AG34" s="30">
        <f t="shared" si="71"/>
        <v>4580466.974503912</v>
      </c>
      <c r="AH34" s="30">
        <f t="shared" si="72"/>
        <v>5395372.4255692642</v>
      </c>
      <c r="AI34" s="30">
        <f t="shared" si="73"/>
        <v>5138449.9291135855</v>
      </c>
      <c r="AJ34" s="30">
        <f t="shared" si="74"/>
        <v>4881527.4326579049</v>
      </c>
      <c r="AK34" s="30">
        <f t="shared" si="75"/>
        <v>4624604.9362022271</v>
      </c>
      <c r="AL34" s="97">
        <f t="shared" si="22"/>
        <v>5485169.7786311358</v>
      </c>
      <c r="AM34" s="97">
        <f t="shared" si="23"/>
        <v>5223971.2177439388</v>
      </c>
      <c r="AN34" s="97">
        <f t="shared" si="24"/>
        <v>4962772.6568567408</v>
      </c>
      <c r="AO34" s="97">
        <f t="shared" si="25"/>
        <v>4701574.0959695457</v>
      </c>
      <c r="AP34" s="97">
        <f t="shared" si="26"/>
        <v>5494526.0760301733</v>
      </c>
      <c r="AQ34" s="97">
        <f t="shared" si="27"/>
        <v>5232881.9771715933</v>
      </c>
      <c r="AR34" s="97">
        <f t="shared" si="28"/>
        <v>4971237.8783130124</v>
      </c>
      <c r="AS34" s="97">
        <f t="shared" si="29"/>
        <v>4709593.7794544352</v>
      </c>
      <c r="AT34" s="97">
        <f t="shared" si="76"/>
        <v>5584415.8369675903</v>
      </c>
      <c r="AU34" s="97">
        <f t="shared" si="77"/>
        <v>5318491.2733024666</v>
      </c>
      <c r="AV34" s="97">
        <f t="shared" si="78"/>
        <v>5052566.709637342</v>
      </c>
      <c r="AW34" s="97">
        <f t="shared" si="79"/>
        <v>4786642.1459722212</v>
      </c>
      <c r="AX34" s="97">
        <f t="shared" si="80"/>
        <v>5698400.9514536383</v>
      </c>
      <c r="AY34" s="97">
        <f t="shared" si="81"/>
        <v>5427048.5251939408</v>
      </c>
      <c r="AZ34" s="97">
        <f t="shared" si="82"/>
        <v>5155696.0989342425</v>
      </c>
      <c r="BA34" s="97">
        <f t="shared" si="83"/>
        <v>4884343.6726745479</v>
      </c>
      <c r="BB34" s="142">
        <f t="shared" si="31"/>
        <v>5842141.4018655131</v>
      </c>
      <c r="BC34" s="142">
        <f t="shared" si="32"/>
        <v>5563944.1922528697</v>
      </c>
      <c r="BD34" s="142">
        <f t="shared" si="33"/>
        <v>5285746.9826402245</v>
      </c>
      <c r="BE34" s="142">
        <f t="shared" si="34"/>
        <v>5007549.773027584</v>
      </c>
      <c r="BF34" s="154">
        <f t="shared" si="35"/>
        <v>5945199.2850682419</v>
      </c>
      <c r="BG34" s="154">
        <f t="shared" si="36"/>
        <v>5662094.5572078498</v>
      </c>
      <c r="BH34" s="154">
        <f t="shared" si="37"/>
        <v>5378989.8293474559</v>
      </c>
      <c r="BI34" s="154">
        <f t="shared" si="37"/>
        <v>5066742.3247266579</v>
      </c>
      <c r="BJ34" s="203">
        <f t="shared" si="38"/>
        <v>6015475.4744210104</v>
      </c>
      <c r="BK34" s="203">
        <f t="shared" si="39"/>
        <v>5729024.2613533437</v>
      </c>
      <c r="BL34" s="203">
        <f t="shared" si="40"/>
        <v>5442573.0482856752</v>
      </c>
      <c r="BM34" s="203">
        <f t="shared" si="41"/>
        <v>5126634.5715531809</v>
      </c>
      <c r="BN34" s="207">
        <f t="shared" si="42"/>
        <v>6389750.4723513881</v>
      </c>
      <c r="BO34" s="207">
        <f t="shared" si="43"/>
        <v>6085476.6403346555</v>
      </c>
      <c r="BP34" s="207">
        <f t="shared" si="44"/>
        <v>5781202.8083179211</v>
      </c>
      <c r="BQ34" s="207">
        <f t="shared" si="45"/>
        <v>5445607.0537479566</v>
      </c>
      <c r="BR34" s="203">
        <f t="shared" si="46"/>
        <v>6884663.9518071292</v>
      </c>
      <c r="BS34" s="203">
        <f t="shared" si="47"/>
        <v>6556822.8112448854</v>
      </c>
      <c r="BT34" s="203">
        <f t="shared" si="48"/>
        <v>6228981.6706826389</v>
      </c>
      <c r="BU34" s="203">
        <f t="shared" si="49"/>
        <v>5867392.5908171916</v>
      </c>
      <c r="BV34" s="154">
        <f t="shared" si="84"/>
        <v>7107805.8692819448</v>
      </c>
      <c r="BW34" s="154">
        <f t="shared" si="50"/>
        <v>6769338.9231256628</v>
      </c>
      <c r="BX34" s="154">
        <f t="shared" si="51"/>
        <v>6430871.9769693771</v>
      </c>
      <c r="BY34" s="154">
        <f t="shared" si="52"/>
        <v>6057563.2719800407</v>
      </c>
      <c r="BZ34" s="203">
        <f t="shared" si="85"/>
        <v>7292459.9065918336</v>
      </c>
      <c r="CA34" s="203">
        <f t="shared" si="53"/>
        <v>6945199.9110398423</v>
      </c>
      <c r="CB34" s="203">
        <f t="shared" si="54"/>
        <v>6597939.9154878473</v>
      </c>
      <c r="CC34" s="203">
        <f t="shared" si="55"/>
        <v>6214933.0053411201</v>
      </c>
      <c r="CD34" s="154">
        <f t="shared" si="86"/>
        <v>7488988.3559093885</v>
      </c>
      <c r="CE34" s="154">
        <f t="shared" si="56"/>
        <v>7132369.862770847</v>
      </c>
      <c r="CF34" s="154">
        <f t="shared" si="57"/>
        <v>6775751.3696323019</v>
      </c>
      <c r="CG34" s="154">
        <f t="shared" si="58"/>
        <v>6382422.5989483632</v>
      </c>
    </row>
    <row r="35" spans="1:85" ht="15" x14ac:dyDescent="0.4">
      <c r="A35" s="4" t="s">
        <v>32</v>
      </c>
      <c r="B35" s="30">
        <f t="shared" si="59"/>
        <v>34986656.25</v>
      </c>
      <c r="C35" s="30">
        <f t="shared" si="2"/>
        <v>33320625</v>
      </c>
      <c r="D35" s="30">
        <f t="shared" si="3"/>
        <v>31654593.75</v>
      </c>
      <c r="E35" s="30">
        <f t="shared" si="60"/>
        <v>29988562.5</v>
      </c>
      <c r="F35" s="28">
        <f t="shared" si="4"/>
        <v>35443309.393825307</v>
      </c>
      <c r="G35" s="28">
        <f t="shared" si="5"/>
        <v>33755532.7560241</v>
      </c>
      <c r="H35" s="28">
        <f t="shared" si="6"/>
        <v>32067756.118222896</v>
      </c>
      <c r="I35" s="28">
        <f t="shared" si="7"/>
        <v>30379979.480421692</v>
      </c>
      <c r="J35" s="30">
        <f t="shared" si="8"/>
        <v>36696646.637801208</v>
      </c>
      <c r="K35" s="30">
        <f t="shared" si="9"/>
        <v>34949187.274096385</v>
      </c>
      <c r="L35" s="30">
        <f t="shared" si="10"/>
        <v>33201727.910391569</v>
      </c>
      <c r="M35" s="30">
        <f t="shared" si="11"/>
        <v>31454268.54668675</v>
      </c>
      <c r="N35" s="28">
        <f t="shared" si="61"/>
        <v>38037977.429875754</v>
      </c>
      <c r="O35" s="28">
        <f t="shared" si="62"/>
        <v>36226645.171310239</v>
      </c>
      <c r="P35" s="28">
        <f t="shared" si="12"/>
        <v>34415312.912744731</v>
      </c>
      <c r="Q35" s="28">
        <f t="shared" si="13"/>
        <v>32603980.654179223</v>
      </c>
      <c r="R35" s="30">
        <f t="shared" si="63"/>
        <v>38037977.429875754</v>
      </c>
      <c r="S35" s="30">
        <f t="shared" si="14"/>
        <v>36226645.171310239</v>
      </c>
      <c r="T35" s="30">
        <f t="shared" si="15"/>
        <v>34415312.912744731</v>
      </c>
      <c r="U35" s="30">
        <f t="shared" si="64"/>
        <v>32603980.654179223</v>
      </c>
      <c r="V35" s="97">
        <f t="shared" si="65"/>
        <v>38483853.886701897</v>
      </c>
      <c r="W35" s="97">
        <f t="shared" si="16"/>
        <v>36651289.415906563</v>
      </c>
      <c r="X35" s="97">
        <f t="shared" si="17"/>
        <v>34818724.945111245</v>
      </c>
      <c r="Y35" s="97">
        <f t="shared" si="18"/>
        <v>32986160.474315919</v>
      </c>
      <c r="Z35" s="97">
        <f t="shared" si="66"/>
        <v>39840486.673651211</v>
      </c>
      <c r="AA35" s="97">
        <f t="shared" si="19"/>
        <v>37943320.641572572</v>
      </c>
      <c r="AB35" s="97">
        <f t="shared" si="20"/>
        <v>36046154.609493956</v>
      </c>
      <c r="AC35" s="97">
        <f t="shared" si="67"/>
        <v>34148988.577415332</v>
      </c>
      <c r="AD35" s="30">
        <f t="shared" si="68"/>
        <v>40701974.886998013</v>
      </c>
      <c r="AE35" s="30">
        <f t="shared" si="69"/>
        <v>38763785.606664762</v>
      </c>
      <c r="AF35" s="30">
        <f t="shared" si="70"/>
        <v>36825596.326331541</v>
      </c>
      <c r="AG35" s="30">
        <f t="shared" si="71"/>
        <v>34887407.045998305</v>
      </c>
      <c r="AH35" s="30">
        <f t="shared" si="72"/>
        <v>41094184.288049892</v>
      </c>
      <c r="AI35" s="30">
        <f t="shared" si="73"/>
        <v>39137318.369571313</v>
      </c>
      <c r="AJ35" s="30">
        <f t="shared" si="74"/>
        <v>37180452.451092765</v>
      </c>
      <c r="AK35" s="30">
        <f t="shared" si="75"/>
        <v>35223586.532614201</v>
      </c>
      <c r="AL35" s="97">
        <f t="shared" si="22"/>
        <v>41778131.323441848</v>
      </c>
      <c r="AM35" s="97">
        <f t="shared" si="23"/>
        <v>39788696.498516038</v>
      </c>
      <c r="AN35" s="97">
        <f t="shared" si="24"/>
        <v>37799261.67359025</v>
      </c>
      <c r="AO35" s="97">
        <f t="shared" si="25"/>
        <v>35809826.848664455</v>
      </c>
      <c r="AP35" s="97">
        <f t="shared" si="26"/>
        <v>41849394.135207668</v>
      </c>
      <c r="AQ35" s="97">
        <f t="shared" si="27"/>
        <v>39856565.843054913</v>
      </c>
      <c r="AR35" s="97">
        <f t="shared" si="28"/>
        <v>37863737.550902188</v>
      </c>
      <c r="AS35" s="97">
        <f t="shared" si="29"/>
        <v>35870909.258749448</v>
      </c>
      <c r="AT35" s="97">
        <f t="shared" si="76"/>
        <v>42534045.000839286</v>
      </c>
      <c r="AU35" s="97">
        <f t="shared" si="77"/>
        <v>40508614.286513597</v>
      </c>
      <c r="AV35" s="97">
        <f t="shared" si="78"/>
        <v>38483183.572187938</v>
      </c>
      <c r="AW35" s="97">
        <f t="shared" si="79"/>
        <v>36457752.857862264</v>
      </c>
      <c r="AX35" s="97">
        <f t="shared" si="80"/>
        <v>43402219.601462878</v>
      </c>
      <c r="AY35" s="97">
        <f t="shared" si="81"/>
        <v>41335447.239488445</v>
      </c>
      <c r="AZ35" s="97">
        <f t="shared" si="82"/>
        <v>39268674.877514042</v>
      </c>
      <c r="BA35" s="97">
        <f t="shared" si="83"/>
        <v>37201902.515539631</v>
      </c>
      <c r="BB35" s="142">
        <f t="shared" si="31"/>
        <v>44497027.539257765</v>
      </c>
      <c r="BC35" s="142">
        <f t="shared" si="32"/>
        <v>42378121.465959765</v>
      </c>
      <c r="BD35" s="142">
        <f t="shared" si="33"/>
        <v>40259215.392661795</v>
      </c>
      <c r="BE35" s="142">
        <f t="shared" si="34"/>
        <v>38140309.319363818</v>
      </c>
      <c r="BF35" s="154">
        <f t="shared" si="35"/>
        <v>45281974.214041285</v>
      </c>
      <c r="BG35" s="154">
        <f t="shared" si="36"/>
        <v>43125689.727658354</v>
      </c>
      <c r="BH35" s="154">
        <f t="shared" si="37"/>
        <v>40969405.241275452</v>
      </c>
      <c r="BI35" s="154">
        <f t="shared" si="37"/>
        <v>38591153.012094632</v>
      </c>
      <c r="BJ35" s="203">
        <f t="shared" si="38"/>
        <v>45817237.111304551</v>
      </c>
      <c r="BK35" s="203">
        <f t="shared" si="39"/>
        <v>43635463.915528134</v>
      </c>
      <c r="BL35" s="203">
        <f t="shared" si="40"/>
        <v>41453690.719751745</v>
      </c>
      <c r="BM35" s="203">
        <f t="shared" si="41"/>
        <v>39047325.975586548</v>
      </c>
      <c r="BN35" s="207">
        <f t="shared" si="42"/>
        <v>48667925.539497279</v>
      </c>
      <c r="BO35" s="207">
        <f t="shared" si="43"/>
        <v>46350405.275711678</v>
      </c>
      <c r="BP35" s="207">
        <f t="shared" si="44"/>
        <v>44032885.011926115</v>
      </c>
      <c r="BQ35" s="207">
        <f t="shared" si="45"/>
        <v>41476799.408043034</v>
      </c>
      <c r="BR35" s="203">
        <f t="shared" si="46"/>
        <v>52437464.34556929</v>
      </c>
      <c r="BS35" s="203">
        <f t="shared" si="47"/>
        <v>49940442.233875498</v>
      </c>
      <c r="BT35" s="203">
        <f t="shared" si="48"/>
        <v>47443420.122181743</v>
      </c>
      <c r="BU35" s="203">
        <f t="shared" si="49"/>
        <v>44689354.765336737</v>
      </c>
      <c r="BV35" s="154">
        <f t="shared" si="84"/>
        <v>54137038.416794114</v>
      </c>
      <c r="BW35" s="154">
        <f t="shared" si="50"/>
        <v>51559084.206470571</v>
      </c>
      <c r="BX35" s="154">
        <f t="shared" si="51"/>
        <v>48981129.996147059</v>
      </c>
      <c r="BY35" s="154">
        <f t="shared" si="52"/>
        <v>46137801.397279032</v>
      </c>
      <c r="BZ35" s="203">
        <f t="shared" si="85"/>
        <v>55543467.193199545</v>
      </c>
      <c r="CA35" s="203">
        <f t="shared" si="53"/>
        <v>52898540.183999553</v>
      </c>
      <c r="CB35" s="203">
        <f t="shared" si="54"/>
        <v>50253613.174799591</v>
      </c>
      <c r="CC35" s="203">
        <f t="shared" si="55"/>
        <v>47336417.60279873</v>
      </c>
      <c r="CD35" s="154">
        <f t="shared" si="86"/>
        <v>57040338.155401595</v>
      </c>
      <c r="CE35" s="154">
        <f t="shared" si="56"/>
        <v>54324131.576572932</v>
      </c>
      <c r="CF35" s="154">
        <f t="shared" si="57"/>
        <v>51607924.997744307</v>
      </c>
      <c r="CG35" s="154">
        <f t="shared" si="58"/>
        <v>48612112.343241125</v>
      </c>
    </row>
    <row r="36" spans="1:85" ht="15" x14ac:dyDescent="0.4">
      <c r="A36" s="4" t="s">
        <v>33</v>
      </c>
      <c r="B36" s="30">
        <f t="shared" si="59"/>
        <v>8821631.8049999997</v>
      </c>
      <c r="C36" s="30">
        <f t="shared" si="2"/>
        <v>8401554.0999999996</v>
      </c>
      <c r="D36" s="30">
        <f t="shared" si="3"/>
        <v>7981476.3950000005</v>
      </c>
      <c r="E36" s="30">
        <f t="shared" si="60"/>
        <v>7561398.6899999995</v>
      </c>
      <c r="F36" s="28">
        <f t="shared" si="4"/>
        <v>8936773.5855873507</v>
      </c>
      <c r="G36" s="28">
        <f t="shared" si="5"/>
        <v>8511212.9386546202</v>
      </c>
      <c r="H36" s="28">
        <f t="shared" si="6"/>
        <v>8085652.2917218897</v>
      </c>
      <c r="I36" s="28">
        <f t="shared" si="7"/>
        <v>7660091.6447891574</v>
      </c>
      <c r="J36" s="30">
        <f t="shared" si="8"/>
        <v>9252793.4879993983</v>
      </c>
      <c r="K36" s="30">
        <f t="shared" si="9"/>
        <v>8812184.2742851414</v>
      </c>
      <c r="L36" s="30">
        <f t="shared" si="10"/>
        <v>8371575.0605708854</v>
      </c>
      <c r="M36" s="30">
        <f t="shared" si="11"/>
        <v>7930965.8468566267</v>
      </c>
      <c r="N36" s="28">
        <f t="shared" si="61"/>
        <v>9591000.3258246239</v>
      </c>
      <c r="O36" s="28">
        <f t="shared" si="62"/>
        <v>9134286.0245948806</v>
      </c>
      <c r="P36" s="28">
        <f t="shared" si="12"/>
        <v>8677571.7233651374</v>
      </c>
      <c r="Q36" s="28">
        <f t="shared" si="13"/>
        <v>8220857.4221353922</v>
      </c>
      <c r="R36" s="30">
        <f t="shared" si="63"/>
        <v>9591000.3258246239</v>
      </c>
      <c r="S36" s="30">
        <f t="shared" si="14"/>
        <v>9134286.0245948806</v>
      </c>
      <c r="T36" s="30">
        <f t="shared" si="15"/>
        <v>8677571.7233651374</v>
      </c>
      <c r="U36" s="30">
        <f t="shared" si="64"/>
        <v>8220857.4221353922</v>
      </c>
      <c r="V36" s="97">
        <f t="shared" si="65"/>
        <v>9703424.8428899907</v>
      </c>
      <c r="W36" s="97">
        <f t="shared" si="16"/>
        <v>9241356.9932285622</v>
      </c>
      <c r="X36" s="97">
        <f t="shared" si="17"/>
        <v>8779289.1435671356</v>
      </c>
      <c r="Y36" s="97">
        <f t="shared" si="18"/>
        <v>8317221.2939057061</v>
      </c>
      <c r="Z36" s="97">
        <f t="shared" si="66"/>
        <v>10045489.967820523</v>
      </c>
      <c r="AA36" s="97">
        <f t="shared" si="19"/>
        <v>9567133.3026862126</v>
      </c>
      <c r="AB36" s="97">
        <f t="shared" si="20"/>
        <v>9088776.6375519037</v>
      </c>
      <c r="AC36" s="97">
        <f t="shared" si="67"/>
        <v>8610419.9724175911</v>
      </c>
      <c r="AD36" s="30">
        <f t="shared" si="68"/>
        <v>10262707.977114933</v>
      </c>
      <c r="AE36" s="30">
        <f t="shared" si="69"/>
        <v>9774007.5972523168</v>
      </c>
      <c r="AF36" s="30">
        <f t="shared" si="70"/>
        <v>9285307.2173897028</v>
      </c>
      <c r="AG36" s="30">
        <f t="shared" si="71"/>
        <v>8796606.8375270851</v>
      </c>
      <c r="AH36" s="30">
        <f t="shared" si="72"/>
        <v>10361600.735022863</v>
      </c>
      <c r="AI36" s="30">
        <f t="shared" si="73"/>
        <v>9868191.1762122512</v>
      </c>
      <c r="AJ36" s="30">
        <f t="shared" si="74"/>
        <v>9374781.6174016409</v>
      </c>
      <c r="AK36" s="30">
        <f t="shared" si="75"/>
        <v>8881372.0585910268</v>
      </c>
      <c r="AL36" s="97">
        <f t="shared" si="22"/>
        <v>10534053.023039075</v>
      </c>
      <c r="AM36" s="97">
        <f t="shared" si="23"/>
        <v>10032431.450513404</v>
      </c>
      <c r="AN36" s="97">
        <f t="shared" si="24"/>
        <v>9530809.8779877368</v>
      </c>
      <c r="AO36" s="97">
        <f t="shared" si="25"/>
        <v>9029188.3054620642</v>
      </c>
      <c r="AP36" s="97">
        <f t="shared" si="26"/>
        <v>10552021.424543208</v>
      </c>
      <c r="AQ36" s="97">
        <f t="shared" si="27"/>
        <v>10049544.213850673</v>
      </c>
      <c r="AR36" s="97">
        <f t="shared" si="28"/>
        <v>9547067.0031581428</v>
      </c>
      <c r="AS36" s="97">
        <f t="shared" si="29"/>
        <v>9044589.7924656067</v>
      </c>
      <c r="AT36" s="97">
        <f t="shared" si="76"/>
        <v>10724651.178253286</v>
      </c>
      <c r="AU36" s="97">
        <f t="shared" si="77"/>
        <v>10213953.503098367</v>
      </c>
      <c r="AV36" s="97">
        <f t="shared" si="78"/>
        <v>9703255.8279434517</v>
      </c>
      <c r="AW36" s="97">
        <f t="shared" si="79"/>
        <v>9192558.152788531</v>
      </c>
      <c r="AX36" s="97">
        <f t="shared" si="80"/>
        <v>10943555.111639438</v>
      </c>
      <c r="AY36" s="97">
        <f t="shared" si="81"/>
        <v>10422433.439656608</v>
      </c>
      <c r="AZ36" s="97">
        <f t="shared" si="82"/>
        <v>9901311.7676737811</v>
      </c>
      <c r="BA36" s="97">
        <f t="shared" si="83"/>
        <v>9380190.0956909489</v>
      </c>
      <c r="BB36" s="142">
        <f t="shared" si="31"/>
        <v>11219602.99845108</v>
      </c>
      <c r="BC36" s="142">
        <f t="shared" si="32"/>
        <v>10685336.189001029</v>
      </c>
      <c r="BD36" s="142">
        <f t="shared" si="33"/>
        <v>10151069.379550982</v>
      </c>
      <c r="BE36" s="142">
        <f t="shared" si="34"/>
        <v>9616802.5701009277</v>
      </c>
      <c r="BF36" s="154">
        <f t="shared" si="35"/>
        <v>11417521.613537347</v>
      </c>
      <c r="BG36" s="154">
        <f t="shared" si="36"/>
        <v>10873830.108130807</v>
      </c>
      <c r="BH36" s="154">
        <f t="shared" si="37"/>
        <v>10330138.602724271</v>
      </c>
      <c r="BI36" s="154">
        <f t="shared" si="37"/>
        <v>9730479.5396992378</v>
      </c>
      <c r="BJ36" s="203">
        <f t="shared" si="38"/>
        <v>11552484.273723945</v>
      </c>
      <c r="BK36" s="203">
        <f t="shared" si="39"/>
        <v>11002365.974975187</v>
      </c>
      <c r="BL36" s="203">
        <f t="shared" si="40"/>
        <v>10452247.676226432</v>
      </c>
      <c r="BM36" s="203">
        <f t="shared" si="41"/>
        <v>9845500.2462956682</v>
      </c>
      <c r="BN36" s="207">
        <f t="shared" si="42"/>
        <v>12271264.700312736</v>
      </c>
      <c r="BO36" s="207">
        <f t="shared" si="43"/>
        <v>11686918.762202607</v>
      </c>
      <c r="BP36" s="207">
        <f t="shared" si="44"/>
        <v>11102572.824092481</v>
      </c>
      <c r="BQ36" s="207">
        <f t="shared" si="45"/>
        <v>10458074.364497108</v>
      </c>
      <c r="BR36" s="203">
        <f t="shared" si="46"/>
        <v>13221726.590246174</v>
      </c>
      <c r="BS36" s="203">
        <f t="shared" si="47"/>
        <v>12592120.562139217</v>
      </c>
      <c r="BT36" s="203">
        <f t="shared" si="48"/>
        <v>11962514.534032261</v>
      </c>
      <c r="BU36" s="203">
        <f t="shared" si="49"/>
        <v>11268096.914600771</v>
      </c>
      <c r="BV36" s="154">
        <f t="shared" si="84"/>
        <v>13650261.874513879</v>
      </c>
      <c r="BW36" s="154">
        <f t="shared" si="50"/>
        <v>13000249.404298937</v>
      </c>
      <c r="BX36" s="154">
        <f t="shared" si="51"/>
        <v>12350236.934083994</v>
      </c>
      <c r="BY36" s="154">
        <f t="shared" si="52"/>
        <v>11633312.235118497</v>
      </c>
      <c r="BZ36" s="203">
        <f t="shared" si="85"/>
        <v>14004882.697285572</v>
      </c>
      <c r="CA36" s="203">
        <f t="shared" si="53"/>
        <v>13337983.521224359</v>
      </c>
      <c r="CB36" s="203">
        <f t="shared" si="54"/>
        <v>12671084.345163146</v>
      </c>
      <c r="CC36" s="203">
        <f t="shared" si="55"/>
        <v>11935534.624278679</v>
      </c>
      <c r="CD36" s="154">
        <f t="shared" si="86"/>
        <v>14382307.861719299</v>
      </c>
      <c r="CE36" s="154">
        <f t="shared" si="56"/>
        <v>13697436.05878029</v>
      </c>
      <c r="CF36" s="154">
        <f t="shared" si="57"/>
        <v>13012564.255841281</v>
      </c>
      <c r="CG36" s="154">
        <f t="shared" si="58"/>
        <v>12257191.807387106</v>
      </c>
    </row>
    <row r="37" spans="1:85" ht="15" x14ac:dyDescent="0.4">
      <c r="A37" s="4" t="s">
        <v>34</v>
      </c>
      <c r="B37" s="30">
        <f t="shared" ref="B37:B55" si="87">0.105*VLOOKUP($A37,fund_table,MATCH(B$3,year_row,0),0)</f>
        <v>73477872.825000003</v>
      </c>
      <c r="C37" s="30">
        <f t="shared" ref="C37:C55" si="88">0.1*VLOOKUP($A37,fund_table,MATCH(C$3,year_row,0),0)</f>
        <v>69978926.5</v>
      </c>
      <c r="D37" s="30">
        <f t="shared" ref="D37:D55" si="89">0.095*VLOOKUP($A37,fund_table,MATCH(D$3,year_row,0),0)</f>
        <v>66479980.175000004</v>
      </c>
      <c r="E37" s="30">
        <f t="shared" ref="E37:E55" si="90">0.09*VLOOKUP($A37,fund_table,MATCH(E$3,year_row,0),0)</f>
        <v>62981033.849999994</v>
      </c>
      <c r="F37" s="28">
        <f t="shared" si="4"/>
        <v>74436921.365888566</v>
      </c>
      <c r="G37" s="28">
        <f t="shared" si="5"/>
        <v>70892306.06275101</v>
      </c>
      <c r="H37" s="28">
        <f t="shared" si="6"/>
        <v>67347690.759613469</v>
      </c>
      <c r="I37" s="28">
        <f t="shared" si="7"/>
        <v>63803075.456475906</v>
      </c>
      <c r="J37" s="30">
        <f t="shared" si="8"/>
        <v>77069140.74580422</v>
      </c>
      <c r="K37" s="30">
        <f t="shared" si="9"/>
        <v>73399181.662670687</v>
      </c>
      <c r="L37" s="30">
        <f t="shared" si="10"/>
        <v>69729222.579537168</v>
      </c>
      <c r="M37" s="30">
        <f t="shared" si="11"/>
        <v>66059263.496403612</v>
      </c>
      <c r="N37" s="28">
        <f t="shared" si="61"/>
        <v>79886161.402252644</v>
      </c>
      <c r="O37" s="28">
        <f t="shared" si="62"/>
        <v>76082058.478335857</v>
      </c>
      <c r="P37" s="28">
        <f t="shared" si="12"/>
        <v>72277955.55441907</v>
      </c>
      <c r="Q37" s="28">
        <f t="shared" si="13"/>
        <v>68473852.630502254</v>
      </c>
      <c r="R37" s="30">
        <f t="shared" si="63"/>
        <v>79886161.402252644</v>
      </c>
      <c r="S37" s="30">
        <f t="shared" si="14"/>
        <v>76082058.478335857</v>
      </c>
      <c r="T37" s="30">
        <f t="shared" si="15"/>
        <v>72277955.55441907</v>
      </c>
      <c r="U37" s="30">
        <f t="shared" si="64"/>
        <v>68473852.630502254</v>
      </c>
      <c r="V37" s="97">
        <f t="shared" si="65"/>
        <v>80822577.084741101</v>
      </c>
      <c r="W37" s="97">
        <f t="shared" si="16"/>
        <v>76973882.937848672</v>
      </c>
      <c r="X37" s="97">
        <f t="shared" si="17"/>
        <v>73125188.790956244</v>
      </c>
      <c r="Y37" s="97">
        <f t="shared" si="18"/>
        <v>69276494.644063786</v>
      </c>
      <c r="Z37" s="97">
        <f t="shared" si="66"/>
        <v>83671734.508571416</v>
      </c>
      <c r="AA37" s="97">
        <f t="shared" si="19"/>
        <v>79687366.198639452</v>
      </c>
      <c r="AB37" s="97">
        <f t="shared" si="20"/>
        <v>75702997.888707489</v>
      </c>
      <c r="AC37" s="97">
        <f t="shared" si="67"/>
        <v>71718629.57877548</v>
      </c>
      <c r="AD37" s="30">
        <f t="shared" si="68"/>
        <v>85481004.90378195</v>
      </c>
      <c r="AE37" s="30">
        <f t="shared" si="69"/>
        <v>81410480.86074473</v>
      </c>
      <c r="AF37" s="30">
        <f t="shared" si="70"/>
        <v>77339956.817707509</v>
      </c>
      <c r="AG37" s="30">
        <f t="shared" si="71"/>
        <v>73269432.774670228</v>
      </c>
      <c r="AH37" s="30">
        <f t="shared" si="72"/>
        <v>86304710.72709164</v>
      </c>
      <c r="AI37" s="30">
        <f t="shared" si="73"/>
        <v>82194962.597230151</v>
      </c>
      <c r="AJ37" s="30">
        <f t="shared" si="74"/>
        <v>78085214.467368662</v>
      </c>
      <c r="AK37" s="30">
        <f t="shared" si="75"/>
        <v>73975466.337507114</v>
      </c>
      <c r="AL37" s="97">
        <f t="shared" si="22"/>
        <v>87741114.735707521</v>
      </c>
      <c r="AM37" s="97">
        <f t="shared" si="23"/>
        <v>83562966.414959565</v>
      </c>
      <c r="AN37" s="97">
        <f t="shared" si="24"/>
        <v>79384818.094211608</v>
      </c>
      <c r="AO37" s="97">
        <f t="shared" si="25"/>
        <v>75206669.773463592</v>
      </c>
      <c r="AP37" s="97">
        <f t="shared" si="26"/>
        <v>87890778.647076041</v>
      </c>
      <c r="AQ37" s="97">
        <f t="shared" si="27"/>
        <v>83705503.473405778</v>
      </c>
      <c r="AR37" s="97">
        <f t="shared" si="28"/>
        <v>79520228.299735516</v>
      </c>
      <c r="AS37" s="97">
        <f t="shared" si="29"/>
        <v>75334953.12606518</v>
      </c>
      <c r="AT37" s="97">
        <f t="shared" si="76"/>
        <v>89328660.817779511</v>
      </c>
      <c r="AU37" s="97">
        <f t="shared" si="77"/>
        <v>85074915.06455195</v>
      </c>
      <c r="AV37" s="97">
        <f t="shared" si="78"/>
        <v>80821169.311324373</v>
      </c>
      <c r="AW37" s="97">
        <f t="shared" si="79"/>
        <v>76567423.558096737</v>
      </c>
      <c r="AX37" s="97">
        <f t="shared" si="80"/>
        <v>91151973.752822146</v>
      </c>
      <c r="AY37" s="97">
        <f t="shared" si="81"/>
        <v>86811403.574116364</v>
      </c>
      <c r="AZ37" s="97">
        <f t="shared" si="82"/>
        <v>82470833.395410568</v>
      </c>
      <c r="BA37" s="97">
        <f t="shared" si="83"/>
        <v>78130263.216704711</v>
      </c>
      <c r="BB37" s="142">
        <f t="shared" si="31"/>
        <v>93451254.880068853</v>
      </c>
      <c r="BC37" s="142">
        <f t="shared" si="32"/>
        <v>89001195.123875141</v>
      </c>
      <c r="BD37" s="142">
        <f t="shared" si="33"/>
        <v>84551135.367681399</v>
      </c>
      <c r="BE37" s="142">
        <f t="shared" si="34"/>
        <v>80101075.611487612</v>
      </c>
      <c r="BF37" s="154">
        <f t="shared" si="35"/>
        <v>95099775.148253947</v>
      </c>
      <c r="BG37" s="154">
        <f t="shared" si="36"/>
        <v>90571214.426908568</v>
      </c>
      <c r="BH37" s="154">
        <f t="shared" si="37"/>
        <v>86042653.705563158</v>
      </c>
      <c r="BI37" s="154">
        <f t="shared" si="37"/>
        <v>81047923.326276824</v>
      </c>
      <c r="BJ37" s="203">
        <f t="shared" si="38"/>
        <v>96223917.415866375</v>
      </c>
      <c r="BK37" s="203">
        <f t="shared" si="39"/>
        <v>91641826.11034897</v>
      </c>
      <c r="BL37" s="203">
        <f t="shared" si="40"/>
        <v>87059734.80483155</v>
      </c>
      <c r="BM37" s="203">
        <f t="shared" si="41"/>
        <v>82005963.407562464</v>
      </c>
      <c r="BN37" s="207">
        <f t="shared" si="42"/>
        <v>102210843.41112904</v>
      </c>
      <c r="BO37" s="207">
        <f t="shared" si="43"/>
        <v>97343660.391551509</v>
      </c>
      <c r="BP37" s="207">
        <f t="shared" si="44"/>
        <v>92476477.371973962</v>
      </c>
      <c r="BQ37" s="207">
        <f t="shared" si="45"/>
        <v>87108266.943692863</v>
      </c>
      <c r="BR37" s="203">
        <f t="shared" si="46"/>
        <v>110127510.01174085</v>
      </c>
      <c r="BS37" s="203">
        <f t="shared" si="47"/>
        <v>104883342.86832467</v>
      </c>
      <c r="BT37" s="203">
        <f t="shared" si="48"/>
        <v>99639175.724908456</v>
      </c>
      <c r="BU37" s="203">
        <f t="shared" si="49"/>
        <v>93855174.458940163</v>
      </c>
      <c r="BV37" s="154">
        <f t="shared" si="84"/>
        <v>113696901.91274954</v>
      </c>
      <c r="BW37" s="154">
        <f t="shared" si="50"/>
        <v>108282763.72642818</v>
      </c>
      <c r="BX37" s="154">
        <f t="shared" si="51"/>
        <v>102868625.5401068</v>
      </c>
      <c r="BY37" s="154">
        <f t="shared" si="52"/>
        <v>96897156.426441133</v>
      </c>
      <c r="BZ37" s="203">
        <f t="shared" si="85"/>
        <v>116650639.30427688</v>
      </c>
      <c r="CA37" s="203">
        <f t="shared" si="53"/>
        <v>111095846.95645422</v>
      </c>
      <c r="CB37" s="203">
        <f t="shared" si="54"/>
        <v>105541054.60863155</v>
      </c>
      <c r="CC37" s="203">
        <f t="shared" si="55"/>
        <v>99414452.405966491</v>
      </c>
      <c r="CD37" s="154">
        <f t="shared" si="86"/>
        <v>119794320.52405956</v>
      </c>
      <c r="CE37" s="154">
        <f t="shared" si="56"/>
        <v>114089829.07053296</v>
      </c>
      <c r="CF37" s="154">
        <f t="shared" si="57"/>
        <v>108385337.61700636</v>
      </c>
      <c r="CG37" s="154">
        <f t="shared" si="58"/>
        <v>102093626.29534747</v>
      </c>
    </row>
    <row r="38" spans="1:85" ht="15" x14ac:dyDescent="0.4">
      <c r="A38" s="4" t="s">
        <v>35</v>
      </c>
      <c r="B38" s="30">
        <f t="shared" si="87"/>
        <v>30285260.25</v>
      </c>
      <c r="C38" s="30">
        <f t="shared" si="88"/>
        <v>28843105</v>
      </c>
      <c r="D38" s="30">
        <f t="shared" si="89"/>
        <v>27400949.75</v>
      </c>
      <c r="E38" s="30">
        <f t="shared" si="90"/>
        <v>25958794.5</v>
      </c>
      <c r="F38" s="28">
        <f t="shared" si="4"/>
        <v>30680549.791415669</v>
      </c>
      <c r="G38" s="28">
        <f t="shared" si="5"/>
        <v>29219571.229919683</v>
      </c>
      <c r="H38" s="28">
        <f t="shared" si="6"/>
        <v>27758592.668423701</v>
      </c>
      <c r="I38" s="28">
        <f t="shared" si="7"/>
        <v>26297614.106927715</v>
      </c>
      <c r="J38" s="30">
        <f t="shared" si="8"/>
        <v>31765467.548162654</v>
      </c>
      <c r="K38" s="30">
        <f t="shared" si="9"/>
        <v>30252826.236345384</v>
      </c>
      <c r="L38" s="30">
        <f t="shared" si="10"/>
        <v>28740184.924528118</v>
      </c>
      <c r="M38" s="30">
        <f t="shared" si="11"/>
        <v>27227543.612710848</v>
      </c>
      <c r="N38" s="28">
        <f t="shared" si="61"/>
        <v>32926554.558851663</v>
      </c>
      <c r="O38" s="28">
        <f t="shared" si="62"/>
        <v>31358623.389382534</v>
      </c>
      <c r="P38" s="28">
        <f t="shared" si="12"/>
        <v>29790692.219913412</v>
      </c>
      <c r="Q38" s="28">
        <f t="shared" si="13"/>
        <v>28222761.050444283</v>
      </c>
      <c r="R38" s="30">
        <f t="shared" si="63"/>
        <v>32926554.558851663</v>
      </c>
      <c r="S38" s="30">
        <f t="shared" si="14"/>
        <v>31358623.389382534</v>
      </c>
      <c r="T38" s="30">
        <f t="shared" si="15"/>
        <v>29790692.219913412</v>
      </c>
      <c r="U38" s="30">
        <f t="shared" si="64"/>
        <v>28222761.050444283</v>
      </c>
      <c r="V38" s="97">
        <f t="shared" si="65"/>
        <v>33312515.550317593</v>
      </c>
      <c r="W38" s="97">
        <f t="shared" si="16"/>
        <v>31726205.286016751</v>
      </c>
      <c r="X38" s="97">
        <f t="shared" si="17"/>
        <v>30139895.02171592</v>
      </c>
      <c r="Y38" s="97">
        <f t="shared" si="18"/>
        <v>28553584.757415079</v>
      </c>
      <c r="Z38" s="97">
        <f t="shared" si="66"/>
        <v>34486848.322299562</v>
      </c>
      <c r="AA38" s="97">
        <f t="shared" si="19"/>
        <v>32844617.4498091</v>
      </c>
      <c r="AB38" s="97">
        <f t="shared" si="20"/>
        <v>31202386.577318653</v>
      </c>
      <c r="AC38" s="97">
        <f t="shared" si="67"/>
        <v>29560155.704828195</v>
      </c>
      <c r="AD38" s="30">
        <f t="shared" si="68"/>
        <v>35232572.479449205</v>
      </c>
      <c r="AE38" s="30">
        <f t="shared" si="69"/>
        <v>33554830.932808757</v>
      </c>
      <c r="AF38" s="30">
        <f t="shared" si="70"/>
        <v>31877089.386168327</v>
      </c>
      <c r="AG38" s="30">
        <f t="shared" si="71"/>
        <v>30199347.839527886</v>
      </c>
      <c r="AH38" s="30">
        <f t="shared" si="72"/>
        <v>35572078.024033874</v>
      </c>
      <c r="AI38" s="30">
        <f t="shared" si="73"/>
        <v>33878169.546698913</v>
      </c>
      <c r="AJ38" s="30">
        <f t="shared" si="74"/>
        <v>32184261.069363978</v>
      </c>
      <c r="AK38" s="30">
        <f t="shared" si="75"/>
        <v>30490352.592029031</v>
      </c>
      <c r="AL38" s="97">
        <f t="shared" si="22"/>
        <v>36164118.424123876</v>
      </c>
      <c r="AM38" s="97">
        <f t="shared" si="23"/>
        <v>34442017.546784632</v>
      </c>
      <c r="AN38" s="97">
        <f t="shared" si="24"/>
        <v>32719916.66944541</v>
      </c>
      <c r="AO38" s="97">
        <f t="shared" si="25"/>
        <v>30997815.792106178</v>
      </c>
      <c r="AP38" s="97">
        <f t="shared" si="26"/>
        <v>36225805.165064566</v>
      </c>
      <c r="AQ38" s="97">
        <f t="shared" si="27"/>
        <v>34500766.823871002</v>
      </c>
      <c r="AR38" s="97">
        <f t="shared" si="28"/>
        <v>32775728.482677463</v>
      </c>
      <c r="AS38" s="97">
        <f t="shared" si="29"/>
        <v>31050690.14148391</v>
      </c>
      <c r="AT38" s="97">
        <f t="shared" si="76"/>
        <v>36818454.81691695</v>
      </c>
      <c r="AU38" s="97">
        <f t="shared" si="77"/>
        <v>35065195.063730411</v>
      </c>
      <c r="AV38" s="97">
        <f t="shared" si="78"/>
        <v>33311935.310543902</v>
      </c>
      <c r="AW38" s="97">
        <f t="shared" si="79"/>
        <v>31558675.557357378</v>
      </c>
      <c r="AX38" s="97">
        <f t="shared" si="80"/>
        <v>37569966.865809172</v>
      </c>
      <c r="AY38" s="97">
        <f t="shared" si="81"/>
        <v>35780920.82458014</v>
      </c>
      <c r="AZ38" s="97">
        <f t="shared" si="82"/>
        <v>33991874.783351146</v>
      </c>
      <c r="BA38" s="97">
        <f t="shared" si="83"/>
        <v>32202828.742122136</v>
      </c>
      <c r="BB38" s="142">
        <f t="shared" si="31"/>
        <v>38517657.982186832</v>
      </c>
      <c r="BC38" s="142">
        <f t="shared" si="32"/>
        <v>36683483.792558864</v>
      </c>
      <c r="BD38" s="142">
        <f t="shared" si="33"/>
        <v>34849309.602930933</v>
      </c>
      <c r="BE38" s="142">
        <f t="shared" si="34"/>
        <v>33015135.413302988</v>
      </c>
      <c r="BF38" s="154">
        <f t="shared" si="35"/>
        <v>39197126.010177955</v>
      </c>
      <c r="BG38" s="154">
        <f t="shared" si="36"/>
        <v>37330596.200169459</v>
      </c>
      <c r="BH38" s="154">
        <f t="shared" si="37"/>
        <v>35464066.390161</v>
      </c>
      <c r="BI38" s="154">
        <f t="shared" si="37"/>
        <v>33405396.159253061</v>
      </c>
      <c r="BJ38" s="203">
        <f t="shared" si="38"/>
        <v>39660461.975465782</v>
      </c>
      <c r="BK38" s="203">
        <f t="shared" si="39"/>
        <v>37771868.54806263</v>
      </c>
      <c r="BL38" s="203">
        <f t="shared" si="40"/>
        <v>35883275.120659508</v>
      </c>
      <c r="BM38" s="203">
        <f t="shared" si="41"/>
        <v>33800270.045446932</v>
      </c>
      <c r="BN38" s="207">
        <f t="shared" si="42"/>
        <v>42128083.926033869</v>
      </c>
      <c r="BO38" s="207">
        <f t="shared" si="43"/>
        <v>40121984.691460811</v>
      </c>
      <c r="BP38" s="207">
        <f t="shared" si="44"/>
        <v>38115885.456887774</v>
      </c>
      <c r="BQ38" s="207">
        <f t="shared" si="45"/>
        <v>35903278.536645785</v>
      </c>
      <c r="BR38" s="203">
        <f t="shared" si="46"/>
        <v>45391084.05238533</v>
      </c>
      <c r="BS38" s="203">
        <f t="shared" si="47"/>
        <v>43229603.859414585</v>
      </c>
      <c r="BT38" s="203">
        <f t="shared" si="48"/>
        <v>41068123.666443855</v>
      </c>
      <c r="BU38" s="203">
        <f t="shared" si="49"/>
        <v>38684140.885078162</v>
      </c>
      <c r="BV38" s="154">
        <f t="shared" si="84"/>
        <v>46862274.745585568</v>
      </c>
      <c r="BW38" s="154">
        <f t="shared" si="50"/>
        <v>44630737.852938615</v>
      </c>
      <c r="BX38" s="154">
        <f t="shared" si="51"/>
        <v>42399200.960291684</v>
      </c>
      <c r="BY38" s="154">
        <f t="shared" si="52"/>
        <v>39937949.848505706</v>
      </c>
      <c r="BZ38" s="203">
        <f t="shared" si="85"/>
        <v>48079712.079755723</v>
      </c>
      <c r="CA38" s="203">
        <f t="shared" si="53"/>
        <v>45790201.980719715</v>
      </c>
      <c r="CB38" s="203">
        <f t="shared" si="54"/>
        <v>43500691.88168373</v>
      </c>
      <c r="CC38" s="203">
        <f t="shared" si="55"/>
        <v>40975499.806542397</v>
      </c>
      <c r="CD38" s="154">
        <f t="shared" si="86"/>
        <v>49375438.265391342</v>
      </c>
      <c r="CE38" s="154">
        <f t="shared" si="56"/>
        <v>47024226.919420302</v>
      </c>
      <c r="CF38" s="154">
        <f t="shared" si="57"/>
        <v>44673015.573449284</v>
      </c>
      <c r="CG38" s="154">
        <f t="shared" si="58"/>
        <v>42079770.730227888</v>
      </c>
    </row>
    <row r="39" spans="1:85" ht="15" x14ac:dyDescent="0.4">
      <c r="A39" s="4" t="s">
        <v>36</v>
      </c>
      <c r="B39" s="30">
        <f t="shared" si="87"/>
        <v>2535746.9550000001</v>
      </c>
      <c r="C39" s="30">
        <f t="shared" si="88"/>
        <v>2414997.1</v>
      </c>
      <c r="D39" s="30">
        <f t="shared" si="89"/>
        <v>2294247.2450000001</v>
      </c>
      <c r="E39" s="30">
        <f t="shared" si="90"/>
        <v>2173497.39</v>
      </c>
      <c r="F39" s="28">
        <f t="shared" si="4"/>
        <v>2568844.0538102416</v>
      </c>
      <c r="G39" s="28">
        <f t="shared" si="5"/>
        <v>2446518.1464859443</v>
      </c>
      <c r="H39" s="28">
        <f t="shared" si="6"/>
        <v>2324192.2391616469</v>
      </c>
      <c r="I39" s="28">
        <f t="shared" si="7"/>
        <v>2201866.33183735</v>
      </c>
      <c r="J39" s="30">
        <f t="shared" si="8"/>
        <v>2659682.8603909644</v>
      </c>
      <c r="K39" s="30">
        <f t="shared" si="9"/>
        <v>2533031.2956104423</v>
      </c>
      <c r="L39" s="30">
        <f t="shared" si="10"/>
        <v>2406379.7308299197</v>
      </c>
      <c r="M39" s="30">
        <f t="shared" si="11"/>
        <v>2279728.166049398</v>
      </c>
      <c r="N39" s="28">
        <f t="shared" si="61"/>
        <v>2756899.2233193531</v>
      </c>
      <c r="O39" s="28">
        <f t="shared" si="62"/>
        <v>2625618.3079231936</v>
      </c>
      <c r="P39" s="28">
        <f t="shared" si="12"/>
        <v>2494337.3925270331</v>
      </c>
      <c r="Q39" s="28">
        <f t="shared" si="13"/>
        <v>2363056.4771308741</v>
      </c>
      <c r="R39" s="30">
        <f t="shared" si="63"/>
        <v>2756899.2233193531</v>
      </c>
      <c r="S39" s="30">
        <f t="shared" si="14"/>
        <v>2625618.3079231936</v>
      </c>
      <c r="T39" s="30">
        <f t="shared" si="15"/>
        <v>2494337.3925270331</v>
      </c>
      <c r="U39" s="30">
        <f t="shared" si="64"/>
        <v>2363056.4771308741</v>
      </c>
      <c r="V39" s="97">
        <f t="shared" si="65"/>
        <v>2789215.2543119714</v>
      </c>
      <c r="W39" s="97">
        <f t="shared" si="16"/>
        <v>2656395.4802971156</v>
      </c>
      <c r="X39" s="97">
        <f t="shared" si="17"/>
        <v>2523575.706282259</v>
      </c>
      <c r="Y39" s="97">
        <f t="shared" si="18"/>
        <v>2390755.9322674042</v>
      </c>
      <c r="Z39" s="97">
        <f t="shared" si="66"/>
        <v>2887540.6682634656</v>
      </c>
      <c r="AA39" s="97">
        <f t="shared" si="19"/>
        <v>2750038.7316794912</v>
      </c>
      <c r="AB39" s="97">
        <f t="shared" si="20"/>
        <v>2612536.7950955159</v>
      </c>
      <c r="AC39" s="97">
        <f t="shared" si="67"/>
        <v>2475034.858511542</v>
      </c>
      <c r="AD39" s="30">
        <f t="shared" si="68"/>
        <v>2949979.2190684616</v>
      </c>
      <c r="AE39" s="30">
        <f t="shared" si="69"/>
        <v>2809504.0181604396</v>
      </c>
      <c r="AF39" s="30">
        <f t="shared" si="70"/>
        <v>2669028.8172524166</v>
      </c>
      <c r="AG39" s="30">
        <f t="shared" si="71"/>
        <v>2528553.6163443956</v>
      </c>
      <c r="AH39" s="30">
        <f t="shared" si="72"/>
        <v>2978405.5936077456</v>
      </c>
      <c r="AI39" s="30">
        <f t="shared" si="73"/>
        <v>2836576.7558169006</v>
      </c>
      <c r="AJ39" s="30">
        <f t="shared" si="74"/>
        <v>2694747.9180260543</v>
      </c>
      <c r="AK39" s="30">
        <f t="shared" si="75"/>
        <v>2552919.0802352102</v>
      </c>
      <c r="AL39" s="97">
        <f t="shared" si="22"/>
        <v>3027976.3956867936</v>
      </c>
      <c r="AM39" s="97">
        <f t="shared" si="23"/>
        <v>2883787.0435112319</v>
      </c>
      <c r="AN39" s="97">
        <f t="shared" si="24"/>
        <v>2739597.6913356693</v>
      </c>
      <c r="AO39" s="97">
        <f t="shared" si="25"/>
        <v>2595408.3391601085</v>
      </c>
      <c r="AP39" s="97">
        <f t="shared" si="26"/>
        <v>3033141.3493379424</v>
      </c>
      <c r="AQ39" s="97">
        <f t="shared" si="27"/>
        <v>2888706.0469885166</v>
      </c>
      <c r="AR39" s="97">
        <f t="shared" si="28"/>
        <v>2744270.7446390893</v>
      </c>
      <c r="AS39" s="97">
        <f t="shared" si="29"/>
        <v>2599835.4422896644</v>
      </c>
      <c r="AT39" s="97">
        <f t="shared" si="76"/>
        <v>3082763.1633049031</v>
      </c>
      <c r="AU39" s="97">
        <f t="shared" si="77"/>
        <v>2935964.9174332409</v>
      </c>
      <c r="AV39" s="97">
        <f t="shared" si="78"/>
        <v>2789166.6715615774</v>
      </c>
      <c r="AW39" s="97">
        <f t="shared" si="79"/>
        <v>2642368.4256899161</v>
      </c>
      <c r="AX39" s="97">
        <f t="shared" si="80"/>
        <v>3145686.3270450681</v>
      </c>
      <c r="AY39" s="97">
        <f t="shared" si="81"/>
        <v>2995891.7400429216</v>
      </c>
      <c r="AZ39" s="97">
        <f t="shared" si="82"/>
        <v>2846097.1530407742</v>
      </c>
      <c r="BA39" s="97">
        <f t="shared" si="83"/>
        <v>2696302.566038629</v>
      </c>
      <c r="BB39" s="142">
        <f t="shared" si="31"/>
        <v>3225035.3186930828</v>
      </c>
      <c r="BC39" s="142">
        <f t="shared" si="32"/>
        <v>3071462.2082791263</v>
      </c>
      <c r="BD39" s="142">
        <f t="shared" si="33"/>
        <v>2917889.0978651685</v>
      </c>
      <c r="BE39" s="142">
        <f t="shared" si="34"/>
        <v>2764315.9874512129</v>
      </c>
      <c r="BF39" s="154">
        <f t="shared" si="35"/>
        <v>3281926.326687586</v>
      </c>
      <c r="BG39" s="154">
        <f t="shared" si="36"/>
        <v>3125644.1206548433</v>
      </c>
      <c r="BH39" s="154">
        <f t="shared" si="37"/>
        <v>2969361.9146220996</v>
      </c>
      <c r="BI39" s="154">
        <f t="shared" si="37"/>
        <v>2796992.0315079559</v>
      </c>
      <c r="BJ39" s="203">
        <f t="shared" si="38"/>
        <v>3320720.8674451015</v>
      </c>
      <c r="BK39" s="203">
        <f t="shared" si="39"/>
        <v>3162591.3023286676</v>
      </c>
      <c r="BL39" s="203">
        <f t="shared" si="40"/>
        <v>3004461.7372122328</v>
      </c>
      <c r="BM39" s="203">
        <f t="shared" si="41"/>
        <v>2830054.3280264451</v>
      </c>
      <c r="BN39" s="207">
        <f t="shared" si="42"/>
        <v>3527331.7664630217</v>
      </c>
      <c r="BO39" s="207">
        <f t="shared" si="43"/>
        <v>3359363.5871076393</v>
      </c>
      <c r="BP39" s="207">
        <f t="shared" si="44"/>
        <v>3191395.4077522559</v>
      </c>
      <c r="BQ39" s="207">
        <f t="shared" si="45"/>
        <v>3006136.5982092363</v>
      </c>
      <c r="BR39" s="203">
        <f t="shared" si="46"/>
        <v>3800538.6851508128</v>
      </c>
      <c r="BS39" s="203">
        <f t="shared" si="47"/>
        <v>3619560.652524583</v>
      </c>
      <c r="BT39" s="203">
        <f t="shared" si="48"/>
        <v>3438582.6198983523</v>
      </c>
      <c r="BU39" s="203">
        <f t="shared" si="49"/>
        <v>3238974.7238882636</v>
      </c>
      <c r="BV39" s="154">
        <f t="shared" si="84"/>
        <v>3923719.6414877106</v>
      </c>
      <c r="BW39" s="154">
        <f t="shared" si="50"/>
        <v>3736875.8490359141</v>
      </c>
      <c r="BX39" s="154">
        <f t="shared" si="51"/>
        <v>3550032.056584117</v>
      </c>
      <c r="BY39" s="154">
        <f t="shared" si="52"/>
        <v>3343954.5799277406</v>
      </c>
      <c r="BZ39" s="203">
        <f t="shared" si="85"/>
        <v>4025654.1465090201</v>
      </c>
      <c r="CA39" s="203">
        <f t="shared" si="53"/>
        <v>3833956.3300085897</v>
      </c>
      <c r="CB39" s="203">
        <f t="shared" si="54"/>
        <v>3642258.5135081592</v>
      </c>
      <c r="CC39" s="203">
        <f t="shared" si="55"/>
        <v>3430827.3399778022</v>
      </c>
      <c r="CD39" s="154">
        <f t="shared" si="86"/>
        <v>4134143.6791270957</v>
      </c>
      <c r="CE39" s="154">
        <f t="shared" si="56"/>
        <v>3937279.6944067567</v>
      </c>
      <c r="CF39" s="154">
        <f t="shared" si="57"/>
        <v>3740415.7096864181</v>
      </c>
      <c r="CG39" s="154">
        <f t="shared" si="58"/>
        <v>3523286.5630161949</v>
      </c>
    </row>
    <row r="40" spans="1:85" ht="15" x14ac:dyDescent="0.4">
      <c r="A40" s="4" t="s">
        <v>37</v>
      </c>
      <c r="B40" s="30">
        <f t="shared" si="87"/>
        <v>42365907.359999999</v>
      </c>
      <c r="C40" s="30">
        <f t="shared" si="88"/>
        <v>40348483.200000003</v>
      </c>
      <c r="D40" s="30">
        <f t="shared" si="89"/>
        <v>38331059.039999999</v>
      </c>
      <c r="E40" s="30">
        <f t="shared" si="90"/>
        <v>36313634.879999995</v>
      </c>
      <c r="F40" s="28">
        <f t="shared" si="4"/>
        <v>42918876.030361451</v>
      </c>
      <c r="G40" s="28">
        <f t="shared" si="5"/>
        <v>40875120.028915673</v>
      </c>
      <c r="H40" s="28">
        <f t="shared" si="6"/>
        <v>38831364.027469888</v>
      </c>
      <c r="I40" s="28">
        <f t="shared" si="7"/>
        <v>36787608.026024096</v>
      </c>
      <c r="J40" s="30">
        <f t="shared" si="8"/>
        <v>44436562.350245789</v>
      </c>
      <c r="K40" s="30">
        <f t="shared" si="9"/>
        <v>42320535.571662657</v>
      </c>
      <c r="L40" s="30">
        <f t="shared" si="10"/>
        <v>40204508.793079525</v>
      </c>
      <c r="M40" s="30">
        <f t="shared" si="11"/>
        <v>38088482.014496386</v>
      </c>
      <c r="N40" s="28">
        <f t="shared" si="61"/>
        <v>46060801.479303621</v>
      </c>
      <c r="O40" s="28">
        <f t="shared" si="62"/>
        <v>43867429.980289169</v>
      </c>
      <c r="P40" s="28">
        <f t="shared" si="12"/>
        <v>41674058.481274709</v>
      </c>
      <c r="Q40" s="28">
        <f t="shared" si="13"/>
        <v>39480686.982260242</v>
      </c>
      <c r="R40" s="30">
        <f t="shared" si="63"/>
        <v>46060801.479303621</v>
      </c>
      <c r="S40" s="30">
        <f t="shared" si="14"/>
        <v>43867429.980289169</v>
      </c>
      <c r="T40" s="30">
        <f t="shared" si="15"/>
        <v>41674058.481274709</v>
      </c>
      <c r="U40" s="30">
        <f t="shared" si="64"/>
        <v>39480686.982260242</v>
      </c>
      <c r="V40" s="97">
        <f t="shared" si="65"/>
        <v>46600720.485250391</v>
      </c>
      <c r="W40" s="97">
        <f t="shared" si="16"/>
        <v>44381638.557381332</v>
      </c>
      <c r="X40" s="97">
        <f t="shared" si="17"/>
        <v>42162556.629512265</v>
      </c>
      <c r="Y40" s="97">
        <f t="shared" si="18"/>
        <v>39943474.701643191</v>
      </c>
      <c r="Z40" s="97">
        <f t="shared" si="66"/>
        <v>48243489.047148421</v>
      </c>
      <c r="AA40" s="97">
        <f t="shared" si="19"/>
        <v>45946180.044903263</v>
      </c>
      <c r="AB40" s="97">
        <f t="shared" si="20"/>
        <v>43648871.042658105</v>
      </c>
      <c r="AC40" s="97">
        <f t="shared" si="67"/>
        <v>41351562.040412933</v>
      </c>
      <c r="AD40" s="30">
        <f t="shared" si="68"/>
        <v>49286679.04443153</v>
      </c>
      <c r="AE40" s="30">
        <f t="shared" si="69"/>
        <v>46939694.328030035</v>
      </c>
      <c r="AF40" s="30">
        <f t="shared" si="70"/>
        <v>44592709.61162854</v>
      </c>
      <c r="AG40" s="30">
        <f t="shared" si="71"/>
        <v>42245724.895227022</v>
      </c>
      <c r="AH40" s="30">
        <f t="shared" si="72"/>
        <v>49761611.745400488</v>
      </c>
      <c r="AI40" s="30">
        <f t="shared" si="73"/>
        <v>47392011.186095707</v>
      </c>
      <c r="AJ40" s="30">
        <f t="shared" si="74"/>
        <v>45022410.626790933</v>
      </c>
      <c r="AK40" s="30">
        <f t="shared" si="75"/>
        <v>42652810.06748613</v>
      </c>
      <c r="AL40" s="97">
        <f t="shared" si="22"/>
        <v>50589814.261625864</v>
      </c>
      <c r="AM40" s="97">
        <f t="shared" si="23"/>
        <v>48180775.487262733</v>
      </c>
      <c r="AN40" s="97">
        <f t="shared" si="24"/>
        <v>45771736.71289961</v>
      </c>
      <c r="AO40" s="97">
        <f t="shared" si="25"/>
        <v>43362697.938536458</v>
      </c>
      <c r="AP40" s="97">
        <f t="shared" si="26"/>
        <v>50676107.551842302</v>
      </c>
      <c r="AQ40" s="97">
        <f t="shared" si="27"/>
        <v>48262959.573183149</v>
      </c>
      <c r="AR40" s="97">
        <f t="shared" si="28"/>
        <v>45849811.594524004</v>
      </c>
      <c r="AS40" s="97">
        <f t="shared" si="29"/>
        <v>43436663.615864828</v>
      </c>
      <c r="AT40" s="97">
        <f t="shared" si="76"/>
        <v>51505162.347477227</v>
      </c>
      <c r="AU40" s="97">
        <f t="shared" si="77"/>
        <v>49052535.569025934</v>
      </c>
      <c r="AV40" s="97">
        <f t="shared" si="78"/>
        <v>46599908.790574647</v>
      </c>
      <c r="AW40" s="97">
        <f t="shared" si="79"/>
        <v>44147282.012123331</v>
      </c>
      <c r="AX40" s="97">
        <f t="shared" si="80"/>
        <v>52556448.999151006</v>
      </c>
      <c r="AY40" s="97">
        <f t="shared" si="81"/>
        <v>50053760.951572388</v>
      </c>
      <c r="AZ40" s="97">
        <f t="shared" si="82"/>
        <v>47551072.903993785</v>
      </c>
      <c r="BA40" s="97">
        <f t="shared" si="83"/>
        <v>45048384.856415145</v>
      </c>
      <c r="BB40" s="142">
        <f t="shared" si="31"/>
        <v>53882169.620698281</v>
      </c>
      <c r="BC40" s="142">
        <f t="shared" si="32"/>
        <v>51316352.019712649</v>
      </c>
      <c r="BD40" s="142">
        <f t="shared" si="33"/>
        <v>48750534.418727033</v>
      </c>
      <c r="BE40" s="142">
        <f t="shared" si="34"/>
        <v>46184716.817741379</v>
      </c>
      <c r="BF40" s="154">
        <f t="shared" si="35"/>
        <v>54832674.232193373</v>
      </c>
      <c r="BG40" s="154">
        <f t="shared" si="36"/>
        <v>52221594.506850831</v>
      </c>
      <c r="BH40" s="154">
        <f t="shared" si="37"/>
        <v>49610514.781508304</v>
      </c>
      <c r="BI40" s="154">
        <f t="shared" si="37"/>
        <v>46730650.729904652</v>
      </c>
      <c r="BJ40" s="203">
        <f t="shared" si="38"/>
        <v>55480832.723152362</v>
      </c>
      <c r="BK40" s="203">
        <f t="shared" si="39"/>
        <v>52838888.30776415</v>
      </c>
      <c r="BL40" s="203">
        <f t="shared" si="40"/>
        <v>50196943.892375961</v>
      </c>
      <c r="BM40" s="203">
        <f t="shared" si="41"/>
        <v>47283037.942141756</v>
      </c>
      <c r="BN40" s="207">
        <f t="shared" si="42"/>
        <v>58932777.401662104</v>
      </c>
      <c r="BO40" s="207">
        <f t="shared" si="43"/>
        <v>56126454.668249615</v>
      </c>
      <c r="BP40" s="207">
        <f t="shared" si="44"/>
        <v>53320131.934837155</v>
      </c>
      <c r="BQ40" s="207">
        <f t="shared" si="45"/>
        <v>50224926.57641308</v>
      </c>
      <c r="BR40" s="203">
        <f t="shared" si="46"/>
        <v>63497372.849332869</v>
      </c>
      <c r="BS40" s="203">
        <f t="shared" si="47"/>
        <v>60473688.427936055</v>
      </c>
      <c r="BT40" s="203">
        <f t="shared" si="48"/>
        <v>57450004.006539278</v>
      </c>
      <c r="BU40" s="203">
        <f t="shared" si="49"/>
        <v>54115061.76633928</v>
      </c>
      <c r="BV40" s="154">
        <f t="shared" si="84"/>
        <v>65555414.553531706</v>
      </c>
      <c r="BW40" s="154">
        <f t="shared" si="50"/>
        <v>62433728.146220662</v>
      </c>
      <c r="BX40" s="154">
        <f t="shared" si="51"/>
        <v>59312041.738909654</v>
      </c>
      <c r="BY40" s="154">
        <f t="shared" si="52"/>
        <v>55869009.196647689</v>
      </c>
      <c r="BZ40" s="203">
        <f t="shared" si="85"/>
        <v>67258481.883655056</v>
      </c>
      <c r="CA40" s="203">
        <f t="shared" si="53"/>
        <v>64055697.03205242</v>
      </c>
      <c r="CB40" s="203">
        <f t="shared" si="54"/>
        <v>60852912.180449829</v>
      </c>
      <c r="CC40" s="203">
        <f t="shared" si="55"/>
        <v>57320432.926894628</v>
      </c>
      <c r="CD40" s="154">
        <f t="shared" si="86"/>
        <v>69071067.117904931</v>
      </c>
      <c r="CE40" s="154">
        <f t="shared" si="56"/>
        <v>65781968.683718964</v>
      </c>
      <c r="CF40" s="154">
        <f t="shared" si="57"/>
        <v>62492870.24953305</v>
      </c>
      <c r="CG40" s="154">
        <f t="shared" si="58"/>
        <v>58865192.300497867</v>
      </c>
    </row>
    <row r="41" spans="1:85" ht="15" x14ac:dyDescent="0.4">
      <c r="A41" s="4" t="s">
        <v>38</v>
      </c>
      <c r="B41" s="30">
        <f t="shared" si="87"/>
        <v>14316784.754999999</v>
      </c>
      <c r="C41" s="30">
        <f t="shared" si="88"/>
        <v>13635033.100000001</v>
      </c>
      <c r="D41" s="30">
        <f t="shared" si="89"/>
        <v>12953281.445</v>
      </c>
      <c r="E41" s="30">
        <f t="shared" si="90"/>
        <v>12271529.789999999</v>
      </c>
      <c r="F41" s="28">
        <f t="shared" si="4"/>
        <v>14503650.419472894</v>
      </c>
      <c r="G41" s="28">
        <f t="shared" si="5"/>
        <v>13813000.399497995</v>
      </c>
      <c r="H41" s="28">
        <f t="shared" si="6"/>
        <v>13122350.379523095</v>
      </c>
      <c r="I41" s="28">
        <f t="shared" si="7"/>
        <v>12431700.359548194</v>
      </c>
      <c r="J41" s="30">
        <f t="shared" si="8"/>
        <v>15016524.797041567</v>
      </c>
      <c r="K41" s="30">
        <f t="shared" si="9"/>
        <v>14301452.187658638</v>
      </c>
      <c r="L41" s="30">
        <f t="shared" si="10"/>
        <v>13586379.578275705</v>
      </c>
      <c r="M41" s="30">
        <f t="shared" si="11"/>
        <v>12871306.968892772</v>
      </c>
      <c r="N41" s="28">
        <f t="shared" si="61"/>
        <v>15565406.750725981</v>
      </c>
      <c r="O41" s="28">
        <f t="shared" si="62"/>
        <v>14824196.905453317</v>
      </c>
      <c r="P41" s="28">
        <f t="shared" si="12"/>
        <v>14082987.060180651</v>
      </c>
      <c r="Q41" s="28">
        <f t="shared" si="13"/>
        <v>13341777.214907983</v>
      </c>
      <c r="R41" s="30">
        <f t="shared" si="63"/>
        <v>15565406.750725981</v>
      </c>
      <c r="S41" s="30">
        <f t="shared" si="14"/>
        <v>14824196.905453317</v>
      </c>
      <c r="T41" s="30">
        <f t="shared" si="15"/>
        <v>14082987.060180651</v>
      </c>
      <c r="U41" s="30">
        <f t="shared" si="64"/>
        <v>13341777.214907983</v>
      </c>
      <c r="V41" s="97">
        <f t="shared" si="65"/>
        <v>15747862.519407846</v>
      </c>
      <c r="W41" s="97">
        <f t="shared" si="16"/>
        <v>14997964.30419795</v>
      </c>
      <c r="X41" s="97">
        <f t="shared" si="17"/>
        <v>14248066.088988053</v>
      </c>
      <c r="Y41" s="97">
        <f t="shared" si="18"/>
        <v>13498167.873778153</v>
      </c>
      <c r="Z41" s="97">
        <f t="shared" si="66"/>
        <v>16303006.156557484</v>
      </c>
      <c r="AA41" s="97">
        <f t="shared" si="19"/>
        <v>15526672.530054748</v>
      </c>
      <c r="AB41" s="97">
        <f t="shared" si="20"/>
        <v>14750338.903552011</v>
      </c>
      <c r="AC41" s="97">
        <f t="shared" si="67"/>
        <v>13974005.277049271</v>
      </c>
      <c r="AD41" s="30">
        <f t="shared" si="68"/>
        <v>16655533.166607371</v>
      </c>
      <c r="AE41" s="30">
        <f t="shared" si="69"/>
        <v>15862412.539626069</v>
      </c>
      <c r="AF41" s="30">
        <f t="shared" si="70"/>
        <v>15069291.912644766</v>
      </c>
      <c r="AG41" s="30">
        <f t="shared" si="71"/>
        <v>14276171.285663459</v>
      </c>
      <c r="AH41" s="30">
        <f t="shared" si="72"/>
        <v>16816028.000226896</v>
      </c>
      <c r="AI41" s="30">
        <f t="shared" si="73"/>
        <v>16015264.762120854</v>
      </c>
      <c r="AJ41" s="30">
        <f t="shared" si="74"/>
        <v>15214501.524014812</v>
      </c>
      <c r="AK41" s="30">
        <f t="shared" si="75"/>
        <v>14413738.285908766</v>
      </c>
      <c r="AL41" s="97">
        <f t="shared" si="22"/>
        <v>17095903.916906618</v>
      </c>
      <c r="AM41" s="97">
        <f t="shared" si="23"/>
        <v>16281813.25419678</v>
      </c>
      <c r="AN41" s="97">
        <f t="shared" si="24"/>
        <v>15467722.59148694</v>
      </c>
      <c r="AO41" s="97">
        <f t="shared" si="25"/>
        <v>14653631.928777099</v>
      </c>
      <c r="AP41" s="97">
        <f t="shared" si="26"/>
        <v>17125065.158546776</v>
      </c>
      <c r="AQ41" s="97">
        <f t="shared" si="27"/>
        <v>16309585.865282644</v>
      </c>
      <c r="AR41" s="97">
        <f t="shared" si="28"/>
        <v>15494106.572018512</v>
      </c>
      <c r="AS41" s="97">
        <f t="shared" si="29"/>
        <v>14678627.278754376</v>
      </c>
      <c r="AT41" s="97">
        <f t="shared" si="76"/>
        <v>17405229.087489609</v>
      </c>
      <c r="AU41" s="97">
        <f t="shared" si="77"/>
        <v>16576408.654752009</v>
      </c>
      <c r="AV41" s="97">
        <f t="shared" si="78"/>
        <v>15747588.222014409</v>
      </c>
      <c r="AW41" s="97">
        <f t="shared" si="79"/>
        <v>14918767.789276805</v>
      </c>
      <c r="AX41" s="97">
        <f t="shared" si="80"/>
        <v>17760492.214039065</v>
      </c>
      <c r="AY41" s="97">
        <f t="shared" si="81"/>
        <v>16914754.489561014</v>
      </c>
      <c r="AZ41" s="97">
        <f t="shared" si="82"/>
        <v>16069016.765082963</v>
      </c>
      <c r="BA41" s="97">
        <f t="shared" si="83"/>
        <v>15223279.04060491</v>
      </c>
      <c r="BB41" s="142">
        <f t="shared" si="31"/>
        <v>18208495.289310794</v>
      </c>
      <c r="BC41" s="142">
        <f t="shared" si="32"/>
        <v>17341424.085057899</v>
      </c>
      <c r="BD41" s="142">
        <f t="shared" si="33"/>
        <v>16474352.880805003</v>
      </c>
      <c r="BE41" s="142">
        <f t="shared" si="34"/>
        <v>15607281.676552106</v>
      </c>
      <c r="BF41" s="154">
        <f t="shared" si="35"/>
        <v>18529700.965747181</v>
      </c>
      <c r="BG41" s="154">
        <f t="shared" si="36"/>
        <v>17647334.253092553</v>
      </c>
      <c r="BH41" s="154">
        <f t="shared" si="37"/>
        <v>16764967.540437924</v>
      </c>
      <c r="BI41" s="154">
        <f t="shared" si="37"/>
        <v>15791770.072952559</v>
      </c>
      <c r="BJ41" s="203">
        <f t="shared" si="38"/>
        <v>18748734.291844353</v>
      </c>
      <c r="BK41" s="203">
        <f t="shared" si="39"/>
        <v>17855937.420804147</v>
      </c>
      <c r="BL41" s="203">
        <f t="shared" si="40"/>
        <v>16963140.549763937</v>
      </c>
      <c r="BM41" s="203">
        <f t="shared" si="41"/>
        <v>15978439.244270246</v>
      </c>
      <c r="BN41" s="207">
        <f t="shared" si="42"/>
        <v>19915255.960516378</v>
      </c>
      <c r="BO41" s="207">
        <f t="shared" si="43"/>
        <v>18966910.438587029</v>
      </c>
      <c r="BP41" s="207">
        <f t="shared" si="44"/>
        <v>18018564.916657675</v>
      </c>
      <c r="BQ41" s="207">
        <f t="shared" si="45"/>
        <v>16972596.786846798</v>
      </c>
      <c r="BR41" s="203">
        <f t="shared" si="46"/>
        <v>21457777.638681971</v>
      </c>
      <c r="BS41" s="203">
        <f t="shared" si="47"/>
        <v>20435978.703506641</v>
      </c>
      <c r="BT41" s="203">
        <f t="shared" si="48"/>
        <v>19414179.768331304</v>
      </c>
      <c r="BU41" s="203">
        <f t="shared" si="49"/>
        <v>18287196.937122546</v>
      </c>
      <c r="BV41" s="154">
        <f t="shared" si="84"/>
        <v>22153255.251033247</v>
      </c>
      <c r="BW41" s="154">
        <f t="shared" si="50"/>
        <v>21098338.334317379</v>
      </c>
      <c r="BX41" s="154">
        <f t="shared" si="51"/>
        <v>20043421.417601507</v>
      </c>
      <c r="BY41" s="154">
        <f t="shared" si="52"/>
        <v>18879911.442631271</v>
      </c>
      <c r="BZ41" s="203">
        <f t="shared" si="85"/>
        <v>22728775.755798105</v>
      </c>
      <c r="CA41" s="203">
        <f t="shared" si="53"/>
        <v>21646453.100760102</v>
      </c>
      <c r="CB41" s="203">
        <f t="shared" si="54"/>
        <v>20564130.445722096</v>
      </c>
      <c r="CC41" s="203">
        <f t="shared" si="55"/>
        <v>19370393.588042933</v>
      </c>
      <c r="CD41" s="154">
        <f t="shared" si="86"/>
        <v>23341305.836372938</v>
      </c>
      <c r="CE41" s="154">
        <f t="shared" si="56"/>
        <v>22229815.082259942</v>
      </c>
      <c r="CF41" s="154">
        <f t="shared" si="57"/>
        <v>21118324.328146946</v>
      </c>
      <c r="CG41" s="154">
        <f t="shared" si="58"/>
        <v>19892416.809739046</v>
      </c>
    </row>
    <row r="42" spans="1:85" ht="15" x14ac:dyDescent="0.4">
      <c r="A42" s="4" t="s">
        <v>39</v>
      </c>
      <c r="B42" s="30">
        <f t="shared" si="87"/>
        <v>12483163.77</v>
      </c>
      <c r="C42" s="30">
        <f t="shared" si="88"/>
        <v>11888727.4</v>
      </c>
      <c r="D42" s="30">
        <f t="shared" si="89"/>
        <v>11294291.029999999</v>
      </c>
      <c r="E42" s="30">
        <f t="shared" si="90"/>
        <v>10699854.66</v>
      </c>
      <c r="F42" s="28">
        <f t="shared" si="4"/>
        <v>12646096.63045181</v>
      </c>
      <c r="G42" s="28">
        <f t="shared" si="5"/>
        <v>12043901.552811246</v>
      </c>
      <c r="H42" s="28">
        <f t="shared" si="6"/>
        <v>11441706.475170683</v>
      </c>
      <c r="I42" s="28">
        <f t="shared" si="7"/>
        <v>10839511.397530122</v>
      </c>
      <c r="J42" s="30">
        <f t="shared" si="8"/>
        <v>13093284.66590723</v>
      </c>
      <c r="K42" s="30">
        <f t="shared" si="9"/>
        <v>12469794.919911647</v>
      </c>
      <c r="L42" s="30">
        <f t="shared" si="10"/>
        <v>11846305.173916064</v>
      </c>
      <c r="M42" s="30">
        <f t="shared" si="11"/>
        <v>11222815.427920483</v>
      </c>
      <c r="N42" s="28">
        <f t="shared" si="61"/>
        <v>13571868.61024202</v>
      </c>
      <c r="O42" s="28">
        <f t="shared" si="62"/>
        <v>12925589.152611447</v>
      </c>
      <c r="P42" s="28">
        <f t="shared" si="12"/>
        <v>12279309.694980875</v>
      </c>
      <c r="Q42" s="28">
        <f t="shared" si="13"/>
        <v>11633030.237350304</v>
      </c>
      <c r="R42" s="30">
        <f t="shared" si="63"/>
        <v>13571868.61024202</v>
      </c>
      <c r="S42" s="30">
        <f t="shared" si="14"/>
        <v>12925589.152611447</v>
      </c>
      <c r="T42" s="30">
        <f t="shared" si="15"/>
        <v>12279309.694980875</v>
      </c>
      <c r="U42" s="30">
        <f t="shared" si="64"/>
        <v>11633030.237350304</v>
      </c>
      <c r="V42" s="97">
        <f t="shared" si="65"/>
        <v>13730956.371929681</v>
      </c>
      <c r="W42" s="97">
        <f t="shared" si="16"/>
        <v>13077101.306599695</v>
      </c>
      <c r="X42" s="97">
        <f t="shared" si="17"/>
        <v>12423246.24126971</v>
      </c>
      <c r="Y42" s="97">
        <f t="shared" si="18"/>
        <v>11769391.175939726</v>
      </c>
      <c r="Z42" s="97">
        <f t="shared" si="66"/>
        <v>14215000.035154566</v>
      </c>
      <c r="AA42" s="97">
        <f t="shared" si="19"/>
        <v>13538095.271575775</v>
      </c>
      <c r="AB42" s="97">
        <f t="shared" si="20"/>
        <v>12861190.507996986</v>
      </c>
      <c r="AC42" s="97">
        <f t="shared" si="67"/>
        <v>12184285.744418198</v>
      </c>
      <c r="AD42" s="30">
        <f t="shared" si="68"/>
        <v>14522377.17849426</v>
      </c>
      <c r="AE42" s="30">
        <f t="shared" si="69"/>
        <v>13830835.408089768</v>
      </c>
      <c r="AF42" s="30">
        <f t="shared" si="70"/>
        <v>13139293.63768528</v>
      </c>
      <c r="AG42" s="30">
        <f t="shared" si="71"/>
        <v>12447751.867280792</v>
      </c>
      <c r="AH42" s="30">
        <f t="shared" si="72"/>
        <v>14662316.650002465</v>
      </c>
      <c r="AI42" s="30">
        <f t="shared" si="73"/>
        <v>13964111.095240438</v>
      </c>
      <c r="AJ42" s="30">
        <f t="shared" si="74"/>
        <v>13265905.540478418</v>
      </c>
      <c r="AK42" s="30">
        <f t="shared" si="75"/>
        <v>12567699.985716397</v>
      </c>
      <c r="AL42" s="97">
        <f t="shared" si="22"/>
        <v>14906347.482551768</v>
      </c>
      <c r="AM42" s="97">
        <f t="shared" si="23"/>
        <v>14196521.41195406</v>
      </c>
      <c r="AN42" s="97">
        <f t="shared" si="24"/>
        <v>13486695.341356359</v>
      </c>
      <c r="AO42" s="97">
        <f t="shared" si="25"/>
        <v>12776869.270758657</v>
      </c>
      <c r="AP42" s="97">
        <f t="shared" si="26"/>
        <v>14931773.900658913</v>
      </c>
      <c r="AQ42" s="97">
        <f t="shared" si="27"/>
        <v>14220737.048246579</v>
      </c>
      <c r="AR42" s="97">
        <f t="shared" si="28"/>
        <v>13509700.195834253</v>
      </c>
      <c r="AS42" s="97">
        <f t="shared" si="29"/>
        <v>12798663.343421923</v>
      </c>
      <c r="AT42" s="97">
        <f t="shared" si="76"/>
        <v>15176055.858325325</v>
      </c>
      <c r="AU42" s="97">
        <f t="shared" si="77"/>
        <v>14453386.5317384</v>
      </c>
      <c r="AV42" s="97">
        <f t="shared" si="78"/>
        <v>13730717.205151482</v>
      </c>
      <c r="AW42" s="97">
        <f t="shared" si="79"/>
        <v>13008047.878564561</v>
      </c>
      <c r="AX42" s="97">
        <f t="shared" si="80"/>
        <v>15485818.690277539</v>
      </c>
      <c r="AY42" s="97">
        <f t="shared" si="81"/>
        <v>14748398.752645271</v>
      </c>
      <c r="AZ42" s="97">
        <f t="shared" si="82"/>
        <v>14010978.815013008</v>
      </c>
      <c r="BA42" s="97">
        <f t="shared" si="83"/>
        <v>13273558.877380744</v>
      </c>
      <c r="BB42" s="142">
        <f t="shared" si="31"/>
        <v>15876443.809938397</v>
      </c>
      <c r="BC42" s="142">
        <f t="shared" si="32"/>
        <v>15120422.676131802</v>
      </c>
      <c r="BD42" s="142">
        <f t="shared" si="33"/>
        <v>14364401.542325214</v>
      </c>
      <c r="BE42" s="142">
        <f t="shared" si="34"/>
        <v>13608380.408518622</v>
      </c>
      <c r="BF42" s="154">
        <f t="shared" si="35"/>
        <v>16156511.096792642</v>
      </c>
      <c r="BG42" s="154">
        <f t="shared" si="36"/>
        <v>15387153.425516795</v>
      </c>
      <c r="BH42" s="154">
        <f t="shared" si="37"/>
        <v>14617795.754240958</v>
      </c>
      <c r="BI42" s="154">
        <f t="shared" si="37"/>
        <v>13769240.469303377</v>
      </c>
      <c r="BJ42" s="203">
        <f t="shared" si="38"/>
        <v>16347491.748352965</v>
      </c>
      <c r="BK42" s="203">
        <f t="shared" si="39"/>
        <v>15569039.760336151</v>
      </c>
      <c r="BL42" s="203">
        <f t="shared" si="40"/>
        <v>14790587.772319347</v>
      </c>
      <c r="BM42" s="203">
        <f t="shared" si="41"/>
        <v>13932002.002444055</v>
      </c>
      <c r="BN42" s="207">
        <f t="shared" si="42"/>
        <v>17364611.253917996</v>
      </c>
      <c r="BO42" s="207">
        <f t="shared" si="43"/>
        <v>16537725.003731418</v>
      </c>
      <c r="BP42" s="207">
        <f t="shared" si="44"/>
        <v>15710838.75354485</v>
      </c>
      <c r="BQ42" s="207">
        <f t="shared" si="45"/>
        <v>14798832.902645281</v>
      </c>
      <c r="BR42" s="203">
        <f t="shared" si="46"/>
        <v>18709574.599866986</v>
      </c>
      <c r="BS42" s="203">
        <f t="shared" si="47"/>
        <v>17818642.476063792</v>
      </c>
      <c r="BT42" s="203">
        <f t="shared" si="48"/>
        <v>16927710.352260605</v>
      </c>
      <c r="BU42" s="203">
        <f t="shared" si="49"/>
        <v>15945065.750926919</v>
      </c>
      <c r="BV42" s="154">
        <f t="shared" si="84"/>
        <v>19315978.976402543</v>
      </c>
      <c r="BW42" s="154">
        <f t="shared" si="50"/>
        <v>18396170.453716703</v>
      </c>
      <c r="BX42" s="154">
        <f t="shared" si="51"/>
        <v>17476361.931030869</v>
      </c>
      <c r="BY42" s="154">
        <f t="shared" si="52"/>
        <v>16461868.396753943</v>
      </c>
      <c r="BZ42" s="203">
        <f t="shared" si="85"/>
        <v>19817789.741662793</v>
      </c>
      <c r="CA42" s="203">
        <f t="shared" si="53"/>
        <v>18874085.468250271</v>
      </c>
      <c r="CB42" s="203">
        <f t="shared" si="54"/>
        <v>17930381.19483776</v>
      </c>
      <c r="CC42" s="203">
        <f t="shared" si="55"/>
        <v>16889532.083273813</v>
      </c>
      <c r="CD42" s="154">
        <f t="shared" si="86"/>
        <v>20351870.084471364</v>
      </c>
      <c r="CE42" s="154">
        <f t="shared" si="56"/>
        <v>19382733.413782243</v>
      </c>
      <c r="CF42" s="154">
        <f t="shared" si="57"/>
        <v>18413596.743093137</v>
      </c>
      <c r="CG42" s="154">
        <f t="shared" si="58"/>
        <v>17344697.22542626</v>
      </c>
    </row>
    <row r="43" spans="1:85" ht="15" x14ac:dyDescent="0.4">
      <c r="A43" s="4" t="s">
        <v>40</v>
      </c>
      <c r="B43" s="30">
        <f t="shared" si="87"/>
        <v>41344076.865000002</v>
      </c>
      <c r="C43" s="30">
        <f t="shared" si="88"/>
        <v>39375311.300000004</v>
      </c>
      <c r="D43" s="30">
        <f t="shared" si="89"/>
        <v>37406545.734999999</v>
      </c>
      <c r="E43" s="30">
        <f t="shared" si="90"/>
        <v>35437780.170000002</v>
      </c>
      <c r="F43" s="28">
        <f t="shared" si="4"/>
        <v>41883708.390346393</v>
      </c>
      <c r="G43" s="28">
        <f t="shared" si="5"/>
        <v>39889246.086044185</v>
      </c>
      <c r="H43" s="28">
        <f t="shared" si="6"/>
        <v>37894783.781741977</v>
      </c>
      <c r="I43" s="28">
        <f t="shared" si="7"/>
        <v>35900321.477439769</v>
      </c>
      <c r="J43" s="30">
        <f t="shared" si="8"/>
        <v>43364789.376835547</v>
      </c>
      <c r="K43" s="30">
        <f t="shared" si="9"/>
        <v>41299799.406510048</v>
      </c>
      <c r="L43" s="30">
        <f t="shared" si="10"/>
        <v>39234809.436184548</v>
      </c>
      <c r="M43" s="30">
        <f t="shared" si="11"/>
        <v>37169819.465859041</v>
      </c>
      <c r="N43" s="28">
        <f t="shared" si="61"/>
        <v>44949853.20724722</v>
      </c>
      <c r="O43" s="28">
        <f t="shared" si="62"/>
        <v>42809384.006902121</v>
      </c>
      <c r="P43" s="28">
        <f t="shared" si="12"/>
        <v>40668914.806557015</v>
      </c>
      <c r="Q43" s="28">
        <f t="shared" si="13"/>
        <v>38528445.606211901</v>
      </c>
      <c r="R43" s="30">
        <f t="shared" si="63"/>
        <v>44949853.20724722</v>
      </c>
      <c r="S43" s="30">
        <f t="shared" si="14"/>
        <v>42809384.006902121</v>
      </c>
      <c r="T43" s="30">
        <f t="shared" si="15"/>
        <v>40668914.806557015</v>
      </c>
      <c r="U43" s="30">
        <f t="shared" si="64"/>
        <v>38528445.606211901</v>
      </c>
      <c r="V43" s="97">
        <f t="shared" si="65"/>
        <v>45476749.815245129</v>
      </c>
      <c r="W43" s="97">
        <f t="shared" si="16"/>
        <v>43311190.300233468</v>
      </c>
      <c r="X43" s="97">
        <f t="shared" si="17"/>
        <v>41145630.785221793</v>
      </c>
      <c r="Y43" s="97">
        <f t="shared" si="18"/>
        <v>38980071.27021011</v>
      </c>
      <c r="Z43" s="97">
        <f t="shared" si="66"/>
        <v>47079896.163968056</v>
      </c>
      <c r="AA43" s="97">
        <f t="shared" si="19"/>
        <v>44837996.346636251</v>
      </c>
      <c r="AB43" s="97">
        <f t="shared" si="20"/>
        <v>42596096.529304437</v>
      </c>
      <c r="AC43" s="97">
        <f t="shared" si="67"/>
        <v>40354196.711972617</v>
      </c>
      <c r="AD43" s="30">
        <f t="shared" si="68"/>
        <v>48097925.285024792</v>
      </c>
      <c r="AE43" s="30">
        <f t="shared" si="69"/>
        <v>45807547.890499808</v>
      </c>
      <c r="AF43" s="30">
        <f t="shared" si="70"/>
        <v>43517170.495974816</v>
      </c>
      <c r="AG43" s="30">
        <f t="shared" si="71"/>
        <v>41226793.101449817</v>
      </c>
      <c r="AH43" s="30">
        <f t="shared" si="72"/>
        <v>48561403.003741182</v>
      </c>
      <c r="AI43" s="30">
        <f t="shared" si="73"/>
        <v>46248955.241658278</v>
      </c>
      <c r="AJ43" s="30">
        <f t="shared" si="74"/>
        <v>43936507.479575358</v>
      </c>
      <c r="AK43" s="30">
        <f t="shared" si="75"/>
        <v>41624059.717492439</v>
      </c>
      <c r="AL43" s="97">
        <f t="shared" si="22"/>
        <v>49369629.963207595</v>
      </c>
      <c r="AM43" s="97">
        <f t="shared" si="23"/>
        <v>47018695.20305486</v>
      </c>
      <c r="AN43" s="97">
        <f t="shared" si="24"/>
        <v>44667760.442902111</v>
      </c>
      <c r="AO43" s="97">
        <f t="shared" si="25"/>
        <v>42316825.682749361</v>
      </c>
      <c r="AP43" s="97">
        <f t="shared" si="26"/>
        <v>49453841.930942073</v>
      </c>
      <c r="AQ43" s="97">
        <f t="shared" si="27"/>
        <v>47098897.077087693</v>
      </c>
      <c r="AR43" s="97">
        <f t="shared" si="28"/>
        <v>44743952.223233305</v>
      </c>
      <c r="AS43" s="97">
        <f t="shared" si="29"/>
        <v>42389007.369378909</v>
      </c>
      <c r="AT43" s="97">
        <f t="shared" si="76"/>
        <v>50262900.613546602</v>
      </c>
      <c r="AU43" s="97">
        <f t="shared" si="77"/>
        <v>47869429.155758671</v>
      </c>
      <c r="AV43" s="97">
        <f t="shared" si="78"/>
        <v>45475957.697970733</v>
      </c>
      <c r="AW43" s="97">
        <f t="shared" si="79"/>
        <v>43082486.240182795</v>
      </c>
      <c r="AX43" s="97">
        <f t="shared" si="80"/>
        <v>51288831.104415461</v>
      </c>
      <c r="AY43" s="97">
        <f t="shared" si="81"/>
        <v>48846505.813729011</v>
      </c>
      <c r="AZ43" s="97">
        <f t="shared" si="82"/>
        <v>46404180.523042552</v>
      </c>
      <c r="BA43" s="97">
        <f t="shared" si="83"/>
        <v>43961855.232356101</v>
      </c>
      <c r="BB43" s="142">
        <f t="shared" si="31"/>
        <v>52582576.445758387</v>
      </c>
      <c r="BC43" s="142">
        <f t="shared" si="32"/>
        <v>50078644.234055609</v>
      </c>
      <c r="BD43" s="142">
        <f t="shared" si="33"/>
        <v>47574712.022352822</v>
      </c>
      <c r="BE43" s="142">
        <f t="shared" si="34"/>
        <v>45070779.810650043</v>
      </c>
      <c r="BF43" s="154">
        <f t="shared" si="35"/>
        <v>53510155.675544769</v>
      </c>
      <c r="BG43" s="154">
        <f t="shared" si="36"/>
        <v>50962053.024328351</v>
      </c>
      <c r="BH43" s="154">
        <f t="shared" si="37"/>
        <v>48413950.373111926</v>
      </c>
      <c r="BI43" s="154">
        <f t="shared" si="37"/>
        <v>45603546.250322692</v>
      </c>
      <c r="BJ43" s="203">
        <f t="shared" si="38"/>
        <v>54142681.122083694</v>
      </c>
      <c r="BK43" s="203">
        <f t="shared" si="39"/>
        <v>51564458.211508282</v>
      </c>
      <c r="BL43" s="203">
        <f t="shared" si="40"/>
        <v>48986235.300932862</v>
      </c>
      <c r="BM43" s="203">
        <f t="shared" si="41"/>
        <v>46142610.341831714</v>
      </c>
      <c r="BN43" s="207">
        <f t="shared" si="42"/>
        <v>57511367.762247145</v>
      </c>
      <c r="BO43" s="207">
        <f t="shared" si="43"/>
        <v>54772731.202140138</v>
      </c>
      <c r="BP43" s="207">
        <f t="shared" si="44"/>
        <v>52034094.64203313</v>
      </c>
      <c r="BQ43" s="207">
        <f t="shared" si="45"/>
        <v>49013543.065874368</v>
      </c>
      <c r="BR43" s="203">
        <f t="shared" si="46"/>
        <v>61965868.959223963</v>
      </c>
      <c r="BS43" s="203">
        <f t="shared" si="47"/>
        <v>59015113.294499017</v>
      </c>
      <c r="BT43" s="203">
        <f t="shared" si="48"/>
        <v>56064357.629774064</v>
      </c>
      <c r="BU43" s="203">
        <f t="shared" si="49"/>
        <v>52809851.426294439</v>
      </c>
      <c r="BV43" s="154">
        <f t="shared" si="84"/>
        <v>63974272.406994998</v>
      </c>
      <c r="BW43" s="154">
        <f t="shared" si="50"/>
        <v>60927878.482852384</v>
      </c>
      <c r="BX43" s="154">
        <f t="shared" si="51"/>
        <v>57881484.558709763</v>
      </c>
      <c r="BY43" s="154">
        <f t="shared" si="52"/>
        <v>54521495.10147053</v>
      </c>
      <c r="BZ43" s="203">
        <f t="shared" si="85"/>
        <v>65636263.167739794</v>
      </c>
      <c r="CA43" s="203">
        <f t="shared" si="53"/>
        <v>62510726.826418854</v>
      </c>
      <c r="CB43" s="203">
        <f t="shared" si="54"/>
        <v>59385190.485097915</v>
      </c>
      <c r="CC43" s="203">
        <f t="shared" si="55"/>
        <v>55937911.696944445</v>
      </c>
      <c r="CD43" s="154">
        <f t="shared" si="86"/>
        <v>67405130.351732776</v>
      </c>
      <c r="CE43" s="154">
        <f t="shared" si="56"/>
        <v>64195362.239745505</v>
      </c>
      <c r="CF43" s="154">
        <f t="shared" si="57"/>
        <v>60985594.127758235</v>
      </c>
      <c r="CG43" s="154">
        <f t="shared" si="58"/>
        <v>57445412.757584572</v>
      </c>
    </row>
    <row r="44" spans="1:85" ht="15" x14ac:dyDescent="0.4">
      <c r="A44" s="4" t="s">
        <v>41</v>
      </c>
      <c r="B44" s="30">
        <f t="shared" si="87"/>
        <v>4232777.9550000001</v>
      </c>
      <c r="C44" s="30">
        <f t="shared" si="88"/>
        <v>4031217.1</v>
      </c>
      <c r="D44" s="30">
        <f t="shared" si="89"/>
        <v>3829656.2450000001</v>
      </c>
      <c r="E44" s="30">
        <f t="shared" si="90"/>
        <v>3628095.3899999997</v>
      </c>
      <c r="F44" s="28">
        <f t="shared" si="4"/>
        <v>4288025.0568222897</v>
      </c>
      <c r="G44" s="28">
        <f t="shared" si="5"/>
        <v>4083833.3874498</v>
      </c>
      <c r="H44" s="28">
        <f t="shared" si="6"/>
        <v>3879641.7180773099</v>
      </c>
      <c r="I44" s="28">
        <f t="shared" si="7"/>
        <v>3675450.0487048198</v>
      </c>
      <c r="J44" s="30">
        <f t="shared" si="8"/>
        <v>4439657.1024391567</v>
      </c>
      <c r="K44" s="30">
        <f t="shared" si="9"/>
        <v>4228244.8594658645</v>
      </c>
      <c r="L44" s="30">
        <f t="shared" si="10"/>
        <v>4016832.6164925708</v>
      </c>
      <c r="M44" s="30">
        <f t="shared" si="11"/>
        <v>3805420.3735192772</v>
      </c>
      <c r="N44" s="28">
        <f t="shared" si="61"/>
        <v>4601934.8395994734</v>
      </c>
      <c r="O44" s="28">
        <f t="shared" si="62"/>
        <v>4382795.0853328323</v>
      </c>
      <c r="P44" s="28">
        <f t="shared" si="12"/>
        <v>4163655.3310661907</v>
      </c>
      <c r="Q44" s="28">
        <f t="shared" si="13"/>
        <v>3944515.5767995482</v>
      </c>
      <c r="R44" s="30">
        <f t="shared" si="63"/>
        <v>4601934.8395994734</v>
      </c>
      <c r="S44" s="30">
        <f t="shared" si="14"/>
        <v>4382795.0853328323</v>
      </c>
      <c r="T44" s="30">
        <f t="shared" si="15"/>
        <v>4163655.3310661907</v>
      </c>
      <c r="U44" s="30">
        <f t="shared" si="64"/>
        <v>3944515.5767995482</v>
      </c>
      <c r="V44" s="97">
        <f t="shared" si="65"/>
        <v>4655878.1494036848</v>
      </c>
      <c r="W44" s="97">
        <f t="shared" si="16"/>
        <v>4434169.6660987483</v>
      </c>
      <c r="X44" s="97">
        <f t="shared" si="17"/>
        <v>4212461.182793811</v>
      </c>
      <c r="Y44" s="97">
        <f t="shared" si="18"/>
        <v>3990752.6994888727</v>
      </c>
      <c r="Z44" s="97">
        <f t="shared" si="66"/>
        <v>4820007.1622649599</v>
      </c>
      <c r="AA44" s="97">
        <f t="shared" si="19"/>
        <v>4590483.011680915</v>
      </c>
      <c r="AB44" s="97">
        <f t="shared" si="20"/>
        <v>4360958.8610968692</v>
      </c>
      <c r="AC44" s="97">
        <f t="shared" si="67"/>
        <v>4131434.710512823</v>
      </c>
      <c r="AD44" s="30">
        <f t="shared" si="68"/>
        <v>4924232.2786033265</v>
      </c>
      <c r="AE44" s="30">
        <f t="shared" si="69"/>
        <v>4689745.0272412635</v>
      </c>
      <c r="AF44" s="30">
        <f t="shared" si="70"/>
        <v>4455257.7758792005</v>
      </c>
      <c r="AG44" s="30">
        <f t="shared" si="71"/>
        <v>4220770.5245171366</v>
      </c>
      <c r="AH44" s="30">
        <f t="shared" si="72"/>
        <v>4971682.8064460997</v>
      </c>
      <c r="AI44" s="30">
        <f t="shared" si="73"/>
        <v>4734936.0061391424</v>
      </c>
      <c r="AJ44" s="30">
        <f t="shared" si="74"/>
        <v>4498189.2058321852</v>
      </c>
      <c r="AK44" s="30">
        <f t="shared" si="75"/>
        <v>4261442.405525228</v>
      </c>
      <c r="AL44" s="97">
        <f t="shared" si="22"/>
        <v>5054428.5227874462</v>
      </c>
      <c r="AM44" s="97">
        <f t="shared" si="23"/>
        <v>4813741.4502737578</v>
      </c>
      <c r="AN44" s="97">
        <f t="shared" si="24"/>
        <v>4573054.3777600694</v>
      </c>
      <c r="AO44" s="97">
        <f t="shared" si="25"/>
        <v>4332367.305246382</v>
      </c>
      <c r="AP44" s="97">
        <f t="shared" si="26"/>
        <v>5063050.0857198481</v>
      </c>
      <c r="AQ44" s="97">
        <f t="shared" si="27"/>
        <v>4821952.4625903312</v>
      </c>
      <c r="AR44" s="97">
        <f t="shared" si="28"/>
        <v>4580854.8394608144</v>
      </c>
      <c r="AS44" s="97">
        <f t="shared" si="29"/>
        <v>4339757.2163312975</v>
      </c>
      <c r="AT44" s="97">
        <f t="shared" si="76"/>
        <v>5145880.9533000328</v>
      </c>
      <c r="AU44" s="97">
        <f t="shared" si="77"/>
        <v>4900839.0031428877</v>
      </c>
      <c r="AV44" s="97">
        <f t="shared" si="78"/>
        <v>4655797.0529857436</v>
      </c>
      <c r="AW44" s="97">
        <f t="shared" si="79"/>
        <v>4410755.1028285986</v>
      </c>
      <c r="AX44" s="97">
        <f t="shared" si="80"/>
        <v>5250915.0064073643</v>
      </c>
      <c r="AY44" s="97">
        <f t="shared" si="81"/>
        <v>5000871.43467368</v>
      </c>
      <c r="AZ44" s="97">
        <f t="shared" si="82"/>
        <v>4750827.8629399966</v>
      </c>
      <c r="BA44" s="97">
        <f t="shared" si="83"/>
        <v>4500784.2912063114</v>
      </c>
      <c r="BB44" s="142">
        <f t="shared" si="31"/>
        <v>5383367.7584207039</v>
      </c>
      <c r="BC44" s="142">
        <f t="shared" si="32"/>
        <v>5127016.9127816223</v>
      </c>
      <c r="BD44" s="142">
        <f t="shared" si="33"/>
        <v>4870666.0671425425</v>
      </c>
      <c r="BE44" s="142">
        <f t="shared" si="34"/>
        <v>4614315.2215034598</v>
      </c>
      <c r="BF44" s="154">
        <f t="shared" si="35"/>
        <v>5478332.6775353802</v>
      </c>
      <c r="BG44" s="154">
        <f t="shared" si="36"/>
        <v>5217459.6928908378</v>
      </c>
      <c r="BH44" s="154">
        <f t="shared" si="37"/>
        <v>4956586.7082462972</v>
      </c>
      <c r="BI44" s="154">
        <f t="shared" si="37"/>
        <v>4668859.4806091525</v>
      </c>
      <c r="BJ44" s="203">
        <f t="shared" si="38"/>
        <v>5543090.1946720853</v>
      </c>
      <c r="BK44" s="203">
        <f t="shared" si="39"/>
        <v>5279133.5187353194</v>
      </c>
      <c r="BL44" s="203">
        <f t="shared" si="40"/>
        <v>5015176.8427985543</v>
      </c>
      <c r="BM44" s="203">
        <f t="shared" si="41"/>
        <v>4724048.488948171</v>
      </c>
      <c r="BN44" s="207">
        <f t="shared" si="42"/>
        <v>5887973.9997778609</v>
      </c>
      <c r="BO44" s="207">
        <f t="shared" si="43"/>
        <v>5607594.2855027253</v>
      </c>
      <c r="BP44" s="207">
        <f t="shared" si="44"/>
        <v>5327214.5712275896</v>
      </c>
      <c r="BQ44" s="207">
        <f t="shared" si="45"/>
        <v>5017972.5928602163</v>
      </c>
      <c r="BR44" s="203">
        <f t="shared" si="46"/>
        <v>6344022.7471873434</v>
      </c>
      <c r="BS44" s="203">
        <f t="shared" si="47"/>
        <v>6041926.4258927079</v>
      </c>
      <c r="BT44" s="203">
        <f t="shared" si="48"/>
        <v>5739830.1045980733</v>
      </c>
      <c r="BU44" s="203">
        <f t="shared" si="49"/>
        <v>5406636.013519912</v>
      </c>
      <c r="BV44" s="154">
        <f t="shared" si="84"/>
        <v>6549641.7011726946</v>
      </c>
      <c r="BW44" s="154">
        <f t="shared" si="50"/>
        <v>6237754.0011168513</v>
      </c>
      <c r="BX44" s="154">
        <f t="shared" si="51"/>
        <v>5925866.30106101</v>
      </c>
      <c r="BY44" s="154">
        <f t="shared" si="52"/>
        <v>5581872.9075194448</v>
      </c>
      <c r="BZ44" s="203">
        <f t="shared" si="85"/>
        <v>6719795.1641817968</v>
      </c>
      <c r="CA44" s="203">
        <f t="shared" si="53"/>
        <v>6399804.918268377</v>
      </c>
      <c r="CB44" s="203">
        <f t="shared" si="54"/>
        <v>6079814.6723549599</v>
      </c>
      <c r="CC44" s="203">
        <f t="shared" si="55"/>
        <v>5726884.6575699961</v>
      </c>
      <c r="CD44" s="154">
        <f t="shared" si="86"/>
        <v>6900890.5613816502</v>
      </c>
      <c r="CE44" s="154">
        <f t="shared" si="56"/>
        <v>6572276.7251253799</v>
      </c>
      <c r="CF44" s="154">
        <f t="shared" si="57"/>
        <v>6243662.8888691124</v>
      </c>
      <c r="CG44" s="154">
        <f t="shared" si="58"/>
        <v>5881221.5720801968</v>
      </c>
    </row>
    <row r="45" spans="1:85" ht="15" x14ac:dyDescent="0.4">
      <c r="A45" s="4" t="s">
        <v>42</v>
      </c>
      <c r="B45" s="30">
        <f t="shared" si="87"/>
        <v>16953796.965</v>
      </c>
      <c r="C45" s="30">
        <f t="shared" si="88"/>
        <v>16146473.300000001</v>
      </c>
      <c r="D45" s="30">
        <f t="shared" si="89"/>
        <v>15339149.635</v>
      </c>
      <c r="E45" s="30">
        <f t="shared" si="90"/>
        <v>14531825.969999999</v>
      </c>
      <c r="F45" s="28">
        <f t="shared" si="4"/>
        <v>17175081.463539161</v>
      </c>
      <c r="G45" s="28">
        <f t="shared" si="5"/>
        <v>16357220.441465868</v>
      </c>
      <c r="H45" s="28">
        <f t="shared" si="6"/>
        <v>15539359.419392573</v>
      </c>
      <c r="I45" s="28">
        <f t="shared" si="7"/>
        <v>14721498.397319278</v>
      </c>
      <c r="J45" s="30">
        <f t="shared" si="8"/>
        <v>17782422.302606631</v>
      </c>
      <c r="K45" s="30">
        <f t="shared" si="9"/>
        <v>16935640.288196791</v>
      </c>
      <c r="L45" s="30">
        <f t="shared" si="10"/>
        <v>16088858.273786949</v>
      </c>
      <c r="M45" s="30">
        <f t="shared" si="11"/>
        <v>15242076.259377109</v>
      </c>
      <c r="N45" s="28">
        <f t="shared" si="61"/>
        <v>18432402.962354146</v>
      </c>
      <c r="O45" s="28">
        <f t="shared" si="62"/>
        <v>17554669.48795633</v>
      </c>
      <c r="P45" s="28">
        <f t="shared" si="12"/>
        <v>16676936.013558511</v>
      </c>
      <c r="Q45" s="28">
        <f t="shared" si="13"/>
        <v>15799202.539160693</v>
      </c>
      <c r="R45" s="30">
        <f t="shared" si="63"/>
        <v>18432402.962354146</v>
      </c>
      <c r="S45" s="30">
        <f t="shared" si="14"/>
        <v>17554669.48795633</v>
      </c>
      <c r="T45" s="30">
        <f t="shared" si="15"/>
        <v>16676936.013558511</v>
      </c>
      <c r="U45" s="30">
        <f t="shared" si="64"/>
        <v>15799202.539160693</v>
      </c>
      <c r="V45" s="97">
        <f t="shared" si="65"/>
        <v>18648465.305279642</v>
      </c>
      <c r="W45" s="97">
        <f t="shared" si="16"/>
        <v>17760443.147885375</v>
      </c>
      <c r="X45" s="97">
        <f t="shared" si="17"/>
        <v>16872420.990491103</v>
      </c>
      <c r="Y45" s="97">
        <f t="shared" si="18"/>
        <v>15984398.833096834</v>
      </c>
      <c r="Z45" s="97">
        <f t="shared" si="66"/>
        <v>19305860.989555724</v>
      </c>
      <c r="AA45" s="97">
        <f t="shared" si="19"/>
        <v>18386534.275767356</v>
      </c>
      <c r="AB45" s="97">
        <f t="shared" si="20"/>
        <v>17467207.561978985</v>
      </c>
      <c r="AC45" s="97">
        <f t="shared" si="67"/>
        <v>16547880.848190617</v>
      </c>
      <c r="AD45" s="30">
        <f t="shared" si="68"/>
        <v>19723320.038870342</v>
      </c>
      <c r="AE45" s="30">
        <f t="shared" si="69"/>
        <v>18784114.322733659</v>
      </c>
      <c r="AF45" s="30">
        <f t="shared" si="70"/>
        <v>17844908.606596973</v>
      </c>
      <c r="AG45" s="30">
        <f t="shared" si="71"/>
        <v>16905702.89046029</v>
      </c>
      <c r="AH45" s="30">
        <f t="shared" si="72"/>
        <v>19913376.456542376</v>
      </c>
      <c r="AI45" s="30">
        <f t="shared" si="73"/>
        <v>18965120.43480226</v>
      </c>
      <c r="AJ45" s="30">
        <f t="shared" si="74"/>
        <v>18016864.413062144</v>
      </c>
      <c r="AK45" s="30">
        <f t="shared" si="75"/>
        <v>17068608.391322032</v>
      </c>
      <c r="AL45" s="97">
        <f t="shared" si="22"/>
        <v>20244802.789198816</v>
      </c>
      <c r="AM45" s="97">
        <f t="shared" si="23"/>
        <v>19280764.561141726</v>
      </c>
      <c r="AN45" s="97">
        <f t="shared" si="24"/>
        <v>18316726.333084635</v>
      </c>
      <c r="AO45" s="97">
        <f t="shared" si="25"/>
        <v>17352688.105027549</v>
      </c>
      <c r="AP45" s="97">
        <f t="shared" si="26"/>
        <v>20279335.247322269</v>
      </c>
      <c r="AQ45" s="97">
        <f t="shared" si="27"/>
        <v>19313652.616497394</v>
      </c>
      <c r="AR45" s="97">
        <f t="shared" si="28"/>
        <v>18347969.985672522</v>
      </c>
      <c r="AS45" s="97">
        <f t="shared" si="29"/>
        <v>17382287.354847651</v>
      </c>
      <c r="AT45" s="97">
        <f t="shared" si="76"/>
        <v>20611102.641293507</v>
      </c>
      <c r="AU45" s="97">
        <f t="shared" si="77"/>
        <v>19629621.563136667</v>
      </c>
      <c r="AV45" s="97">
        <f t="shared" si="78"/>
        <v>18648140.484979831</v>
      </c>
      <c r="AW45" s="97">
        <f t="shared" si="79"/>
        <v>17666659.406822998</v>
      </c>
      <c r="AX45" s="97">
        <f t="shared" si="80"/>
        <v>21031801.773098718</v>
      </c>
      <c r="AY45" s="97">
        <f t="shared" si="81"/>
        <v>20030287.402951151</v>
      </c>
      <c r="AZ45" s="97">
        <f t="shared" si="82"/>
        <v>19028773.032803591</v>
      </c>
      <c r="BA45" s="97">
        <f t="shared" si="83"/>
        <v>18027258.662656035</v>
      </c>
      <c r="BB45" s="142">
        <f t="shared" si="31"/>
        <v>21562322.648269374</v>
      </c>
      <c r="BC45" s="142">
        <f t="shared" si="32"/>
        <v>20535545.379304156</v>
      </c>
      <c r="BD45" s="142">
        <f t="shared" si="33"/>
        <v>19508768.110338945</v>
      </c>
      <c r="BE45" s="142">
        <f t="shared" si="34"/>
        <v>18481990.841373738</v>
      </c>
      <c r="BF45" s="154">
        <f t="shared" si="35"/>
        <v>21942691.279599544</v>
      </c>
      <c r="BG45" s="154">
        <f t="shared" si="36"/>
        <v>20897801.218666222</v>
      </c>
      <c r="BH45" s="154">
        <f t="shared" si="37"/>
        <v>19852911.157732908</v>
      </c>
      <c r="BI45" s="154">
        <f t="shared" si="37"/>
        <v>18700460.202232111</v>
      </c>
      <c r="BJ45" s="203">
        <f t="shared" si="38"/>
        <v>22202068.409504581</v>
      </c>
      <c r="BK45" s="203">
        <f t="shared" si="39"/>
        <v>21144827.05667102</v>
      </c>
      <c r="BL45" s="203">
        <f t="shared" si="40"/>
        <v>20087585.703837465</v>
      </c>
      <c r="BM45" s="203">
        <f t="shared" si="41"/>
        <v>18921512.015492041</v>
      </c>
      <c r="BN45" s="207">
        <f t="shared" si="42"/>
        <v>23583451.999771357</v>
      </c>
      <c r="BO45" s="207">
        <f t="shared" si="43"/>
        <v>22460430.475972708</v>
      </c>
      <c r="BP45" s="207">
        <f t="shared" si="44"/>
        <v>21337408.952174071</v>
      </c>
      <c r="BQ45" s="207">
        <f t="shared" si="45"/>
        <v>20098783.687623579</v>
      </c>
      <c r="BR45" s="203">
        <f t="shared" si="46"/>
        <v>25410091.136508908</v>
      </c>
      <c r="BS45" s="203">
        <f t="shared" si="47"/>
        <v>24200086.796675138</v>
      </c>
      <c r="BT45" s="203">
        <f t="shared" si="48"/>
        <v>22990082.456841379</v>
      </c>
      <c r="BU45" s="203">
        <f t="shared" si="49"/>
        <v>21655520.372524139</v>
      </c>
      <c r="BV45" s="154">
        <f t="shared" si="84"/>
        <v>26233668.946421053</v>
      </c>
      <c r="BW45" s="154">
        <f t="shared" si="50"/>
        <v>24984446.615639087</v>
      </c>
      <c r="BX45" s="154">
        <f t="shared" si="51"/>
        <v>23735224.284857132</v>
      </c>
      <c r="BY45" s="154">
        <f t="shared" si="52"/>
        <v>22357407.112917848</v>
      </c>
      <c r="BZ45" s="203">
        <f t="shared" si="85"/>
        <v>26915194.718719203</v>
      </c>
      <c r="CA45" s="203">
        <f t="shared" si="53"/>
        <v>25633518.779732563</v>
      </c>
      <c r="CB45" s="203">
        <f t="shared" si="54"/>
        <v>24351842.840745933</v>
      </c>
      <c r="CC45" s="203">
        <f t="shared" si="55"/>
        <v>22938231.288916081</v>
      </c>
      <c r="CD45" s="154">
        <f t="shared" si="86"/>
        <v>27640546.869969089</v>
      </c>
      <c r="CE45" s="154">
        <f t="shared" si="56"/>
        <v>26324330.352351502</v>
      </c>
      <c r="CF45" s="154">
        <f t="shared" si="57"/>
        <v>25008113.834733926</v>
      </c>
      <c r="CG45" s="154">
        <f t="shared" si="58"/>
        <v>23556406.100027923</v>
      </c>
    </row>
    <row r="46" spans="1:85" ht="15" x14ac:dyDescent="0.4">
      <c r="A46" s="4" t="s">
        <v>43</v>
      </c>
      <c r="B46" s="30">
        <f t="shared" si="87"/>
        <v>3020734.29</v>
      </c>
      <c r="C46" s="30">
        <f t="shared" si="88"/>
        <v>2876889.8000000003</v>
      </c>
      <c r="D46" s="30">
        <f t="shared" si="89"/>
        <v>2733045.31</v>
      </c>
      <c r="E46" s="30">
        <f t="shared" si="90"/>
        <v>2589200.8199999998</v>
      </c>
      <c r="F46" s="28">
        <f t="shared" si="4"/>
        <v>3060161.5447891573</v>
      </c>
      <c r="G46" s="28">
        <f t="shared" si="5"/>
        <v>2914439.5664658644</v>
      </c>
      <c r="H46" s="28">
        <f t="shared" si="6"/>
        <v>2768717.5881425706</v>
      </c>
      <c r="I46" s="28">
        <f t="shared" si="7"/>
        <v>2622995.6098192772</v>
      </c>
      <c r="J46" s="30">
        <f t="shared" si="8"/>
        <v>3168374.1948566269</v>
      </c>
      <c r="K46" s="30">
        <f t="shared" si="9"/>
        <v>3017499.233196788</v>
      </c>
      <c r="L46" s="30">
        <f t="shared" si="10"/>
        <v>2866624.2715369482</v>
      </c>
      <c r="M46" s="30">
        <f t="shared" si="11"/>
        <v>2715749.3098771083</v>
      </c>
      <c r="N46" s="28">
        <f t="shared" si="61"/>
        <v>3284184.173635392</v>
      </c>
      <c r="O46" s="28">
        <f t="shared" si="62"/>
        <v>3127794.4510813262</v>
      </c>
      <c r="P46" s="28">
        <f t="shared" si="12"/>
        <v>2971404.7285272595</v>
      </c>
      <c r="Q46" s="28">
        <f t="shared" si="13"/>
        <v>2815015.0059731929</v>
      </c>
      <c r="R46" s="30">
        <f t="shared" si="63"/>
        <v>3284184.173635392</v>
      </c>
      <c r="S46" s="30">
        <f t="shared" si="14"/>
        <v>3127794.4510813262</v>
      </c>
      <c r="T46" s="30">
        <f t="shared" si="15"/>
        <v>2971404.7285272595</v>
      </c>
      <c r="U46" s="30">
        <f t="shared" si="64"/>
        <v>2815015.0059731929</v>
      </c>
      <c r="V46" s="97">
        <f t="shared" si="65"/>
        <v>3322680.973461424</v>
      </c>
      <c r="W46" s="97">
        <f t="shared" si="16"/>
        <v>3164458.0699632615</v>
      </c>
      <c r="X46" s="97">
        <f t="shared" si="17"/>
        <v>3006235.166465098</v>
      </c>
      <c r="Y46" s="97">
        <f t="shared" si="18"/>
        <v>2848012.2629669346</v>
      </c>
      <c r="Z46" s="97">
        <f t="shared" si="66"/>
        <v>3439812.1205248437</v>
      </c>
      <c r="AA46" s="97">
        <f t="shared" si="19"/>
        <v>3276011.5433569942</v>
      </c>
      <c r="AB46" s="97">
        <f t="shared" si="20"/>
        <v>3112210.9661891442</v>
      </c>
      <c r="AC46" s="97">
        <f t="shared" si="67"/>
        <v>2948410.3890212942</v>
      </c>
      <c r="AD46" s="30">
        <f t="shared" si="68"/>
        <v>3514192.6777262059</v>
      </c>
      <c r="AE46" s="30">
        <f t="shared" si="69"/>
        <v>3346850.1692630537</v>
      </c>
      <c r="AF46" s="30">
        <f t="shared" si="70"/>
        <v>3179507.6607999005</v>
      </c>
      <c r="AG46" s="30">
        <f t="shared" si="71"/>
        <v>3012165.1523367474</v>
      </c>
      <c r="AH46" s="30">
        <f t="shared" si="72"/>
        <v>3548055.8848344237</v>
      </c>
      <c r="AI46" s="30">
        <f t="shared" si="73"/>
        <v>3379100.8426994518</v>
      </c>
      <c r="AJ46" s="30">
        <f t="shared" si="74"/>
        <v>3210145.8005644786</v>
      </c>
      <c r="AK46" s="30">
        <f t="shared" si="75"/>
        <v>3041190.7584295054</v>
      </c>
      <c r="AL46" s="97">
        <f t="shared" si="22"/>
        <v>3607107.6057988224</v>
      </c>
      <c r="AM46" s="97">
        <f t="shared" si="23"/>
        <v>3435340.5769512602</v>
      </c>
      <c r="AN46" s="97">
        <f t="shared" si="24"/>
        <v>3263573.5481036967</v>
      </c>
      <c r="AO46" s="97">
        <f t="shared" si="25"/>
        <v>3091806.5192561327</v>
      </c>
      <c r="AP46" s="97">
        <f t="shared" si="26"/>
        <v>3613260.4092437881</v>
      </c>
      <c r="AQ46" s="97">
        <f t="shared" si="27"/>
        <v>3441200.3897559894</v>
      </c>
      <c r="AR46" s="97">
        <f t="shared" si="28"/>
        <v>3269140.3702681893</v>
      </c>
      <c r="AS46" s="97">
        <f t="shared" si="29"/>
        <v>3097080.3507803893</v>
      </c>
      <c r="AT46" s="97">
        <f t="shared" si="76"/>
        <v>3672372.8986372729</v>
      </c>
      <c r="AU46" s="97">
        <f t="shared" si="77"/>
        <v>3497497.9987021652</v>
      </c>
      <c r="AV46" s="97">
        <f t="shared" si="78"/>
        <v>3322623.0987670566</v>
      </c>
      <c r="AW46" s="97">
        <f t="shared" si="79"/>
        <v>3147748.1988319475</v>
      </c>
      <c r="AX46" s="97">
        <f t="shared" si="80"/>
        <v>3747330.7559149526</v>
      </c>
      <c r="AY46" s="97">
        <f t="shared" si="81"/>
        <v>3568886.4342047172</v>
      </c>
      <c r="AZ46" s="97">
        <f t="shared" si="82"/>
        <v>3390442.1124944808</v>
      </c>
      <c r="BA46" s="97">
        <f t="shared" si="83"/>
        <v>3211997.7907842444</v>
      </c>
      <c r="BB46" s="142">
        <f t="shared" si="31"/>
        <v>3841856.0473583499</v>
      </c>
      <c r="BC46" s="142">
        <f t="shared" si="32"/>
        <v>3658910.5212936667</v>
      </c>
      <c r="BD46" s="142">
        <f t="shared" si="33"/>
        <v>3475964.995228983</v>
      </c>
      <c r="BE46" s="142">
        <f t="shared" si="34"/>
        <v>3293019.4691642993</v>
      </c>
      <c r="BF46" s="154">
        <f t="shared" si="35"/>
        <v>3909628.037896601</v>
      </c>
      <c r="BG46" s="154">
        <f t="shared" si="36"/>
        <v>3723455.2741872394</v>
      </c>
      <c r="BH46" s="154">
        <f t="shared" si="37"/>
        <v>3537282.5104778768</v>
      </c>
      <c r="BI46" s="154">
        <f t="shared" si="37"/>
        <v>3331945.1382059697</v>
      </c>
      <c r="BJ46" s="203">
        <f t="shared" si="38"/>
        <v>3955842.4282165649</v>
      </c>
      <c r="BK46" s="203">
        <f t="shared" si="39"/>
        <v>3767468.9792538718</v>
      </c>
      <c r="BL46" s="203">
        <f t="shared" si="40"/>
        <v>3579095.5302911773</v>
      </c>
      <c r="BM46" s="203">
        <f t="shared" si="41"/>
        <v>3371330.9344119434</v>
      </c>
      <c r="BN46" s="207">
        <f t="shared" si="42"/>
        <v>4201969.7581224618</v>
      </c>
      <c r="BO46" s="207">
        <f t="shared" si="43"/>
        <v>4001875.9601166314</v>
      </c>
      <c r="BP46" s="207">
        <f t="shared" si="44"/>
        <v>3801782.1621107985</v>
      </c>
      <c r="BQ46" s="207">
        <f t="shared" si="45"/>
        <v>3581090.7254484277</v>
      </c>
      <c r="BR46" s="203">
        <f t="shared" si="46"/>
        <v>4527430.2722002361</v>
      </c>
      <c r="BS46" s="203">
        <f t="shared" si="47"/>
        <v>4311838.3544764165</v>
      </c>
      <c r="BT46" s="203">
        <f t="shared" si="48"/>
        <v>4096246.4367525945</v>
      </c>
      <c r="BU46" s="203">
        <f t="shared" si="49"/>
        <v>3858461.5052382303</v>
      </c>
      <c r="BV46" s="154">
        <f t="shared" si="84"/>
        <v>4674170.8363358481</v>
      </c>
      <c r="BW46" s="154">
        <f t="shared" si="50"/>
        <v>4451591.2727008089</v>
      </c>
      <c r="BX46" s="154">
        <f t="shared" si="51"/>
        <v>4229011.709065767</v>
      </c>
      <c r="BY46" s="154">
        <f t="shared" si="52"/>
        <v>3983519.8239606172</v>
      </c>
      <c r="BZ46" s="203">
        <f t="shared" si="85"/>
        <v>4795601.3497571079</v>
      </c>
      <c r="CA46" s="203">
        <f t="shared" si="53"/>
        <v>4567239.3807210568</v>
      </c>
      <c r="CB46" s="203">
        <f t="shared" si="54"/>
        <v>4338877.411685002</v>
      </c>
      <c r="CC46" s="203">
        <f t="shared" si="55"/>
        <v>4087007.8808555384</v>
      </c>
      <c r="CD46" s="154">
        <f t="shared" si="86"/>
        <v>4924840.6063159285</v>
      </c>
      <c r="CE46" s="154">
        <f t="shared" si="56"/>
        <v>4690324.3869675528</v>
      </c>
      <c r="CF46" s="154">
        <f t="shared" si="57"/>
        <v>4455808.1676191734</v>
      </c>
      <c r="CG46" s="154">
        <f t="shared" si="58"/>
        <v>4197150.8684703382</v>
      </c>
    </row>
    <row r="47" spans="1:85" ht="15" x14ac:dyDescent="0.4">
      <c r="A47" s="4" t="s">
        <v>44</v>
      </c>
      <c r="B47" s="30">
        <f t="shared" si="87"/>
        <v>22573151.369999997</v>
      </c>
      <c r="C47" s="30">
        <f t="shared" si="88"/>
        <v>21498239.400000002</v>
      </c>
      <c r="D47" s="30">
        <f t="shared" si="89"/>
        <v>20423327.43</v>
      </c>
      <c r="E47" s="30">
        <f t="shared" si="90"/>
        <v>19348415.460000001</v>
      </c>
      <c r="F47" s="28">
        <f t="shared" si="4"/>
        <v>22867780.855753012</v>
      </c>
      <c r="G47" s="28">
        <f t="shared" si="5"/>
        <v>21778838.910240971</v>
      </c>
      <c r="H47" s="28">
        <f t="shared" si="6"/>
        <v>20689896.964728918</v>
      </c>
      <c r="I47" s="28">
        <f t="shared" si="7"/>
        <v>19600955.019216873</v>
      </c>
      <c r="J47" s="30">
        <f t="shared" si="8"/>
        <v>23676425.475112047</v>
      </c>
      <c r="K47" s="30">
        <f t="shared" si="9"/>
        <v>22548976.64296386</v>
      </c>
      <c r="L47" s="30">
        <f t="shared" si="10"/>
        <v>21421527.810815662</v>
      </c>
      <c r="M47" s="30">
        <f t="shared" si="11"/>
        <v>20294078.978667475</v>
      </c>
      <c r="N47" s="28">
        <f t="shared" si="61"/>
        <v>24541842.92999503</v>
      </c>
      <c r="O47" s="28">
        <f t="shared" si="62"/>
        <v>23373183.742852416</v>
      </c>
      <c r="P47" s="28">
        <f t="shared" si="12"/>
        <v>22204524.55570979</v>
      </c>
      <c r="Q47" s="28">
        <f t="shared" si="13"/>
        <v>21035865.368567176</v>
      </c>
      <c r="R47" s="30">
        <f t="shared" si="63"/>
        <v>24541842.92999503</v>
      </c>
      <c r="S47" s="30">
        <f t="shared" si="14"/>
        <v>23373183.742852416</v>
      </c>
      <c r="T47" s="30">
        <f t="shared" si="15"/>
        <v>22204524.55570979</v>
      </c>
      <c r="U47" s="30">
        <f t="shared" si="64"/>
        <v>21035865.368567176</v>
      </c>
      <c r="V47" s="97">
        <f t="shared" si="65"/>
        <v>24829519.370988324</v>
      </c>
      <c r="W47" s="97">
        <f t="shared" si="16"/>
        <v>23647161.305703174</v>
      </c>
      <c r="X47" s="97">
        <f t="shared" si="17"/>
        <v>22464803.240418009</v>
      </c>
      <c r="Y47" s="97">
        <f t="shared" si="18"/>
        <v>21282445.175132856</v>
      </c>
      <c r="Z47" s="97">
        <f t="shared" si="66"/>
        <v>25704809.568327826</v>
      </c>
      <c r="AA47" s="97">
        <f t="shared" si="19"/>
        <v>24480771.017455082</v>
      </c>
      <c r="AB47" s="97">
        <f t="shared" si="20"/>
        <v>23256732.466582321</v>
      </c>
      <c r="AC47" s="97">
        <f t="shared" si="67"/>
        <v>22032693.91570957</v>
      </c>
      <c r="AD47" s="30">
        <f t="shared" si="68"/>
        <v>26260635.872630578</v>
      </c>
      <c r="AE47" s="30">
        <f t="shared" si="69"/>
        <v>25010129.40250532</v>
      </c>
      <c r="AF47" s="30">
        <f t="shared" si="70"/>
        <v>23759622.932380047</v>
      </c>
      <c r="AG47" s="30">
        <f t="shared" si="71"/>
        <v>22509116.462254785</v>
      </c>
      <c r="AH47" s="30">
        <f t="shared" si="72"/>
        <v>26513686.696219388</v>
      </c>
      <c r="AI47" s="30">
        <f t="shared" si="73"/>
        <v>25251130.186875615</v>
      </c>
      <c r="AJ47" s="30">
        <f t="shared" si="74"/>
        <v>23988573.677531827</v>
      </c>
      <c r="AK47" s="30">
        <f t="shared" si="75"/>
        <v>22726017.16818805</v>
      </c>
      <c r="AL47" s="97">
        <f t="shared" si="22"/>
        <v>26954964.646551251</v>
      </c>
      <c r="AM47" s="97">
        <f t="shared" si="23"/>
        <v>25671394.901477389</v>
      </c>
      <c r="AN47" s="97">
        <f t="shared" si="24"/>
        <v>24387825.156403512</v>
      </c>
      <c r="AO47" s="97">
        <f t="shared" si="25"/>
        <v>23104255.411329646</v>
      </c>
      <c r="AP47" s="97">
        <f t="shared" si="26"/>
        <v>27000942.925399825</v>
      </c>
      <c r="AQ47" s="97">
        <f t="shared" si="27"/>
        <v>25715183.738476031</v>
      </c>
      <c r="AR47" s="97">
        <f t="shared" si="28"/>
        <v>24429424.551552221</v>
      </c>
      <c r="AS47" s="97">
        <f t="shared" si="29"/>
        <v>23143665.364628423</v>
      </c>
      <c r="AT47" s="97">
        <f t="shared" si="76"/>
        <v>27442674.98218945</v>
      </c>
      <c r="AU47" s="97">
        <f t="shared" si="77"/>
        <v>26135880.935418531</v>
      </c>
      <c r="AV47" s="97">
        <f t="shared" si="78"/>
        <v>24829086.888647597</v>
      </c>
      <c r="AW47" s="97">
        <f t="shared" si="79"/>
        <v>23522292.841876674</v>
      </c>
      <c r="AX47" s="97">
        <f t="shared" si="80"/>
        <v>28002815.297840953</v>
      </c>
      <c r="AY47" s="97">
        <f t="shared" si="81"/>
        <v>26669347.902705677</v>
      </c>
      <c r="AZ47" s="97">
        <f t="shared" si="82"/>
        <v>25335880.507570386</v>
      </c>
      <c r="BA47" s="97">
        <f t="shared" si="83"/>
        <v>24002413.112435106</v>
      </c>
      <c r="BB47" s="142">
        <f t="shared" si="31"/>
        <v>28709177.892892361</v>
      </c>
      <c r="BC47" s="142">
        <f t="shared" si="32"/>
        <v>27342074.183707017</v>
      </c>
      <c r="BD47" s="142">
        <f t="shared" si="33"/>
        <v>25974970.474521659</v>
      </c>
      <c r="BE47" s="142">
        <f t="shared" si="34"/>
        <v>24607866.765336312</v>
      </c>
      <c r="BF47" s="154">
        <f t="shared" si="35"/>
        <v>29215620.119913314</v>
      </c>
      <c r="BG47" s="154">
        <f t="shared" si="36"/>
        <v>27824400.114203162</v>
      </c>
      <c r="BH47" s="154">
        <f t="shared" si="37"/>
        <v>26433180.108492997</v>
      </c>
      <c r="BI47" s="154">
        <f t="shared" si="37"/>
        <v>24898748.032968812</v>
      </c>
      <c r="BJ47" s="203">
        <f t="shared" si="38"/>
        <v>29560968.081042595</v>
      </c>
      <c r="BK47" s="203">
        <f t="shared" si="39"/>
        <v>28153302.934326287</v>
      </c>
      <c r="BL47" s="203">
        <f t="shared" si="40"/>
        <v>26745637.787609965</v>
      </c>
      <c r="BM47" s="203">
        <f t="shared" si="41"/>
        <v>25193067.709654249</v>
      </c>
      <c r="BN47" s="207">
        <f t="shared" si="42"/>
        <v>31400212.761599965</v>
      </c>
      <c r="BO47" s="207">
        <f t="shared" si="43"/>
        <v>29904964.534857117</v>
      </c>
      <c r="BP47" s="207">
        <f t="shared" si="44"/>
        <v>28409716.308114253</v>
      </c>
      <c r="BQ47" s="207">
        <f t="shared" si="45"/>
        <v>26760547.355275821</v>
      </c>
      <c r="BR47" s="203">
        <f t="shared" si="46"/>
        <v>33832293.422767825</v>
      </c>
      <c r="BS47" s="203">
        <f t="shared" si="47"/>
        <v>32221231.831207458</v>
      </c>
      <c r="BT47" s="203">
        <f t="shared" si="48"/>
        <v>30610170.239647076</v>
      </c>
      <c r="BU47" s="203">
        <f t="shared" si="49"/>
        <v>28833266.10400435</v>
      </c>
      <c r="BV47" s="154">
        <f t="shared" si="84"/>
        <v>34928846.991652682</v>
      </c>
      <c r="BW47" s="154">
        <f t="shared" si="50"/>
        <v>33265568.563478749</v>
      </c>
      <c r="BX47" s="154">
        <f t="shared" si="51"/>
        <v>31602290.135304801</v>
      </c>
      <c r="BY47" s="154">
        <f t="shared" si="52"/>
        <v>29767793.96630042</v>
      </c>
      <c r="BZ47" s="203">
        <f t="shared" si="85"/>
        <v>35836265.220878966</v>
      </c>
      <c r="CA47" s="203">
        <f t="shared" si="53"/>
        <v>34129776.400837116</v>
      </c>
      <c r="CB47" s="203">
        <f t="shared" si="54"/>
        <v>32423287.580795251</v>
      </c>
      <c r="CC47" s="203">
        <f t="shared" si="55"/>
        <v>30541132.945835833</v>
      </c>
      <c r="CD47" s="154">
        <f t="shared" si="86"/>
        <v>36802036.129927881</v>
      </c>
      <c r="CE47" s="154">
        <f t="shared" si="56"/>
        <v>35049558.218978941</v>
      </c>
      <c r="CF47" s="154">
        <f t="shared" si="57"/>
        <v>33297080.308029983</v>
      </c>
      <c r="CG47" s="154">
        <f t="shared" si="58"/>
        <v>31364202.469032094</v>
      </c>
    </row>
    <row r="48" spans="1:85" ht="15" x14ac:dyDescent="0.4">
      <c r="A48" s="4" t="s">
        <v>45</v>
      </c>
      <c r="B48" s="30">
        <f t="shared" si="87"/>
        <v>93268248.045000002</v>
      </c>
      <c r="C48" s="30">
        <f t="shared" si="88"/>
        <v>88826902.900000006</v>
      </c>
      <c r="D48" s="30">
        <f t="shared" si="89"/>
        <v>84385557.754999995</v>
      </c>
      <c r="E48" s="30">
        <f t="shared" si="90"/>
        <v>79944212.609999999</v>
      </c>
      <c r="F48" s="28">
        <f t="shared" si="4"/>
        <v>94485604.696189776</v>
      </c>
      <c r="G48" s="28">
        <f t="shared" si="5"/>
        <v>89986290.186847404</v>
      </c>
      <c r="H48" s="28">
        <f t="shared" si="6"/>
        <v>85486975.677505031</v>
      </c>
      <c r="I48" s="28">
        <f t="shared" si="7"/>
        <v>80987661.168162659</v>
      </c>
      <c r="J48" s="30">
        <f t="shared" si="8"/>
        <v>97826780.489609048</v>
      </c>
      <c r="K48" s="30">
        <f t="shared" si="9"/>
        <v>93168362.371056229</v>
      </c>
      <c r="L48" s="30">
        <f t="shared" si="10"/>
        <v>88509944.252503425</v>
      </c>
      <c r="M48" s="30">
        <f t="shared" si="11"/>
        <v>83851526.133950606</v>
      </c>
      <c r="N48" s="28">
        <f t="shared" si="61"/>
        <v>101402531.54543066</v>
      </c>
      <c r="O48" s="28">
        <f t="shared" si="62"/>
        <v>96573839.567076817</v>
      </c>
      <c r="P48" s="28">
        <f t="shared" si="12"/>
        <v>91745147.588722989</v>
      </c>
      <c r="Q48" s="28">
        <f t="shared" si="13"/>
        <v>86916455.610369131</v>
      </c>
      <c r="R48" s="30">
        <f t="shared" si="63"/>
        <v>101402531.54543066</v>
      </c>
      <c r="S48" s="30">
        <f t="shared" si="14"/>
        <v>96573839.567076817</v>
      </c>
      <c r="T48" s="30">
        <f t="shared" si="15"/>
        <v>91745147.588722989</v>
      </c>
      <c r="U48" s="30">
        <f t="shared" si="64"/>
        <v>86916455.610369131</v>
      </c>
      <c r="V48" s="97">
        <f t="shared" si="65"/>
        <v>102591159.45189676</v>
      </c>
      <c r="W48" s="97">
        <f t="shared" si="16"/>
        <v>97705866.144663572</v>
      </c>
      <c r="X48" s="97">
        <f t="shared" si="17"/>
        <v>92820572.837430418</v>
      </c>
      <c r="Y48" s="97">
        <f t="shared" si="18"/>
        <v>87935279.530197218</v>
      </c>
      <c r="Z48" s="97">
        <f t="shared" si="66"/>
        <v>106207702.92421468</v>
      </c>
      <c r="AA48" s="97">
        <f t="shared" si="19"/>
        <v>101150193.26115683</v>
      </c>
      <c r="AB48" s="97">
        <f t="shared" si="20"/>
        <v>96092683.598099008</v>
      </c>
      <c r="AC48" s="97">
        <f t="shared" si="67"/>
        <v>91035173.935041144</v>
      </c>
      <c r="AD48" s="30">
        <f t="shared" si="68"/>
        <v>108504278.3899045</v>
      </c>
      <c r="AE48" s="30">
        <f t="shared" si="69"/>
        <v>103337407.99038523</v>
      </c>
      <c r="AF48" s="30">
        <f t="shared" si="70"/>
        <v>98170537.590865985</v>
      </c>
      <c r="AG48" s="30">
        <f t="shared" si="71"/>
        <v>93003667.191346705</v>
      </c>
      <c r="AH48" s="30">
        <f t="shared" si="72"/>
        <v>109549839.40155126</v>
      </c>
      <c r="AI48" s="30">
        <f t="shared" si="73"/>
        <v>104333180.38242978</v>
      </c>
      <c r="AJ48" s="30">
        <f t="shared" si="74"/>
        <v>99116521.363308296</v>
      </c>
      <c r="AK48" s="30">
        <f t="shared" si="75"/>
        <v>93899862.344186783</v>
      </c>
      <c r="AL48" s="97">
        <f t="shared" si="22"/>
        <v>111373121.4348716</v>
      </c>
      <c r="AM48" s="97">
        <f t="shared" si="23"/>
        <v>106069639.46178249</v>
      </c>
      <c r="AN48" s="97">
        <f t="shared" si="24"/>
        <v>100766157.48869336</v>
      </c>
      <c r="AO48" s="97">
        <f t="shared" si="25"/>
        <v>95462675.515604213</v>
      </c>
      <c r="AP48" s="97">
        <f t="shared" si="26"/>
        <v>111563095.50832021</v>
      </c>
      <c r="AQ48" s="97">
        <f t="shared" si="27"/>
        <v>106250567.15078117</v>
      </c>
      <c r="AR48" s="97">
        <f t="shared" si="28"/>
        <v>100938038.7932421</v>
      </c>
      <c r="AS48" s="97">
        <f t="shared" si="29"/>
        <v>95625510.435703024</v>
      </c>
      <c r="AT48" s="97">
        <f t="shared" si="76"/>
        <v>113388253.82878572</v>
      </c>
      <c r="AU48" s="97">
        <f t="shared" si="77"/>
        <v>107988813.17027213</v>
      </c>
      <c r="AV48" s="97">
        <f t="shared" si="78"/>
        <v>102589372.51175851</v>
      </c>
      <c r="AW48" s="97">
        <f t="shared" si="79"/>
        <v>97189931.853244886</v>
      </c>
      <c r="AX48" s="97">
        <f t="shared" si="80"/>
        <v>115702654.02235466</v>
      </c>
      <c r="AY48" s="97">
        <f t="shared" si="81"/>
        <v>110193003.83081397</v>
      </c>
      <c r="AZ48" s="97">
        <f t="shared" si="82"/>
        <v>104683353.63927326</v>
      </c>
      <c r="BA48" s="97">
        <f t="shared" si="83"/>
        <v>99173703.447732553</v>
      </c>
      <c r="BB48" s="142">
        <f t="shared" si="31"/>
        <v>118621218.67666879</v>
      </c>
      <c r="BC48" s="142">
        <f t="shared" si="32"/>
        <v>112972589.21587504</v>
      </c>
      <c r="BD48" s="142">
        <f t="shared" si="33"/>
        <v>107323959.75508128</v>
      </c>
      <c r="BE48" s="142">
        <f t="shared" si="34"/>
        <v>101675330.29428752</v>
      </c>
      <c r="BF48" s="154">
        <f t="shared" si="35"/>
        <v>120713747.91532123</v>
      </c>
      <c r="BG48" s="154">
        <f t="shared" si="36"/>
        <v>114965474.20506784</v>
      </c>
      <c r="BH48" s="154">
        <f t="shared" si="37"/>
        <v>109217200.49481444</v>
      </c>
      <c r="BI48" s="154">
        <f t="shared" si="37"/>
        <v>102877199.97462147</v>
      </c>
      <c r="BJ48" s="203">
        <f t="shared" si="38"/>
        <v>122140664.28922409</v>
      </c>
      <c r="BK48" s="203">
        <f t="shared" si="39"/>
        <v>116324442.18021342</v>
      </c>
      <c r="BL48" s="203">
        <f t="shared" si="40"/>
        <v>110508220.07120274</v>
      </c>
      <c r="BM48" s="203">
        <f t="shared" si="41"/>
        <v>104093276.54982683</v>
      </c>
      <c r="BN48" s="207">
        <f t="shared" si="42"/>
        <v>129740096.29895467</v>
      </c>
      <c r="BO48" s="207">
        <f t="shared" si="43"/>
        <v>123561996.47519493</v>
      </c>
      <c r="BP48" s="207">
        <f t="shared" si="44"/>
        <v>117383896.65143517</v>
      </c>
      <c r="BQ48" s="207">
        <f t="shared" si="45"/>
        <v>110569823.75393666</v>
      </c>
      <c r="BR48" s="203">
        <f t="shared" si="46"/>
        <v>139789021.17670652</v>
      </c>
      <c r="BS48" s="203">
        <f t="shared" si="47"/>
        <v>133132401.1206729</v>
      </c>
      <c r="BT48" s="203">
        <f t="shared" si="48"/>
        <v>126475781.06463923</v>
      </c>
      <c r="BU48" s="203">
        <f t="shared" si="49"/>
        <v>119133929.10259691</v>
      </c>
      <c r="BV48" s="154">
        <f t="shared" si="84"/>
        <v>144319785.5605092</v>
      </c>
      <c r="BW48" s="154">
        <f t="shared" si="50"/>
        <v>137447414.8195326</v>
      </c>
      <c r="BX48" s="154">
        <f t="shared" si="51"/>
        <v>130575044.07855594</v>
      </c>
      <c r="BY48" s="154">
        <f t="shared" si="52"/>
        <v>122995232.07429597</v>
      </c>
      <c r="BZ48" s="203">
        <f t="shared" si="85"/>
        <v>148069076.34834802</v>
      </c>
      <c r="CA48" s="203">
        <f t="shared" si="53"/>
        <v>141018167.95080766</v>
      </c>
      <c r="CB48" s="203">
        <f t="shared" si="54"/>
        <v>133967259.55326724</v>
      </c>
      <c r="CC48" s="203">
        <f t="shared" si="55"/>
        <v>126190531.24116528</v>
      </c>
      <c r="CD48" s="154">
        <f t="shared" si="86"/>
        <v>152059470.03434134</v>
      </c>
      <c r="CE48" s="154">
        <f t="shared" si="56"/>
        <v>144818542.88984892</v>
      </c>
      <c r="CF48" s="154">
        <f t="shared" si="57"/>
        <v>137577615.74535644</v>
      </c>
      <c r="CG48" s="154">
        <f t="shared" si="58"/>
        <v>129591308.17254989</v>
      </c>
    </row>
    <row r="49" spans="1:85" ht="15" x14ac:dyDescent="0.4">
      <c r="A49" s="4" t="s">
        <v>46</v>
      </c>
      <c r="B49" s="30">
        <f t="shared" si="87"/>
        <v>10324299.824999999</v>
      </c>
      <c r="C49" s="30">
        <f t="shared" si="88"/>
        <v>9832666.5</v>
      </c>
      <c r="D49" s="30">
        <f t="shared" si="89"/>
        <v>9341033.1750000007</v>
      </c>
      <c r="E49" s="30">
        <f t="shared" si="90"/>
        <v>8849399.8499999996</v>
      </c>
      <c r="F49" s="28">
        <f t="shared" si="4"/>
        <v>10459054.74239458</v>
      </c>
      <c r="G49" s="28">
        <f t="shared" si="5"/>
        <v>9961004.5165662672</v>
      </c>
      <c r="H49" s="28">
        <f t="shared" si="6"/>
        <v>9462954.2907379549</v>
      </c>
      <c r="I49" s="28">
        <f t="shared" si="7"/>
        <v>8964904.0649096388</v>
      </c>
      <c r="J49" s="30">
        <f t="shared" si="8"/>
        <v>10828905.161828315</v>
      </c>
      <c r="K49" s="30">
        <f t="shared" si="9"/>
        <v>10313243.011265062</v>
      </c>
      <c r="L49" s="30">
        <f t="shared" si="10"/>
        <v>9797580.8607018106</v>
      </c>
      <c r="M49" s="30">
        <f t="shared" si="11"/>
        <v>9281918.7101385538</v>
      </c>
      <c r="N49" s="28">
        <f t="shared" si="61"/>
        <v>11224721.817267697</v>
      </c>
      <c r="O49" s="28">
        <f t="shared" si="62"/>
        <v>10690211.254540665</v>
      </c>
      <c r="P49" s="28">
        <f t="shared" si="12"/>
        <v>10155700.691813633</v>
      </c>
      <c r="Q49" s="28">
        <f t="shared" si="13"/>
        <v>9621190.1290865969</v>
      </c>
      <c r="R49" s="30">
        <f t="shared" si="63"/>
        <v>11224721.817267697</v>
      </c>
      <c r="S49" s="30">
        <f t="shared" si="14"/>
        <v>10690211.254540665</v>
      </c>
      <c r="T49" s="30">
        <f t="shared" si="15"/>
        <v>10155700.691813633</v>
      </c>
      <c r="U49" s="30">
        <f t="shared" si="64"/>
        <v>9621190.1290865969</v>
      </c>
      <c r="V49" s="97">
        <f t="shared" si="65"/>
        <v>11356296.615164589</v>
      </c>
      <c r="W49" s="97">
        <f t="shared" si="16"/>
        <v>10815520.585871039</v>
      </c>
      <c r="X49" s="97">
        <f t="shared" si="17"/>
        <v>10274744.556577487</v>
      </c>
      <c r="Y49" s="97">
        <f t="shared" si="18"/>
        <v>9733968.527283933</v>
      </c>
      <c r="Z49" s="97">
        <f t="shared" si="66"/>
        <v>11756628.774511484</v>
      </c>
      <c r="AA49" s="97">
        <f t="shared" si="19"/>
        <v>11196789.309058558</v>
      </c>
      <c r="AB49" s="97">
        <f t="shared" si="20"/>
        <v>10636949.84360563</v>
      </c>
      <c r="AC49" s="97">
        <f t="shared" si="67"/>
        <v>10077110.3781527</v>
      </c>
      <c r="AD49" s="30">
        <f t="shared" si="68"/>
        <v>12010847.484260175</v>
      </c>
      <c r="AE49" s="30">
        <f t="shared" si="69"/>
        <v>11438902.365962073</v>
      </c>
      <c r="AF49" s="30">
        <f t="shared" si="70"/>
        <v>10866957.247663969</v>
      </c>
      <c r="AG49" s="30">
        <f t="shared" si="71"/>
        <v>10295012.129365863</v>
      </c>
      <c r="AH49" s="30">
        <f t="shared" si="72"/>
        <v>12126585.536553849</v>
      </c>
      <c r="AI49" s="30">
        <f t="shared" si="73"/>
        <v>11549129.082432238</v>
      </c>
      <c r="AJ49" s="30">
        <f t="shared" si="74"/>
        <v>10971672.628310626</v>
      </c>
      <c r="AK49" s="30">
        <f t="shared" si="75"/>
        <v>10394216.174189012</v>
      </c>
      <c r="AL49" s="97">
        <f t="shared" si="22"/>
        <v>12328413.176421734</v>
      </c>
      <c r="AM49" s="97">
        <f t="shared" si="23"/>
        <v>11741345.882306414</v>
      </c>
      <c r="AN49" s="97">
        <f t="shared" si="24"/>
        <v>11154278.588191094</v>
      </c>
      <c r="AO49" s="97">
        <f t="shared" si="25"/>
        <v>10567211.29407577</v>
      </c>
      <c r="AP49" s="97">
        <f t="shared" si="26"/>
        <v>12349442.297632564</v>
      </c>
      <c r="AQ49" s="97">
        <f t="shared" si="27"/>
        <v>11761373.616792919</v>
      </c>
      <c r="AR49" s="97">
        <f t="shared" si="28"/>
        <v>11173304.935953273</v>
      </c>
      <c r="AS49" s="97">
        <f t="shared" si="29"/>
        <v>10585236.255113624</v>
      </c>
      <c r="AT49" s="97">
        <f t="shared" si="76"/>
        <v>12551477.632524753</v>
      </c>
      <c r="AU49" s="97">
        <f t="shared" si="77"/>
        <v>11953788.221452147</v>
      </c>
      <c r="AV49" s="97">
        <f t="shared" si="78"/>
        <v>11356098.810379539</v>
      </c>
      <c r="AW49" s="97">
        <f t="shared" si="79"/>
        <v>10758409.399306929</v>
      </c>
      <c r="AX49" s="97">
        <f t="shared" si="80"/>
        <v>12807669.445004335</v>
      </c>
      <c r="AY49" s="97">
        <f t="shared" si="81"/>
        <v>12197780.423813654</v>
      </c>
      <c r="AZ49" s="97">
        <f t="shared" si="82"/>
        <v>11587891.40262297</v>
      </c>
      <c r="BA49" s="97">
        <f t="shared" si="83"/>
        <v>10978002.381432284</v>
      </c>
      <c r="BB49" s="142">
        <f t="shared" si="31"/>
        <v>13130739.055309961</v>
      </c>
      <c r="BC49" s="142">
        <f t="shared" si="32"/>
        <v>12505465.766961869</v>
      </c>
      <c r="BD49" s="142">
        <f t="shared" si="33"/>
        <v>11880192.478613773</v>
      </c>
      <c r="BE49" s="142">
        <f t="shared" si="34"/>
        <v>11254919.190265676</v>
      </c>
      <c r="BF49" s="154">
        <f t="shared" si="35"/>
        <v>13362370.931165539</v>
      </c>
      <c r="BG49" s="154">
        <f t="shared" si="36"/>
        <v>12726067.553490991</v>
      </c>
      <c r="BH49" s="154">
        <f t="shared" si="37"/>
        <v>12089764.175816439</v>
      </c>
      <c r="BI49" s="154">
        <f t="shared" si="37"/>
        <v>11387959.782218875</v>
      </c>
      <c r="BJ49" s="203">
        <f t="shared" si="38"/>
        <v>13520322.997149099</v>
      </c>
      <c r="BK49" s="203">
        <f t="shared" si="39"/>
        <v>12876498.092522953</v>
      </c>
      <c r="BL49" s="203">
        <f t="shared" si="40"/>
        <v>12232673.187896803</v>
      </c>
      <c r="BM49" s="203">
        <f t="shared" si="41"/>
        <v>11522573.001998898</v>
      </c>
      <c r="BN49" s="207">
        <f t="shared" si="42"/>
        <v>14361539.769338343</v>
      </c>
      <c r="BO49" s="207">
        <f t="shared" si="43"/>
        <v>13677656.923179377</v>
      </c>
      <c r="BP49" s="207">
        <f t="shared" si="44"/>
        <v>12993774.077020407</v>
      </c>
      <c r="BQ49" s="207">
        <f t="shared" si="45"/>
        <v>12239492.388473637</v>
      </c>
      <c r="BR49" s="203">
        <f t="shared" si="46"/>
        <v>15473902.395757094</v>
      </c>
      <c r="BS49" s="203">
        <f t="shared" si="47"/>
        <v>14737049.900721043</v>
      </c>
      <c r="BT49" s="203">
        <f t="shared" si="48"/>
        <v>14000197.405684991</v>
      </c>
      <c r="BU49" s="203">
        <f t="shared" si="49"/>
        <v>13187493.377082262</v>
      </c>
      <c r="BV49" s="154">
        <f t="shared" si="84"/>
        <v>15975433.95569635</v>
      </c>
      <c r="BW49" s="154">
        <f t="shared" si="50"/>
        <v>15214699.005425096</v>
      </c>
      <c r="BX49" s="154">
        <f t="shared" si="51"/>
        <v>14453964.055153841</v>
      </c>
      <c r="BY49" s="154">
        <f t="shared" si="52"/>
        <v>13614919.113392334</v>
      </c>
      <c r="BZ49" s="203">
        <f t="shared" si="85"/>
        <v>16390460.53801279</v>
      </c>
      <c r="CA49" s="203">
        <f t="shared" si="53"/>
        <v>15609962.417155039</v>
      </c>
      <c r="CB49" s="203">
        <f t="shared" si="54"/>
        <v>14829464.296297286</v>
      </c>
      <c r="CC49" s="203">
        <f t="shared" si="55"/>
        <v>13968621.76483932</v>
      </c>
      <c r="CD49" s="154">
        <f t="shared" si="86"/>
        <v>16832175.930952355</v>
      </c>
      <c r="CE49" s="154">
        <f t="shared" si="56"/>
        <v>16030643.743764147</v>
      </c>
      <c r="CF49" s="154">
        <f t="shared" si="57"/>
        <v>15229111.556575939</v>
      </c>
      <c r="CG49" s="154">
        <f t="shared" si="58"/>
        <v>14345069.713777076</v>
      </c>
    </row>
    <row r="50" spans="1:85" ht="15" x14ac:dyDescent="0.4">
      <c r="A50" s="4" t="s">
        <v>47</v>
      </c>
      <c r="B50" s="30">
        <f t="shared" si="87"/>
        <v>2444944.2149999999</v>
      </c>
      <c r="C50" s="30">
        <f t="shared" si="88"/>
        <v>2328518.3000000003</v>
      </c>
      <c r="D50" s="30">
        <f t="shared" si="89"/>
        <v>2212092.3850000002</v>
      </c>
      <c r="E50" s="30">
        <f t="shared" si="90"/>
        <v>2095666.47</v>
      </c>
      <c r="F50" s="28">
        <f t="shared" si="4"/>
        <v>2476856.1374849402</v>
      </c>
      <c r="G50" s="28">
        <f t="shared" si="5"/>
        <v>2358910.6071285149</v>
      </c>
      <c r="H50" s="28">
        <f t="shared" si="6"/>
        <v>2240965.0767720891</v>
      </c>
      <c r="I50" s="28">
        <f t="shared" si="7"/>
        <v>2123019.5464156629</v>
      </c>
      <c r="J50" s="30">
        <f t="shared" si="8"/>
        <v>2564442.0908897594</v>
      </c>
      <c r="K50" s="30">
        <f t="shared" si="9"/>
        <v>2442325.8008473902</v>
      </c>
      <c r="L50" s="30">
        <f t="shared" si="10"/>
        <v>2320209.5108050206</v>
      </c>
      <c r="M50" s="30">
        <f t="shared" si="11"/>
        <v>2198093.2207626505</v>
      </c>
      <c r="N50" s="28">
        <f t="shared" si="61"/>
        <v>2658177.2262811</v>
      </c>
      <c r="O50" s="28">
        <f t="shared" si="62"/>
        <v>2531597.3583629527</v>
      </c>
      <c r="P50" s="28">
        <f t="shared" si="12"/>
        <v>2405017.490444805</v>
      </c>
      <c r="Q50" s="28">
        <f t="shared" si="13"/>
        <v>2278437.6225266564</v>
      </c>
      <c r="R50" s="30">
        <f t="shared" si="63"/>
        <v>2658177.2262811</v>
      </c>
      <c r="S50" s="30">
        <f t="shared" si="14"/>
        <v>2531597.3583629527</v>
      </c>
      <c r="T50" s="30">
        <f t="shared" si="15"/>
        <v>2405017.490444805</v>
      </c>
      <c r="U50" s="30">
        <f t="shared" si="64"/>
        <v>2278437.6225266564</v>
      </c>
      <c r="V50" s="97">
        <f t="shared" si="65"/>
        <v>2689336.050260507</v>
      </c>
      <c r="W50" s="97">
        <f t="shared" si="16"/>
        <v>2561272.4288195311</v>
      </c>
      <c r="X50" s="97">
        <f t="shared" si="17"/>
        <v>2433208.8073785543</v>
      </c>
      <c r="Y50" s="97">
        <f t="shared" si="18"/>
        <v>2305145.1859375769</v>
      </c>
      <c r="Z50" s="97">
        <f t="shared" si="66"/>
        <v>2784140.5225893268</v>
      </c>
      <c r="AA50" s="97">
        <f t="shared" si="19"/>
        <v>2651562.4024660261</v>
      </c>
      <c r="AB50" s="97">
        <f t="shared" si="20"/>
        <v>2518984.2823427245</v>
      </c>
      <c r="AC50" s="97">
        <f t="shared" si="67"/>
        <v>2386406.1622194224</v>
      </c>
      <c r="AD50" s="30">
        <f t="shared" si="68"/>
        <v>2844343.2069631144</v>
      </c>
      <c r="AE50" s="30">
        <f t="shared" si="69"/>
        <v>2708898.2923458237</v>
      </c>
      <c r="AF50" s="30">
        <f t="shared" si="70"/>
        <v>2573453.3777285321</v>
      </c>
      <c r="AG50" s="30">
        <f t="shared" si="71"/>
        <v>2438008.4631112404</v>
      </c>
      <c r="AH50" s="30">
        <f t="shared" si="72"/>
        <v>2871751.6594690727</v>
      </c>
      <c r="AI50" s="30">
        <f t="shared" si="73"/>
        <v>2735001.5804467364</v>
      </c>
      <c r="AJ50" s="30">
        <f t="shared" si="74"/>
        <v>2598251.5014243987</v>
      </c>
      <c r="AK50" s="30">
        <f t="shared" si="75"/>
        <v>2461501.4224020615</v>
      </c>
      <c r="AL50" s="97">
        <f t="shared" si="22"/>
        <v>2919547.3772306968</v>
      </c>
      <c r="AM50" s="97">
        <f t="shared" si="23"/>
        <v>2780521.3116482836</v>
      </c>
      <c r="AN50" s="97">
        <f t="shared" si="24"/>
        <v>2641495.2460658685</v>
      </c>
      <c r="AO50" s="97">
        <f t="shared" si="25"/>
        <v>2502469.1804834539</v>
      </c>
      <c r="AP50" s="97">
        <f t="shared" si="26"/>
        <v>2924527.3786954405</v>
      </c>
      <c r="AQ50" s="97">
        <f t="shared" si="27"/>
        <v>2785264.1701861345</v>
      </c>
      <c r="AR50" s="97">
        <f t="shared" si="28"/>
        <v>2646000.9616768272</v>
      </c>
      <c r="AS50" s="97">
        <f t="shared" si="29"/>
        <v>2506737.7531675198</v>
      </c>
      <c r="AT50" s="97">
        <f t="shared" si="76"/>
        <v>2972372.2816567165</v>
      </c>
      <c r="AU50" s="97">
        <f t="shared" si="77"/>
        <v>2830830.744434969</v>
      </c>
      <c r="AV50" s="97">
        <f t="shared" si="78"/>
        <v>2689289.2072132197</v>
      </c>
      <c r="AW50" s="97">
        <f t="shared" si="79"/>
        <v>2547747.6699914709</v>
      </c>
      <c r="AX50" s="97">
        <f t="shared" si="80"/>
        <v>3033042.2254271959</v>
      </c>
      <c r="AY50" s="97">
        <f t="shared" si="81"/>
        <v>2888611.643263997</v>
      </c>
      <c r="AZ50" s="97">
        <f t="shared" si="82"/>
        <v>2744181.0611007963</v>
      </c>
      <c r="BA50" s="97">
        <f t="shared" si="83"/>
        <v>2599750.4789375961</v>
      </c>
      <c r="BB50" s="142">
        <f t="shared" si="31"/>
        <v>3109549.8034855505</v>
      </c>
      <c r="BC50" s="142">
        <f t="shared" si="32"/>
        <v>2961476.0033195727</v>
      </c>
      <c r="BD50" s="142">
        <f t="shared" si="33"/>
        <v>2813402.203153593</v>
      </c>
      <c r="BE50" s="142">
        <f t="shared" si="34"/>
        <v>2665328.4029876143</v>
      </c>
      <c r="BF50" s="154">
        <f t="shared" si="35"/>
        <v>3164403.5973972064</v>
      </c>
      <c r="BG50" s="154">
        <f t="shared" si="36"/>
        <v>3013717.711806864</v>
      </c>
      <c r="BH50" s="154">
        <f t="shared" si="37"/>
        <v>2863031.8262165198</v>
      </c>
      <c r="BI50" s="154">
        <f t="shared" si="37"/>
        <v>2696834.3482981622</v>
      </c>
      <c r="BJ50" s="203">
        <f t="shared" si="38"/>
        <v>3201808.9417323903</v>
      </c>
      <c r="BK50" s="203">
        <f t="shared" si="39"/>
        <v>3049341.849268944</v>
      </c>
      <c r="BL50" s="203">
        <f t="shared" si="40"/>
        <v>2896874.7568054958</v>
      </c>
      <c r="BM50" s="203">
        <f t="shared" si="41"/>
        <v>2728712.7147290488</v>
      </c>
      <c r="BN50" s="207">
        <f t="shared" si="42"/>
        <v>3401021.2966220421</v>
      </c>
      <c r="BO50" s="207">
        <f t="shared" si="43"/>
        <v>3239067.9015448028</v>
      </c>
      <c r="BP50" s="207">
        <f t="shared" si="44"/>
        <v>3077114.5064675617</v>
      </c>
      <c r="BQ50" s="207">
        <f t="shared" si="45"/>
        <v>2898489.6425879574</v>
      </c>
      <c r="BR50" s="203">
        <f t="shared" si="46"/>
        <v>3664444.9296571016</v>
      </c>
      <c r="BS50" s="203">
        <f t="shared" si="47"/>
        <v>3489947.5520543833</v>
      </c>
      <c r="BT50" s="203">
        <f t="shared" si="48"/>
        <v>3315450.1744516632</v>
      </c>
      <c r="BU50" s="203">
        <f t="shared" si="49"/>
        <v>3122990.0515455152</v>
      </c>
      <c r="BV50" s="154">
        <f t="shared" si="84"/>
        <v>3783214.8905162546</v>
      </c>
      <c r="BW50" s="154">
        <f t="shared" si="50"/>
        <v>3603061.8004916715</v>
      </c>
      <c r="BX50" s="154">
        <f t="shared" si="51"/>
        <v>3422908.7104670871</v>
      </c>
      <c r="BY50" s="154">
        <f t="shared" si="52"/>
        <v>3224210.6765803392</v>
      </c>
      <c r="BZ50" s="203">
        <f t="shared" si="85"/>
        <v>3881499.2157204384</v>
      </c>
      <c r="CA50" s="203">
        <f t="shared" si="53"/>
        <v>3696665.9197337516</v>
      </c>
      <c r="CB50" s="203">
        <f t="shared" si="54"/>
        <v>3511832.6237470633</v>
      </c>
      <c r="CC50" s="203">
        <f t="shared" si="55"/>
        <v>3307972.6038920023</v>
      </c>
      <c r="CD50" s="154">
        <f t="shared" si="86"/>
        <v>3986103.8390798769</v>
      </c>
      <c r="CE50" s="154">
        <f t="shared" si="56"/>
        <v>3796289.3705522642</v>
      </c>
      <c r="CF50" s="154">
        <f t="shared" si="57"/>
        <v>3606474.9020246505</v>
      </c>
      <c r="CG50" s="154">
        <f t="shared" si="58"/>
        <v>3397120.9481482659</v>
      </c>
    </row>
    <row r="51" spans="1:85" ht="15" x14ac:dyDescent="0.4">
      <c r="A51" s="4" t="s">
        <v>48</v>
      </c>
      <c r="B51" s="30">
        <f t="shared" si="87"/>
        <v>27262343.640000001</v>
      </c>
      <c r="C51" s="30">
        <f t="shared" si="88"/>
        <v>25964136.800000001</v>
      </c>
      <c r="D51" s="30">
        <f t="shared" si="89"/>
        <v>24665929.960000001</v>
      </c>
      <c r="E51" s="30">
        <f t="shared" si="90"/>
        <v>23367723.119999997</v>
      </c>
      <c r="F51" s="28">
        <f t="shared" si="4"/>
        <v>27618177.442530125</v>
      </c>
      <c r="G51" s="28">
        <f t="shared" si="5"/>
        <v>26303026.135742977</v>
      </c>
      <c r="H51" s="28">
        <f t="shared" si="6"/>
        <v>24987874.828955829</v>
      </c>
      <c r="I51" s="28">
        <f t="shared" si="7"/>
        <v>23672723.522168677</v>
      </c>
      <c r="J51" s="30">
        <f t="shared" si="8"/>
        <v>28594804.371320486</v>
      </c>
      <c r="K51" s="30">
        <f t="shared" si="9"/>
        <v>27233147.020305224</v>
      </c>
      <c r="L51" s="30">
        <f t="shared" si="10"/>
        <v>25871489.669289965</v>
      </c>
      <c r="M51" s="30">
        <f t="shared" si="11"/>
        <v>24509832.318274699</v>
      </c>
      <c r="N51" s="28">
        <f t="shared" si="61"/>
        <v>29639997.736675307</v>
      </c>
      <c r="O51" s="28">
        <f t="shared" si="62"/>
        <v>28228569.273024101</v>
      </c>
      <c r="P51" s="28">
        <f t="shared" si="12"/>
        <v>26817140.809372898</v>
      </c>
      <c r="Q51" s="28">
        <f t="shared" si="13"/>
        <v>25405712.345721688</v>
      </c>
      <c r="R51" s="30">
        <f t="shared" si="63"/>
        <v>29639997.736675307</v>
      </c>
      <c r="S51" s="30">
        <f t="shared" si="14"/>
        <v>28228569.273024101</v>
      </c>
      <c r="T51" s="30">
        <f t="shared" si="15"/>
        <v>26817140.809372898</v>
      </c>
      <c r="U51" s="30">
        <f t="shared" si="64"/>
        <v>25405712.345721688</v>
      </c>
      <c r="V51" s="97">
        <f t="shared" si="65"/>
        <v>29987434.116423085</v>
      </c>
      <c r="W51" s="97">
        <f t="shared" si="16"/>
        <v>28559461.063260078</v>
      </c>
      <c r="X51" s="97">
        <f t="shared" si="17"/>
        <v>27131488.010097079</v>
      </c>
      <c r="Y51" s="97">
        <f t="shared" si="18"/>
        <v>25703514.956934068</v>
      </c>
      <c r="Z51" s="97">
        <f t="shared" si="66"/>
        <v>31044551.120312333</v>
      </c>
      <c r="AA51" s="97">
        <f t="shared" si="19"/>
        <v>29566239.16220222</v>
      </c>
      <c r="AB51" s="97">
        <f t="shared" si="20"/>
        <v>28087927.204092115</v>
      </c>
      <c r="AC51" s="97">
        <f t="shared" si="67"/>
        <v>26609615.245981995</v>
      </c>
      <c r="AD51" s="30">
        <f t="shared" si="68"/>
        <v>31715840.984260682</v>
      </c>
      <c r="AE51" s="30">
        <f t="shared" si="69"/>
        <v>30205562.842153028</v>
      </c>
      <c r="AF51" s="30">
        <f t="shared" si="70"/>
        <v>28695284.700045384</v>
      </c>
      <c r="AG51" s="30">
        <f t="shared" si="71"/>
        <v>27185006.557937723</v>
      </c>
      <c r="AH51" s="30">
        <f t="shared" si="72"/>
        <v>32021458.857369516</v>
      </c>
      <c r="AI51" s="30">
        <f t="shared" si="73"/>
        <v>30496627.483209062</v>
      </c>
      <c r="AJ51" s="30">
        <f t="shared" si="74"/>
        <v>28971796.109048616</v>
      </c>
      <c r="AK51" s="30">
        <f t="shared" si="75"/>
        <v>27446964.734888151</v>
      </c>
      <c r="AL51" s="97">
        <f t="shared" si="22"/>
        <v>32554404.874764785</v>
      </c>
      <c r="AM51" s="97">
        <f t="shared" si="23"/>
        <v>31004195.118823607</v>
      </c>
      <c r="AN51" s="97">
        <f t="shared" si="24"/>
        <v>29453985.362882432</v>
      </c>
      <c r="AO51" s="97">
        <f t="shared" si="25"/>
        <v>27903775.606941238</v>
      </c>
      <c r="AP51" s="97">
        <f t="shared" si="26"/>
        <v>32609934.367186986</v>
      </c>
      <c r="AQ51" s="97">
        <f t="shared" si="27"/>
        <v>31057080.349701893</v>
      </c>
      <c r="AR51" s="97">
        <f t="shared" si="28"/>
        <v>29504226.332216803</v>
      </c>
      <c r="AS51" s="97">
        <f t="shared" si="29"/>
        <v>27951372.314731695</v>
      </c>
      <c r="AT51" s="97">
        <f t="shared" si="76"/>
        <v>33143428.824013587</v>
      </c>
      <c r="AU51" s="97">
        <f t="shared" si="77"/>
        <v>31565170.30858437</v>
      </c>
      <c r="AV51" s="97">
        <f t="shared" si="78"/>
        <v>29986911.793155156</v>
      </c>
      <c r="AW51" s="97">
        <f t="shared" si="79"/>
        <v>28408653.277725924</v>
      </c>
      <c r="AX51" s="97">
        <f t="shared" si="80"/>
        <v>33819928.862559572</v>
      </c>
      <c r="AY51" s="97">
        <f t="shared" si="81"/>
        <v>32209456.059580546</v>
      </c>
      <c r="AZ51" s="97">
        <f t="shared" si="82"/>
        <v>30598983.256601524</v>
      </c>
      <c r="BA51" s="97">
        <f t="shared" si="83"/>
        <v>28988510.453622483</v>
      </c>
      <c r="BB51" s="142">
        <f t="shared" si="31"/>
        <v>34673026.39799393</v>
      </c>
      <c r="BC51" s="142">
        <f t="shared" si="32"/>
        <v>33021929.902851358</v>
      </c>
      <c r="BD51" s="142">
        <f t="shared" si="33"/>
        <v>31370833.407708798</v>
      </c>
      <c r="BE51" s="142">
        <f t="shared" si="34"/>
        <v>29719736.912566215</v>
      </c>
      <c r="BF51" s="154">
        <f t="shared" si="35"/>
        <v>35284673.473785102</v>
      </c>
      <c r="BG51" s="154">
        <f t="shared" si="36"/>
        <v>33604450.92741438</v>
      </c>
      <c r="BH51" s="154">
        <f t="shared" si="37"/>
        <v>31924228.381043673</v>
      </c>
      <c r="BI51" s="154">
        <f t="shared" si="37"/>
        <v>30071043.867747281</v>
      </c>
      <c r="BJ51" s="203">
        <f t="shared" si="38"/>
        <v>35701761.661311835</v>
      </c>
      <c r="BK51" s="203">
        <f t="shared" si="39"/>
        <v>34001677.772677936</v>
      </c>
      <c r="BL51" s="203">
        <f t="shared" si="40"/>
        <v>32301593.884044047</v>
      </c>
      <c r="BM51" s="203">
        <f t="shared" si="41"/>
        <v>30426503.503590412</v>
      </c>
      <c r="BN51" s="207">
        <f t="shared" si="42"/>
        <v>37923078.468057595</v>
      </c>
      <c r="BO51" s="207">
        <f t="shared" si="43"/>
        <v>36117217.58862628</v>
      </c>
      <c r="BP51" s="207">
        <f t="shared" si="44"/>
        <v>34311356.709194973</v>
      </c>
      <c r="BQ51" s="207">
        <f t="shared" si="45"/>
        <v>32319600.66345058</v>
      </c>
      <c r="BR51" s="203">
        <f t="shared" si="46"/>
        <v>40860382.952405125</v>
      </c>
      <c r="BS51" s="203">
        <f t="shared" si="47"/>
        <v>38914650.430862024</v>
      </c>
      <c r="BT51" s="203">
        <f t="shared" si="48"/>
        <v>36968917.909318931</v>
      </c>
      <c r="BU51" s="203">
        <f t="shared" si="49"/>
        <v>34822891.846444488</v>
      </c>
      <c r="BV51" s="154">
        <f t="shared" si="84"/>
        <v>42184727.069210082</v>
      </c>
      <c r="BW51" s="154">
        <f t="shared" si="50"/>
        <v>40175930.54210484</v>
      </c>
      <c r="BX51" s="154">
        <f t="shared" si="51"/>
        <v>38167134.014999613</v>
      </c>
      <c r="BY51" s="154">
        <f t="shared" si="52"/>
        <v>35951552.143160075</v>
      </c>
      <c r="BZ51" s="203">
        <f t="shared" si="85"/>
        <v>43280646.162865959</v>
      </c>
      <c r="CA51" s="203">
        <f t="shared" si="53"/>
        <v>41219663.012253292</v>
      </c>
      <c r="CB51" s="203">
        <f t="shared" si="54"/>
        <v>39158679.861640647</v>
      </c>
      <c r="CC51" s="203">
        <f t="shared" si="55"/>
        <v>36885539.279680185</v>
      </c>
      <c r="CD51" s="154">
        <f t="shared" si="86"/>
        <v>44447039.723447777</v>
      </c>
      <c r="CE51" s="154">
        <f t="shared" si="56"/>
        <v>42330514.022331215</v>
      </c>
      <c r="CF51" s="154">
        <f t="shared" si="57"/>
        <v>40213988.321214676</v>
      </c>
      <c r="CG51" s="154">
        <f t="shared" si="58"/>
        <v>37879587.643295415</v>
      </c>
    </row>
    <row r="52" spans="1:85" ht="15" x14ac:dyDescent="0.4">
      <c r="A52" s="4" t="s">
        <v>49</v>
      </c>
      <c r="B52" s="30">
        <f t="shared" si="87"/>
        <v>21423891.404999997</v>
      </c>
      <c r="C52" s="30">
        <f t="shared" si="88"/>
        <v>20403706.100000001</v>
      </c>
      <c r="D52" s="30">
        <f t="shared" si="89"/>
        <v>19383520.795000002</v>
      </c>
      <c r="E52" s="30">
        <f t="shared" si="90"/>
        <v>18363335.489999998</v>
      </c>
      <c r="F52" s="28">
        <f t="shared" si="4"/>
        <v>21703520.509683736</v>
      </c>
      <c r="G52" s="28">
        <f t="shared" si="5"/>
        <v>20670019.533032134</v>
      </c>
      <c r="H52" s="28">
        <f t="shared" si="6"/>
        <v>19636518.556380525</v>
      </c>
      <c r="I52" s="28">
        <f t="shared" si="7"/>
        <v>18603017.579728916</v>
      </c>
      <c r="J52" s="30">
        <f t="shared" si="8"/>
        <v>22470994.85238494</v>
      </c>
      <c r="K52" s="30">
        <f t="shared" si="9"/>
        <v>21400947.47846185</v>
      </c>
      <c r="L52" s="30">
        <f t="shared" si="10"/>
        <v>20330900.104538757</v>
      </c>
      <c r="M52" s="30">
        <f t="shared" si="11"/>
        <v>19260852.730615661</v>
      </c>
      <c r="N52" s="28">
        <f t="shared" si="61"/>
        <v>23292351.572565589</v>
      </c>
      <c r="O52" s="28">
        <f t="shared" si="62"/>
        <v>22183191.973871991</v>
      </c>
      <c r="P52" s="28">
        <f t="shared" si="12"/>
        <v>21074032.375178393</v>
      </c>
      <c r="Q52" s="28">
        <f t="shared" si="13"/>
        <v>19964872.776484787</v>
      </c>
      <c r="R52" s="30">
        <f t="shared" si="63"/>
        <v>23292351.572565589</v>
      </c>
      <c r="S52" s="30">
        <f t="shared" si="14"/>
        <v>22183191.973871991</v>
      </c>
      <c r="T52" s="30">
        <f t="shared" si="15"/>
        <v>21074032.375178393</v>
      </c>
      <c r="U52" s="30">
        <f t="shared" si="64"/>
        <v>19964872.776484787</v>
      </c>
      <c r="V52" s="97">
        <f t="shared" si="65"/>
        <v>23565381.630734965</v>
      </c>
      <c r="W52" s="97">
        <f t="shared" si="16"/>
        <v>22443220.600699969</v>
      </c>
      <c r="X52" s="97">
        <f t="shared" si="17"/>
        <v>21321059.570664972</v>
      </c>
      <c r="Y52" s="97">
        <f t="shared" si="18"/>
        <v>20198898.540629968</v>
      </c>
      <c r="Z52" s="97">
        <f t="shared" si="66"/>
        <v>24396108.445449207</v>
      </c>
      <c r="AA52" s="97">
        <f t="shared" si="19"/>
        <v>23234388.995665912</v>
      </c>
      <c r="AB52" s="97">
        <f t="shared" si="20"/>
        <v>22072669.54588262</v>
      </c>
      <c r="AC52" s="97">
        <f t="shared" si="67"/>
        <v>20910950.096099317</v>
      </c>
      <c r="AD52" s="30">
        <f t="shared" si="68"/>
        <v>24923636.134793036</v>
      </c>
      <c r="AE52" s="30">
        <f t="shared" si="69"/>
        <v>23736796.318850514</v>
      </c>
      <c r="AF52" s="30">
        <f t="shared" si="70"/>
        <v>22549956.502907991</v>
      </c>
      <c r="AG52" s="30">
        <f t="shared" si="71"/>
        <v>21363116.686965458</v>
      </c>
      <c r="AH52" s="30">
        <f t="shared" si="72"/>
        <v>25163803.459046993</v>
      </c>
      <c r="AI52" s="30">
        <f t="shared" si="73"/>
        <v>23965527.103854284</v>
      </c>
      <c r="AJ52" s="30">
        <f t="shared" si="74"/>
        <v>22767250.748661574</v>
      </c>
      <c r="AK52" s="30">
        <f t="shared" si="75"/>
        <v>21568974.393468853</v>
      </c>
      <c r="AL52" s="97">
        <f t="shared" si="22"/>
        <v>25582614.759798519</v>
      </c>
      <c r="AM52" s="97">
        <f t="shared" si="23"/>
        <v>24364395.009331927</v>
      </c>
      <c r="AN52" s="97">
        <f t="shared" si="24"/>
        <v>23146175.258865334</v>
      </c>
      <c r="AO52" s="97">
        <f t="shared" si="25"/>
        <v>21927955.508398734</v>
      </c>
      <c r="AP52" s="97">
        <f t="shared" si="26"/>
        <v>25626252.160571449</v>
      </c>
      <c r="AQ52" s="97">
        <f t="shared" si="27"/>
        <v>24405954.438639477</v>
      </c>
      <c r="AR52" s="97">
        <f t="shared" si="28"/>
        <v>23185656.716707509</v>
      </c>
      <c r="AS52" s="97">
        <f t="shared" si="29"/>
        <v>21965358.99477553</v>
      </c>
      <c r="AT52" s="97">
        <f t="shared" si="76"/>
        <v>26045494.447997276</v>
      </c>
      <c r="AU52" s="97">
        <f t="shared" si="77"/>
        <v>24805232.807616454</v>
      </c>
      <c r="AV52" s="97">
        <f t="shared" si="78"/>
        <v>23564971.167235639</v>
      </c>
      <c r="AW52" s="97">
        <f t="shared" si="79"/>
        <v>22324709.526854809</v>
      </c>
      <c r="AX52" s="97">
        <f t="shared" si="80"/>
        <v>26577116.51074696</v>
      </c>
      <c r="AY52" s="97">
        <f t="shared" si="81"/>
        <v>25311539.534044724</v>
      </c>
      <c r="AZ52" s="97">
        <f t="shared" si="82"/>
        <v>24045962.557342496</v>
      </c>
      <c r="BA52" s="97">
        <f t="shared" si="83"/>
        <v>22780385.580640253</v>
      </c>
      <c r="BB52" s="142">
        <f t="shared" si="31"/>
        <v>27247516.282621406</v>
      </c>
      <c r="BC52" s="142">
        <f t="shared" si="32"/>
        <v>25950015.507258482</v>
      </c>
      <c r="BD52" s="142">
        <f t="shared" si="33"/>
        <v>24652514.731895566</v>
      </c>
      <c r="BE52" s="142">
        <f t="shared" si="34"/>
        <v>23355013.956532635</v>
      </c>
      <c r="BF52" s="154">
        <f t="shared" si="35"/>
        <v>27728174.171135057</v>
      </c>
      <c r="BG52" s="154">
        <f t="shared" si="36"/>
        <v>26407784.924890529</v>
      </c>
      <c r="BH52" s="154">
        <f t="shared" si="37"/>
        <v>25087395.678646013</v>
      </c>
      <c r="BI52" s="154">
        <f t="shared" si="37"/>
        <v>23631085.674980842</v>
      </c>
      <c r="BJ52" s="203">
        <f t="shared" si="38"/>
        <v>28055939.536940597</v>
      </c>
      <c r="BK52" s="203">
        <f t="shared" si="39"/>
        <v>26719942.416133899</v>
      </c>
      <c r="BL52" s="203">
        <f t="shared" si="40"/>
        <v>25383945.295327216</v>
      </c>
      <c r="BM52" s="203">
        <f t="shared" si="41"/>
        <v>23910420.743811488</v>
      </c>
      <c r="BN52" s="207">
        <f t="shared" si="42"/>
        <v>29801543.31452626</v>
      </c>
      <c r="BO52" s="207">
        <f t="shared" si="43"/>
        <v>28382422.204310723</v>
      </c>
      <c r="BP52" s="207">
        <f t="shared" si="44"/>
        <v>26963301.0940952</v>
      </c>
      <c r="BQ52" s="207">
        <f t="shared" si="45"/>
        <v>25398095.776725799</v>
      </c>
      <c r="BR52" s="203">
        <f t="shared" si="46"/>
        <v>32109800.195411243</v>
      </c>
      <c r="BS52" s="203">
        <f t="shared" si="47"/>
        <v>30580762.090867851</v>
      </c>
      <c r="BT52" s="203">
        <f t="shared" si="48"/>
        <v>29051723.986324474</v>
      </c>
      <c r="BU52" s="203">
        <f t="shared" si="49"/>
        <v>27365286.828520328</v>
      </c>
      <c r="BV52" s="154">
        <f t="shared" si="84"/>
        <v>33150525.267178405</v>
      </c>
      <c r="BW52" s="154">
        <f t="shared" si="50"/>
        <v>31571928.825884197</v>
      </c>
      <c r="BX52" s="154">
        <f t="shared" si="51"/>
        <v>29993332.384590004</v>
      </c>
      <c r="BY52" s="154">
        <f t="shared" si="52"/>
        <v>28252235.359038148</v>
      </c>
      <c r="BZ52" s="203">
        <f t="shared" si="85"/>
        <v>34011744.389099412</v>
      </c>
      <c r="CA52" s="203">
        <f t="shared" si="53"/>
        <v>32392137.51342801</v>
      </c>
      <c r="CB52" s="203">
        <f t="shared" si="54"/>
        <v>30772530.637756627</v>
      </c>
      <c r="CC52" s="203">
        <f t="shared" si="55"/>
        <v>28986201.567178637</v>
      </c>
      <c r="CD52" s="154">
        <f t="shared" si="86"/>
        <v>34928345.298668027</v>
      </c>
      <c r="CE52" s="154">
        <f t="shared" si="56"/>
        <v>33265090.760636218</v>
      </c>
      <c r="CF52" s="154">
        <f t="shared" si="57"/>
        <v>31601836.222604424</v>
      </c>
      <c r="CG52" s="154">
        <f t="shared" si="58"/>
        <v>29767366.402991362</v>
      </c>
    </row>
    <row r="53" spans="1:85" ht="15" x14ac:dyDescent="0.4">
      <c r="A53" s="4" t="s">
        <v>50</v>
      </c>
      <c r="B53" s="30">
        <f t="shared" si="87"/>
        <v>7350948.2549999999</v>
      </c>
      <c r="C53" s="30">
        <f t="shared" si="88"/>
        <v>7000903.1000000006</v>
      </c>
      <c r="D53" s="30">
        <f t="shared" si="89"/>
        <v>6650857.9450000003</v>
      </c>
      <c r="E53" s="30">
        <f t="shared" si="90"/>
        <v>6300812.79</v>
      </c>
      <c r="F53" s="28">
        <f t="shared" si="4"/>
        <v>7446894.3667620495</v>
      </c>
      <c r="G53" s="28">
        <f t="shared" si="5"/>
        <v>7092280.3492971901</v>
      </c>
      <c r="H53" s="28">
        <f t="shared" si="6"/>
        <v>6737666.3318323307</v>
      </c>
      <c r="I53" s="28">
        <f t="shared" si="7"/>
        <v>6383052.3143674713</v>
      </c>
      <c r="J53" s="30">
        <f t="shared" si="8"/>
        <v>7710229.541198194</v>
      </c>
      <c r="K53" s="30">
        <f t="shared" si="9"/>
        <v>7343075.7535220897</v>
      </c>
      <c r="L53" s="30">
        <f t="shared" si="10"/>
        <v>6975921.9658459853</v>
      </c>
      <c r="M53" s="30">
        <f t="shared" si="11"/>
        <v>6608768.178169881</v>
      </c>
      <c r="N53" s="28">
        <f t="shared" si="61"/>
        <v>7992052.7933238717</v>
      </c>
      <c r="O53" s="28">
        <f t="shared" si="62"/>
        <v>7611478.8507846398</v>
      </c>
      <c r="P53" s="28">
        <f t="shared" si="12"/>
        <v>7230904.908245408</v>
      </c>
      <c r="Q53" s="28">
        <f t="shared" si="13"/>
        <v>6850330.9657061761</v>
      </c>
      <c r="R53" s="30">
        <f t="shared" si="63"/>
        <v>7992052.7933238717</v>
      </c>
      <c r="S53" s="30">
        <f t="shared" si="14"/>
        <v>7611478.8507846398</v>
      </c>
      <c r="T53" s="30">
        <f t="shared" si="15"/>
        <v>7230904.908245408</v>
      </c>
      <c r="U53" s="30">
        <f t="shared" si="64"/>
        <v>6850330.9657061761</v>
      </c>
      <c r="V53" s="97">
        <f t="shared" si="65"/>
        <v>8085734.6455943845</v>
      </c>
      <c r="W53" s="97">
        <f t="shared" si="16"/>
        <v>7700699.6624708427</v>
      </c>
      <c r="X53" s="97">
        <f t="shared" si="17"/>
        <v>7315664.6793473009</v>
      </c>
      <c r="Y53" s="97">
        <f t="shared" si="18"/>
        <v>6930629.6962237591</v>
      </c>
      <c r="Z53" s="97">
        <f t="shared" si="66"/>
        <v>8370772.9569620462</v>
      </c>
      <c r="AA53" s="97">
        <f t="shared" si="19"/>
        <v>7972164.7209162349</v>
      </c>
      <c r="AB53" s="97">
        <f t="shared" si="20"/>
        <v>7573556.4848704236</v>
      </c>
      <c r="AC53" s="97">
        <f t="shared" si="67"/>
        <v>7174948.2488246122</v>
      </c>
      <c r="AD53" s="30">
        <f t="shared" si="68"/>
        <v>8551777.8301729504</v>
      </c>
      <c r="AE53" s="30">
        <f t="shared" si="69"/>
        <v>8144550.3144504298</v>
      </c>
      <c r="AF53" s="30">
        <f t="shared" si="70"/>
        <v>7737322.7987279082</v>
      </c>
      <c r="AG53" s="30">
        <f t="shared" si="71"/>
        <v>7330095.2830053875</v>
      </c>
      <c r="AH53" s="30">
        <f t="shared" si="72"/>
        <v>8634183.8478173744</v>
      </c>
      <c r="AI53" s="30">
        <f t="shared" si="73"/>
        <v>8223032.2360165482</v>
      </c>
      <c r="AJ53" s="30">
        <f t="shared" si="74"/>
        <v>7811880.6242157212</v>
      </c>
      <c r="AK53" s="30">
        <f t="shared" si="75"/>
        <v>7400729.0124148941</v>
      </c>
      <c r="AL53" s="97">
        <f t="shared" si="22"/>
        <v>8777886.0418882053</v>
      </c>
      <c r="AM53" s="97">
        <f t="shared" si="23"/>
        <v>8359891.4684649585</v>
      </c>
      <c r="AN53" s="97">
        <f t="shared" si="24"/>
        <v>7941896.8950417107</v>
      </c>
      <c r="AO53" s="97">
        <f t="shared" si="25"/>
        <v>7523902.3216184629</v>
      </c>
      <c r="AP53" s="97">
        <f t="shared" si="26"/>
        <v>8792858.8714736663</v>
      </c>
      <c r="AQ53" s="97">
        <f t="shared" si="27"/>
        <v>8374151.3061653981</v>
      </c>
      <c r="AR53" s="97">
        <f t="shared" si="28"/>
        <v>7955443.7408571281</v>
      </c>
      <c r="AS53" s="97">
        <f t="shared" si="29"/>
        <v>7536736.175548858</v>
      </c>
      <c r="AT53" s="97">
        <f t="shared" si="76"/>
        <v>8936708.9453428723</v>
      </c>
      <c r="AU53" s="97">
        <f t="shared" si="77"/>
        <v>8511151.376517022</v>
      </c>
      <c r="AV53" s="97">
        <f t="shared" si="78"/>
        <v>8085593.8076911708</v>
      </c>
      <c r="AW53" s="97">
        <f t="shared" si="79"/>
        <v>7660036.2388653196</v>
      </c>
      <c r="AX53" s="97">
        <f t="shared" si="80"/>
        <v>9119118.6766383369</v>
      </c>
      <c r="AY53" s="97">
        <f t="shared" si="81"/>
        <v>8684874.9301317502</v>
      </c>
      <c r="AZ53" s="97">
        <f t="shared" si="82"/>
        <v>8250631.1836251635</v>
      </c>
      <c r="BA53" s="97">
        <f t="shared" si="83"/>
        <v>7816387.4371185759</v>
      </c>
      <c r="BB53" s="142">
        <f t="shared" si="31"/>
        <v>9349145.7030105256</v>
      </c>
      <c r="BC53" s="142">
        <f t="shared" si="32"/>
        <v>8903948.2885814551</v>
      </c>
      <c r="BD53" s="142">
        <f t="shared" si="33"/>
        <v>8458750.8741523828</v>
      </c>
      <c r="BE53" s="142">
        <f t="shared" si="34"/>
        <v>8013553.4597233096</v>
      </c>
      <c r="BF53" s="154">
        <f t="shared" si="35"/>
        <v>9514068.6481481586</v>
      </c>
      <c r="BG53" s="154">
        <f t="shared" si="36"/>
        <v>9061017.7601411045</v>
      </c>
      <c r="BH53" s="154">
        <f t="shared" si="37"/>
        <v>8607966.8721340504</v>
      </c>
      <c r="BI53" s="154">
        <f t="shared" si="37"/>
        <v>8108278.9640034549</v>
      </c>
      <c r="BJ53" s="203">
        <f t="shared" si="38"/>
        <v>9626531.2348122858</v>
      </c>
      <c r="BK53" s="203">
        <f t="shared" si="39"/>
        <v>9168124.9855355117</v>
      </c>
      <c r="BL53" s="203">
        <f t="shared" si="40"/>
        <v>8709718.7362587377</v>
      </c>
      <c r="BM53" s="203">
        <f t="shared" si="41"/>
        <v>8204124.1864219047</v>
      </c>
      <c r="BN53" s="207">
        <f t="shared" si="42"/>
        <v>10225481.388180315</v>
      </c>
      <c r="BO53" s="207">
        <f t="shared" si="43"/>
        <v>9738553.7030288726</v>
      </c>
      <c r="BP53" s="207">
        <f t="shared" si="44"/>
        <v>9251626.0178774316</v>
      </c>
      <c r="BQ53" s="207">
        <f t="shared" si="45"/>
        <v>8714574.0379673745</v>
      </c>
      <c r="BR53" s="203">
        <f t="shared" si="46"/>
        <v>11017488.618326804</v>
      </c>
      <c r="BS53" s="203">
        <f t="shared" si="47"/>
        <v>10492846.303168386</v>
      </c>
      <c r="BT53" s="203">
        <f t="shared" si="48"/>
        <v>9968203.9880099688</v>
      </c>
      <c r="BU53" s="203">
        <f t="shared" si="49"/>
        <v>9389555.0372673292</v>
      </c>
      <c r="BV53" s="154">
        <f t="shared" si="84"/>
        <v>11374581.361452645</v>
      </c>
      <c r="BW53" s="154">
        <f t="shared" si="50"/>
        <v>10832934.629954902</v>
      </c>
      <c r="BX53" s="154">
        <f t="shared" si="51"/>
        <v>10291287.898457158</v>
      </c>
      <c r="BY53" s="154">
        <f t="shared" si="52"/>
        <v>9693884.0981942881</v>
      </c>
      <c r="BZ53" s="203">
        <f t="shared" si="85"/>
        <v>11670082.168555332</v>
      </c>
      <c r="CA53" s="203">
        <f t="shared" si="53"/>
        <v>11114363.9700527</v>
      </c>
      <c r="CB53" s="203">
        <f t="shared" si="54"/>
        <v>10558645.771550067</v>
      </c>
      <c r="CC53" s="203">
        <f t="shared" si="55"/>
        <v>9945721.9886580203</v>
      </c>
      <c r="CD53" s="154">
        <f t="shared" si="86"/>
        <v>11984585.529749196</v>
      </c>
      <c r="CE53" s="154">
        <f t="shared" si="56"/>
        <v>11413890.980713524</v>
      </c>
      <c r="CF53" s="154">
        <f t="shared" si="57"/>
        <v>10843196.43167785</v>
      </c>
      <c r="CG53" s="154">
        <f t="shared" si="58"/>
        <v>10213754.633994561</v>
      </c>
    </row>
    <row r="54" spans="1:85" ht="15" x14ac:dyDescent="0.4">
      <c r="A54" s="4" t="s">
        <v>51</v>
      </c>
      <c r="B54" s="30">
        <f t="shared" si="87"/>
        <v>20150468.414999999</v>
      </c>
      <c r="C54" s="30">
        <f t="shared" si="88"/>
        <v>19190922.300000001</v>
      </c>
      <c r="D54" s="30">
        <f t="shared" si="89"/>
        <v>18231376.184999999</v>
      </c>
      <c r="E54" s="30">
        <f t="shared" si="90"/>
        <v>17271830.07</v>
      </c>
      <c r="F54" s="28">
        <f t="shared" si="4"/>
        <v>20413476.536882531</v>
      </c>
      <c r="G54" s="28">
        <f t="shared" si="5"/>
        <v>19441406.225602414</v>
      </c>
      <c r="H54" s="28">
        <f t="shared" si="6"/>
        <v>18469335.914322291</v>
      </c>
      <c r="I54" s="28">
        <f t="shared" si="7"/>
        <v>17497265.60304217</v>
      </c>
      <c r="J54" s="30">
        <f t="shared" si="8"/>
        <v>21135332.674480122</v>
      </c>
      <c r="K54" s="30">
        <f t="shared" si="9"/>
        <v>20128888.261409644</v>
      </c>
      <c r="L54" s="30">
        <f t="shared" si="10"/>
        <v>19122443.848339159</v>
      </c>
      <c r="M54" s="30">
        <f t="shared" si="11"/>
        <v>18115999.435268674</v>
      </c>
      <c r="N54" s="28">
        <f t="shared" si="61"/>
        <v>21907868.454025079</v>
      </c>
      <c r="O54" s="28">
        <f t="shared" si="62"/>
        <v>20864636.622881029</v>
      </c>
      <c r="P54" s="28">
        <f t="shared" si="12"/>
        <v>19821404.791736975</v>
      </c>
      <c r="Q54" s="28">
        <f t="shared" si="13"/>
        <v>18778172.960592922</v>
      </c>
      <c r="R54" s="30">
        <f t="shared" si="63"/>
        <v>21907868.454025079</v>
      </c>
      <c r="S54" s="30">
        <f t="shared" si="14"/>
        <v>20864636.622881029</v>
      </c>
      <c r="T54" s="30">
        <f t="shared" si="15"/>
        <v>19821404.791736975</v>
      </c>
      <c r="U54" s="30">
        <f t="shared" si="64"/>
        <v>18778172.960592922</v>
      </c>
      <c r="V54" s="97">
        <f t="shared" si="65"/>
        <v>22164669.772678308</v>
      </c>
      <c r="W54" s="97">
        <f t="shared" si="16"/>
        <v>21109209.307312679</v>
      </c>
      <c r="X54" s="97">
        <f t="shared" si="17"/>
        <v>20053748.841947041</v>
      </c>
      <c r="Y54" s="97">
        <f t="shared" si="18"/>
        <v>18998288.376581404</v>
      </c>
      <c r="Z54" s="97">
        <f t="shared" si="66"/>
        <v>22946018.694073893</v>
      </c>
      <c r="AA54" s="97">
        <f t="shared" si="19"/>
        <v>21853351.137213234</v>
      </c>
      <c r="AB54" s="97">
        <f t="shared" si="20"/>
        <v>20760683.580352571</v>
      </c>
      <c r="AC54" s="97">
        <f t="shared" si="67"/>
        <v>19668016.023491904</v>
      </c>
      <c r="AD54" s="30">
        <f t="shared" si="68"/>
        <v>23442190.460500974</v>
      </c>
      <c r="AE54" s="30">
        <f t="shared" si="69"/>
        <v>22325895.676667597</v>
      </c>
      <c r="AF54" s="30">
        <f t="shared" si="70"/>
        <v>21209600.892834213</v>
      </c>
      <c r="AG54" s="30">
        <f t="shared" si="71"/>
        <v>20093306.109000828</v>
      </c>
      <c r="AH54" s="30">
        <f t="shared" si="72"/>
        <v>23668082.386025064</v>
      </c>
      <c r="AI54" s="30">
        <f t="shared" si="73"/>
        <v>22541030.843833398</v>
      </c>
      <c r="AJ54" s="30">
        <f t="shared" si="74"/>
        <v>21413979.301641725</v>
      </c>
      <c r="AK54" s="30">
        <f t="shared" si="75"/>
        <v>20286927.759450048</v>
      </c>
      <c r="AL54" s="97">
        <f t="shared" si="22"/>
        <v>24061999.799444605</v>
      </c>
      <c r="AM54" s="97">
        <f t="shared" si="23"/>
        <v>22916190.285185341</v>
      </c>
      <c r="AN54" s="97">
        <f t="shared" si="24"/>
        <v>21770380.770926069</v>
      </c>
      <c r="AO54" s="97">
        <f t="shared" si="25"/>
        <v>20624571.256666794</v>
      </c>
      <c r="AP54" s="97">
        <f t="shared" si="26"/>
        <v>24103043.419829197</v>
      </c>
      <c r="AQ54" s="97">
        <f t="shared" si="27"/>
        <v>22955279.447456382</v>
      </c>
      <c r="AR54" s="97">
        <f t="shared" si="28"/>
        <v>21807515.47508356</v>
      </c>
      <c r="AS54" s="97">
        <f t="shared" si="29"/>
        <v>20659751.502710734</v>
      </c>
      <c r="AT54" s="97">
        <f t="shared" si="76"/>
        <v>24497366.202338956</v>
      </c>
      <c r="AU54" s="97">
        <f t="shared" si="77"/>
        <v>23330824.954608534</v>
      </c>
      <c r="AV54" s="97">
        <f t="shared" si="78"/>
        <v>22164283.706878103</v>
      </c>
      <c r="AW54" s="97">
        <f t="shared" si="79"/>
        <v>20997742.459147669</v>
      </c>
      <c r="AX54" s="97">
        <f t="shared" si="80"/>
        <v>24997388.975123107</v>
      </c>
      <c r="AY54" s="97">
        <f t="shared" si="81"/>
        <v>23807037.119164865</v>
      </c>
      <c r="AZ54" s="97">
        <f t="shared" si="82"/>
        <v>22616685.26320662</v>
      </c>
      <c r="BA54" s="97">
        <f t="shared" si="83"/>
        <v>21426333.40724837</v>
      </c>
      <c r="BB54" s="142">
        <f t="shared" si="31"/>
        <v>25627940.594957516</v>
      </c>
      <c r="BC54" s="142">
        <f t="shared" si="32"/>
        <v>24407562.471388113</v>
      </c>
      <c r="BD54" s="142">
        <f t="shared" si="33"/>
        <v>23187184.347818706</v>
      </c>
      <c r="BE54" s="142">
        <f t="shared" si="34"/>
        <v>21966806.224249292</v>
      </c>
      <c r="BF54" s="154">
        <f t="shared" si="35"/>
        <v>26080028.472823367</v>
      </c>
      <c r="BG54" s="154">
        <f t="shared" si="36"/>
        <v>24838122.355069876</v>
      </c>
      <c r="BH54" s="154">
        <f t="shared" si="37"/>
        <v>23596216.237316381</v>
      </c>
      <c r="BI54" s="154">
        <f t="shared" si="37"/>
        <v>22226468.408756401</v>
      </c>
      <c r="BJ54" s="203">
        <f t="shared" si="38"/>
        <v>26388311.665934309</v>
      </c>
      <c r="BK54" s="203">
        <f t="shared" si="39"/>
        <v>25131725.396127917</v>
      </c>
      <c r="BL54" s="203">
        <f t="shared" si="40"/>
        <v>23875139.126321521</v>
      </c>
      <c r="BM54" s="203">
        <f t="shared" si="41"/>
        <v>22489199.97209695</v>
      </c>
      <c r="BN54" s="207">
        <f t="shared" si="42"/>
        <v>28030157.823590588</v>
      </c>
      <c r="BO54" s="207">
        <f t="shared" si="43"/>
        <v>26695388.40341961</v>
      </c>
      <c r="BP54" s="207">
        <f t="shared" si="44"/>
        <v>25360618.983248629</v>
      </c>
      <c r="BQ54" s="207">
        <f t="shared" si="45"/>
        <v>23888448.5117683</v>
      </c>
      <c r="BR54" s="203">
        <f t="shared" si="46"/>
        <v>30201213.328526728</v>
      </c>
      <c r="BS54" s="203">
        <f t="shared" si="47"/>
        <v>28763060.312882598</v>
      </c>
      <c r="BT54" s="203">
        <f t="shared" si="48"/>
        <v>27324907.297238469</v>
      </c>
      <c r="BU54" s="203">
        <f t="shared" si="49"/>
        <v>25738710.931704063</v>
      </c>
      <c r="BV54" s="154">
        <f t="shared" si="84"/>
        <v>31180078.339131128</v>
      </c>
      <c r="BW54" s="154">
        <f t="shared" si="50"/>
        <v>29695312.703934409</v>
      </c>
      <c r="BX54" s="154">
        <f t="shared" si="51"/>
        <v>28210547.068737689</v>
      </c>
      <c r="BY54" s="154">
        <f t="shared" si="52"/>
        <v>26572939.78453324</v>
      </c>
      <c r="BZ54" s="203">
        <f t="shared" si="85"/>
        <v>31990107.123659652</v>
      </c>
      <c r="CA54" s="203">
        <f t="shared" si="53"/>
        <v>30466768.689199671</v>
      </c>
      <c r="CB54" s="203">
        <f t="shared" si="54"/>
        <v>28943430.254739687</v>
      </c>
      <c r="CC54" s="203">
        <f t="shared" si="55"/>
        <v>27263279.490575653</v>
      </c>
      <c r="CD54" s="154">
        <f t="shared" si="86"/>
        <v>32852225.836281214</v>
      </c>
      <c r="CE54" s="154">
        <f t="shared" si="56"/>
        <v>31287834.129791632</v>
      </c>
      <c r="CF54" s="154">
        <f t="shared" si="57"/>
        <v>29723442.423302051</v>
      </c>
      <c r="CG54" s="154">
        <f t="shared" si="58"/>
        <v>27998012.366755158</v>
      </c>
    </row>
    <row r="55" spans="1:85" ht="15" x14ac:dyDescent="0.4">
      <c r="A55" s="4" t="s">
        <v>52</v>
      </c>
      <c r="B55" s="30">
        <f t="shared" si="87"/>
        <v>2564988.7199999997</v>
      </c>
      <c r="C55" s="30">
        <f t="shared" si="88"/>
        <v>2442846.4</v>
      </c>
      <c r="D55" s="30">
        <f t="shared" si="89"/>
        <v>2320704.08</v>
      </c>
      <c r="E55" s="30">
        <f t="shared" si="90"/>
        <v>2198561.7599999998</v>
      </c>
      <c r="F55" s="28">
        <f t="shared" si="4"/>
        <v>2598467.488433735</v>
      </c>
      <c r="G55" s="28">
        <f t="shared" si="5"/>
        <v>2474730.9413654623</v>
      </c>
      <c r="H55" s="28">
        <f t="shared" si="6"/>
        <v>2350994.3942971891</v>
      </c>
      <c r="I55" s="28">
        <f t="shared" si="7"/>
        <v>2227257.8472289159</v>
      </c>
      <c r="J55" s="30">
        <f t="shared" si="8"/>
        <v>2690353.8313349397</v>
      </c>
      <c r="K55" s="30">
        <f t="shared" si="9"/>
        <v>2562241.7441285145</v>
      </c>
      <c r="L55" s="30">
        <f t="shared" si="10"/>
        <v>2434129.6569220885</v>
      </c>
      <c r="M55" s="30">
        <f t="shared" si="11"/>
        <v>2306017.5697156629</v>
      </c>
      <c r="N55" s="28">
        <f t="shared" si="61"/>
        <v>2788691.2753843372</v>
      </c>
      <c r="O55" s="28">
        <f t="shared" si="62"/>
        <v>2655896.4527469887</v>
      </c>
      <c r="P55" s="28">
        <f t="shared" si="12"/>
        <v>2523101.6301096389</v>
      </c>
      <c r="Q55" s="28">
        <f t="shared" si="13"/>
        <v>2390306.8074722895</v>
      </c>
      <c r="R55" s="30">
        <f t="shared" si="63"/>
        <v>2788691.2753843372</v>
      </c>
      <c r="S55" s="30">
        <f t="shared" si="14"/>
        <v>2655896.4527469887</v>
      </c>
      <c r="T55" s="30">
        <f t="shared" si="15"/>
        <v>2523101.6301096389</v>
      </c>
      <c r="U55" s="30">
        <f t="shared" si="64"/>
        <v>2390306.8074722895</v>
      </c>
      <c r="V55" s="97">
        <f t="shared" si="65"/>
        <v>2821379.9688708037</v>
      </c>
      <c r="W55" s="97">
        <f t="shared" si="16"/>
        <v>2687028.5417817188</v>
      </c>
      <c r="X55" s="97">
        <f t="shared" si="17"/>
        <v>2552677.1146926326</v>
      </c>
      <c r="Y55" s="97">
        <f t="shared" si="18"/>
        <v>2418325.6876035468</v>
      </c>
      <c r="Z55" s="97">
        <f t="shared" si="66"/>
        <v>2920839.2533146306</v>
      </c>
      <c r="AA55" s="97">
        <f t="shared" si="19"/>
        <v>2781751.6698234589</v>
      </c>
      <c r="AB55" s="97">
        <f t="shared" si="20"/>
        <v>2642664.0863322858</v>
      </c>
      <c r="AC55" s="97">
        <f t="shared" si="67"/>
        <v>2503576.5028411127</v>
      </c>
      <c r="AD55" s="30">
        <f t="shared" si="68"/>
        <v>2983997.8339419947</v>
      </c>
      <c r="AE55" s="30">
        <f t="shared" si="69"/>
        <v>2841902.6989923771</v>
      </c>
      <c r="AF55" s="30">
        <f t="shared" si="70"/>
        <v>2699807.5640427582</v>
      </c>
      <c r="AG55" s="30">
        <f t="shared" si="71"/>
        <v>2557712.4290931392</v>
      </c>
      <c r="AH55" s="30">
        <f t="shared" si="72"/>
        <v>3012752.0161761437</v>
      </c>
      <c r="AI55" s="30">
        <f t="shared" si="73"/>
        <v>2869287.6344534713</v>
      </c>
      <c r="AJ55" s="30">
        <f t="shared" si="74"/>
        <v>2725823.252730798</v>
      </c>
      <c r="AK55" s="30">
        <f t="shared" si="75"/>
        <v>2582358.8710081242</v>
      </c>
      <c r="AL55" s="97">
        <f t="shared" si="22"/>
        <v>3062894.4595786282</v>
      </c>
      <c r="AM55" s="97">
        <f t="shared" si="23"/>
        <v>2917042.3424558379</v>
      </c>
      <c r="AN55" s="97">
        <f t="shared" si="24"/>
        <v>2771190.2253330462</v>
      </c>
      <c r="AO55" s="97">
        <f t="shared" si="25"/>
        <v>2625338.108210254</v>
      </c>
      <c r="AP55" s="97">
        <f t="shared" si="26"/>
        <v>3068118.9745202302</v>
      </c>
      <c r="AQ55" s="97">
        <f t="shared" si="27"/>
        <v>2922018.0709716491</v>
      </c>
      <c r="AR55" s="97">
        <f t="shared" si="28"/>
        <v>2775917.1674230671</v>
      </c>
      <c r="AS55" s="97">
        <f t="shared" si="29"/>
        <v>2629816.2638744842</v>
      </c>
      <c r="AT55" s="97">
        <f t="shared" si="76"/>
        <v>3118313.0180702861</v>
      </c>
      <c r="AU55" s="97">
        <f t="shared" si="77"/>
        <v>2969821.9219717025</v>
      </c>
      <c r="AV55" s="97">
        <f t="shared" si="78"/>
        <v>2821330.8258731179</v>
      </c>
      <c r="AW55" s="97">
        <f t="shared" si="79"/>
        <v>2672839.7297745324</v>
      </c>
      <c r="AX55" s="97">
        <f t="shared" si="80"/>
        <v>3181961.8000995782</v>
      </c>
      <c r="AY55" s="97">
        <f t="shared" si="81"/>
        <v>3030439.8096186472</v>
      </c>
      <c r="AZ55" s="97">
        <f t="shared" si="82"/>
        <v>2878917.8191377153</v>
      </c>
      <c r="BA55" s="97">
        <f t="shared" si="83"/>
        <v>2727395.8286567829</v>
      </c>
      <c r="BB55" s="142">
        <f t="shared" si="31"/>
        <v>3262225.8296468528</v>
      </c>
      <c r="BC55" s="142">
        <f t="shared" si="32"/>
        <v>3106881.7425208138</v>
      </c>
      <c r="BD55" s="142">
        <f t="shared" si="33"/>
        <v>2951537.6553947735</v>
      </c>
      <c r="BE55" s="142">
        <f t="shared" si="34"/>
        <v>2796193.5682687326</v>
      </c>
      <c r="BF55" s="154">
        <f t="shared" si="35"/>
        <v>3319772.8942258302</v>
      </c>
      <c r="BG55" s="154">
        <f t="shared" si="36"/>
        <v>3161688.4706912683</v>
      </c>
      <c r="BH55" s="154">
        <f t="shared" si="37"/>
        <v>3003604.0471567055</v>
      </c>
      <c r="BI55" s="154">
        <f t="shared" si="37"/>
        <v>2829246.4264234095</v>
      </c>
      <c r="BJ55" s="203">
        <f t="shared" si="38"/>
        <v>3359014.8064538613</v>
      </c>
      <c r="BK55" s="203">
        <f t="shared" si="39"/>
        <v>3199061.7204322508</v>
      </c>
      <c r="BL55" s="203">
        <f t="shared" si="40"/>
        <v>3039108.6344106388</v>
      </c>
      <c r="BM55" s="203">
        <f t="shared" si="41"/>
        <v>2862689.9912317996</v>
      </c>
      <c r="BN55" s="207">
        <f t="shared" si="42"/>
        <v>3568008.3041548273</v>
      </c>
      <c r="BO55" s="207">
        <f t="shared" si="43"/>
        <v>3398103.1468141233</v>
      </c>
      <c r="BP55" s="207">
        <f t="shared" si="44"/>
        <v>3228197.9894734179</v>
      </c>
      <c r="BQ55" s="207">
        <f t="shared" si="45"/>
        <v>3040802.8095949595</v>
      </c>
      <c r="BR55" s="203">
        <f t="shared" si="46"/>
        <v>3844365.7945102244</v>
      </c>
      <c r="BS55" s="203">
        <f t="shared" si="47"/>
        <v>3661300.7566764066</v>
      </c>
      <c r="BT55" s="203">
        <f t="shared" si="48"/>
        <v>3478235.718842587</v>
      </c>
      <c r="BU55" s="203">
        <f t="shared" si="49"/>
        <v>3276325.9814852113</v>
      </c>
      <c r="BV55" s="154">
        <f t="shared" si="84"/>
        <v>3968967.250858204</v>
      </c>
      <c r="BW55" s="154">
        <f t="shared" si="50"/>
        <v>3779968.8103411491</v>
      </c>
      <c r="BX55" s="154">
        <f t="shared" si="51"/>
        <v>3590970.3698240924</v>
      </c>
      <c r="BY55" s="154">
        <f t="shared" si="52"/>
        <v>3382516.4458127068</v>
      </c>
      <c r="BZ55" s="203">
        <f t="shared" si="85"/>
        <v>4072077.2457427061</v>
      </c>
      <c r="CA55" s="203">
        <f t="shared" si="53"/>
        <v>3878168.8054692466</v>
      </c>
      <c r="CB55" s="203">
        <f t="shared" si="54"/>
        <v>3684260.3651957852</v>
      </c>
      <c r="CC55" s="203">
        <f t="shared" si="55"/>
        <v>3470391.0064680204</v>
      </c>
      <c r="CD55" s="154">
        <f t="shared" si="86"/>
        <v>4181817.8595901299</v>
      </c>
      <c r="CE55" s="154">
        <f t="shared" si="56"/>
        <v>3982683.6758001265</v>
      </c>
      <c r="CF55" s="154">
        <f t="shared" si="57"/>
        <v>3783549.4920101212</v>
      </c>
      <c r="CG55" s="154">
        <f t="shared" si="58"/>
        <v>3563916.4521698533</v>
      </c>
    </row>
    <row r="56" spans="1:85" ht="15" x14ac:dyDescent="0.4">
      <c r="A56" s="4" t="s">
        <v>53</v>
      </c>
      <c r="B56" s="30"/>
      <c r="C56" s="30"/>
      <c r="D56" s="30"/>
      <c r="E56" s="30"/>
      <c r="F56" s="28"/>
      <c r="G56" s="28"/>
      <c r="H56" s="28"/>
      <c r="I56" s="28"/>
      <c r="J56" s="33"/>
      <c r="K56" s="30"/>
      <c r="L56" s="33"/>
      <c r="M56" s="32"/>
      <c r="N56" s="31"/>
      <c r="O56" s="28"/>
      <c r="P56" s="31"/>
      <c r="Q56" s="29"/>
      <c r="R56" s="30"/>
      <c r="S56" s="30"/>
      <c r="T56" s="30"/>
      <c r="U56" s="30"/>
      <c r="V56" s="97"/>
      <c r="W56" s="97"/>
      <c r="X56" s="97"/>
      <c r="Y56" s="97"/>
      <c r="Z56" s="97"/>
      <c r="AA56" s="97"/>
      <c r="AB56" s="97"/>
      <c r="AC56" s="97"/>
      <c r="AD56" s="30">
        <f t="shared" si="68"/>
        <v>0</v>
      </c>
      <c r="AE56" s="30">
        <f t="shared" si="69"/>
        <v>0</v>
      </c>
      <c r="AF56" s="30">
        <f t="shared" si="70"/>
        <v>0</v>
      </c>
      <c r="AG56" s="30">
        <f t="shared" si="71"/>
        <v>0</v>
      </c>
      <c r="AH56" s="30">
        <f t="shared" si="72"/>
        <v>0</v>
      </c>
      <c r="AI56" s="30">
        <f t="shared" si="73"/>
        <v>0</v>
      </c>
      <c r="AJ56" s="30">
        <f t="shared" si="74"/>
        <v>0</v>
      </c>
      <c r="AK56" s="30">
        <f t="shared" si="75"/>
        <v>0</v>
      </c>
      <c r="AL56" s="97">
        <f t="shared" si="22"/>
        <v>0</v>
      </c>
      <c r="AM56" s="97">
        <f t="shared" si="23"/>
        <v>0</v>
      </c>
      <c r="AN56" s="97">
        <f t="shared" si="24"/>
        <v>0</v>
      </c>
      <c r="AO56" s="97">
        <f t="shared" si="25"/>
        <v>0</v>
      </c>
      <c r="AP56" s="97">
        <f t="shared" si="26"/>
        <v>0</v>
      </c>
      <c r="AQ56" s="97">
        <f t="shared" si="27"/>
        <v>0</v>
      </c>
      <c r="AR56" s="97">
        <f t="shared" si="28"/>
        <v>0</v>
      </c>
      <c r="AS56" s="97">
        <f t="shared" si="29"/>
        <v>0</v>
      </c>
      <c r="AT56" s="97">
        <f t="shared" si="76"/>
        <v>0</v>
      </c>
      <c r="AU56" s="97">
        <f t="shared" si="77"/>
        <v>0</v>
      </c>
      <c r="AV56" s="97">
        <f t="shared" si="78"/>
        <v>0</v>
      </c>
      <c r="AW56" s="97">
        <f t="shared" si="79"/>
        <v>0</v>
      </c>
      <c r="AX56" s="97">
        <f t="shared" si="80"/>
        <v>0</v>
      </c>
      <c r="AY56" s="97">
        <f t="shared" si="81"/>
        <v>0</v>
      </c>
      <c r="AZ56" s="97">
        <f t="shared" si="82"/>
        <v>0</v>
      </c>
      <c r="BA56" s="97">
        <f t="shared" si="83"/>
        <v>0</v>
      </c>
      <c r="BB56" s="142">
        <f t="shared" si="31"/>
        <v>0</v>
      </c>
      <c r="BC56" s="142">
        <f t="shared" si="32"/>
        <v>0</v>
      </c>
      <c r="BD56" s="142">
        <f t="shared" si="33"/>
        <v>0</v>
      </c>
      <c r="BE56" s="142">
        <f t="shared" si="34"/>
        <v>0</v>
      </c>
      <c r="BF56" s="154">
        <f t="shared" si="35"/>
        <v>0</v>
      </c>
      <c r="BG56" s="154">
        <f t="shared" si="36"/>
        <v>0</v>
      </c>
      <c r="BH56" s="154">
        <f t="shared" si="37"/>
        <v>0</v>
      </c>
      <c r="BI56" s="154">
        <f t="shared" si="37"/>
        <v>0</v>
      </c>
      <c r="BJ56" s="203">
        <f t="shared" si="38"/>
        <v>0</v>
      </c>
      <c r="BK56" s="203">
        <f t="shared" si="39"/>
        <v>0</v>
      </c>
      <c r="BL56" s="203">
        <f t="shared" si="40"/>
        <v>0</v>
      </c>
      <c r="BM56" s="203">
        <f t="shared" si="41"/>
        <v>0</v>
      </c>
      <c r="BN56" s="207">
        <f t="shared" si="42"/>
        <v>0</v>
      </c>
      <c r="BO56" s="207">
        <f t="shared" si="43"/>
        <v>0</v>
      </c>
      <c r="BP56" s="207">
        <f t="shared" si="44"/>
        <v>0</v>
      </c>
      <c r="BQ56" s="207">
        <f t="shared" si="45"/>
        <v>0</v>
      </c>
      <c r="BR56" s="203">
        <f t="shared" si="46"/>
        <v>0</v>
      </c>
      <c r="BS56" s="203">
        <f t="shared" si="47"/>
        <v>0</v>
      </c>
      <c r="BT56" s="203">
        <f t="shared" si="48"/>
        <v>0</v>
      </c>
      <c r="BU56" s="203">
        <f t="shared" si="49"/>
        <v>0</v>
      </c>
      <c r="BV56" s="154">
        <f t="shared" si="84"/>
        <v>0</v>
      </c>
      <c r="BW56" s="154">
        <f t="shared" si="50"/>
        <v>0</v>
      </c>
      <c r="BX56" s="154">
        <f t="shared" si="51"/>
        <v>0</v>
      </c>
      <c r="BY56" s="154">
        <f t="shared" si="52"/>
        <v>0</v>
      </c>
      <c r="BZ56" s="203">
        <f t="shared" si="85"/>
        <v>0</v>
      </c>
      <c r="CA56" s="203">
        <f t="shared" si="53"/>
        <v>0</v>
      </c>
      <c r="CB56" s="203">
        <f t="shared" si="54"/>
        <v>0</v>
      </c>
      <c r="CC56" s="203">
        <f t="shared" si="55"/>
        <v>0</v>
      </c>
      <c r="CD56" s="154">
        <f t="shared" si="86"/>
        <v>0</v>
      </c>
      <c r="CE56" s="154">
        <f t="shared" si="56"/>
        <v>0</v>
      </c>
      <c r="CF56" s="154">
        <f t="shared" si="57"/>
        <v>0</v>
      </c>
      <c r="CG56" s="154">
        <f t="shared" si="58"/>
        <v>0</v>
      </c>
    </row>
    <row r="57" spans="1:85" ht="15" x14ac:dyDescent="0.4">
      <c r="A57" s="4" t="s">
        <v>54</v>
      </c>
      <c r="B57" s="30"/>
      <c r="C57" s="30"/>
      <c r="D57" s="30"/>
      <c r="E57" s="30"/>
      <c r="F57" s="28"/>
      <c r="G57" s="28"/>
      <c r="H57" s="28"/>
      <c r="I57" s="28"/>
      <c r="J57" s="33"/>
      <c r="K57" s="30"/>
      <c r="L57" s="33"/>
      <c r="M57" s="32"/>
      <c r="N57" s="31"/>
      <c r="O57" s="28"/>
      <c r="P57" s="31"/>
      <c r="Q57" s="29"/>
      <c r="R57" s="30"/>
      <c r="S57" s="30"/>
      <c r="T57" s="30"/>
      <c r="U57" s="30"/>
      <c r="V57" s="97"/>
      <c r="W57" s="97"/>
      <c r="X57" s="97"/>
      <c r="Y57" s="97"/>
      <c r="Z57" s="97"/>
      <c r="AA57" s="97"/>
      <c r="AB57" s="97"/>
      <c r="AC57" s="97"/>
      <c r="AD57" s="30">
        <f t="shared" si="68"/>
        <v>0</v>
      </c>
      <c r="AE57" s="30">
        <f t="shared" si="69"/>
        <v>0</v>
      </c>
      <c r="AF57" s="30">
        <f t="shared" si="70"/>
        <v>0</v>
      </c>
      <c r="AG57" s="30">
        <f t="shared" si="71"/>
        <v>0</v>
      </c>
      <c r="AH57" s="30">
        <f t="shared" si="72"/>
        <v>0</v>
      </c>
      <c r="AI57" s="30">
        <f t="shared" si="73"/>
        <v>0</v>
      </c>
      <c r="AJ57" s="30">
        <f t="shared" si="74"/>
        <v>0</v>
      </c>
      <c r="AK57" s="30">
        <f t="shared" si="75"/>
        <v>0</v>
      </c>
      <c r="AL57" s="97">
        <f t="shared" si="22"/>
        <v>0</v>
      </c>
      <c r="AM57" s="97">
        <f t="shared" si="23"/>
        <v>0</v>
      </c>
      <c r="AN57" s="97">
        <f t="shared" si="24"/>
        <v>0</v>
      </c>
      <c r="AO57" s="97">
        <f t="shared" si="25"/>
        <v>0</v>
      </c>
      <c r="AP57" s="97">
        <f t="shared" si="26"/>
        <v>0</v>
      </c>
      <c r="AQ57" s="97">
        <f t="shared" si="27"/>
        <v>0</v>
      </c>
      <c r="AR57" s="97">
        <f t="shared" si="28"/>
        <v>0</v>
      </c>
      <c r="AS57" s="97">
        <f t="shared" si="29"/>
        <v>0</v>
      </c>
      <c r="AT57" s="97">
        <f t="shared" si="76"/>
        <v>0</v>
      </c>
      <c r="AU57" s="97">
        <f t="shared" si="77"/>
        <v>0</v>
      </c>
      <c r="AV57" s="97">
        <f t="shared" si="78"/>
        <v>0</v>
      </c>
      <c r="AW57" s="97">
        <f t="shared" si="79"/>
        <v>0</v>
      </c>
      <c r="AX57" s="97">
        <f t="shared" si="80"/>
        <v>0</v>
      </c>
      <c r="AY57" s="97">
        <f t="shared" si="81"/>
        <v>0</v>
      </c>
      <c r="AZ57" s="97">
        <f t="shared" si="82"/>
        <v>0</v>
      </c>
      <c r="BA57" s="97">
        <f t="shared" si="83"/>
        <v>0</v>
      </c>
      <c r="BB57" s="142">
        <f t="shared" si="31"/>
        <v>0</v>
      </c>
      <c r="BC57" s="142">
        <f t="shared" si="32"/>
        <v>0</v>
      </c>
      <c r="BD57" s="142">
        <f t="shared" si="33"/>
        <v>0</v>
      </c>
      <c r="BE57" s="142">
        <f t="shared" si="34"/>
        <v>0</v>
      </c>
      <c r="BF57" s="154">
        <f t="shared" si="35"/>
        <v>0</v>
      </c>
      <c r="BG57" s="154">
        <f t="shared" si="36"/>
        <v>0</v>
      </c>
      <c r="BH57" s="154">
        <f t="shared" si="37"/>
        <v>0</v>
      </c>
      <c r="BI57" s="154">
        <f t="shared" si="37"/>
        <v>0</v>
      </c>
      <c r="BJ57" s="203">
        <f t="shared" si="38"/>
        <v>0</v>
      </c>
      <c r="BK57" s="203">
        <f t="shared" si="39"/>
        <v>0</v>
      </c>
      <c r="BL57" s="203">
        <f t="shared" si="40"/>
        <v>0</v>
      </c>
      <c r="BM57" s="203">
        <f t="shared" si="41"/>
        <v>0</v>
      </c>
      <c r="BN57" s="207">
        <f t="shared" si="42"/>
        <v>0</v>
      </c>
      <c r="BO57" s="207">
        <f t="shared" si="43"/>
        <v>0</v>
      </c>
      <c r="BP57" s="207">
        <f t="shared" si="44"/>
        <v>0</v>
      </c>
      <c r="BQ57" s="207">
        <f t="shared" si="45"/>
        <v>0</v>
      </c>
      <c r="BR57" s="203">
        <f t="shared" si="46"/>
        <v>0</v>
      </c>
      <c r="BS57" s="203">
        <f t="shared" si="47"/>
        <v>0</v>
      </c>
      <c r="BT57" s="203">
        <f t="shared" si="48"/>
        <v>0</v>
      </c>
      <c r="BU57" s="203">
        <f t="shared" si="49"/>
        <v>0</v>
      </c>
      <c r="BV57" s="154">
        <f t="shared" si="84"/>
        <v>0</v>
      </c>
      <c r="BW57" s="154">
        <f t="shared" si="50"/>
        <v>0</v>
      </c>
      <c r="BX57" s="154">
        <f t="shared" si="51"/>
        <v>0</v>
      </c>
      <c r="BY57" s="154">
        <f t="shared" si="52"/>
        <v>0</v>
      </c>
      <c r="BZ57" s="203">
        <f t="shared" si="85"/>
        <v>0</v>
      </c>
      <c r="CA57" s="203">
        <f t="shared" si="53"/>
        <v>0</v>
      </c>
      <c r="CB57" s="203">
        <f t="shared" si="54"/>
        <v>0</v>
      </c>
      <c r="CC57" s="203">
        <f t="shared" si="55"/>
        <v>0</v>
      </c>
      <c r="CD57" s="154">
        <f t="shared" si="86"/>
        <v>0</v>
      </c>
      <c r="CE57" s="154">
        <f t="shared" si="56"/>
        <v>0</v>
      </c>
      <c r="CF57" s="154">
        <f t="shared" si="57"/>
        <v>0</v>
      </c>
      <c r="CG57" s="154">
        <f t="shared" si="58"/>
        <v>0</v>
      </c>
    </row>
    <row r="58" spans="1:85" ht="15" x14ac:dyDescent="0.4">
      <c r="A58" s="4" t="s">
        <v>55</v>
      </c>
      <c r="B58" s="30"/>
      <c r="C58" s="30"/>
      <c r="D58" s="30"/>
      <c r="E58" s="30"/>
      <c r="F58" s="28"/>
      <c r="G58" s="28"/>
      <c r="H58" s="28"/>
      <c r="I58" s="28"/>
      <c r="J58" s="33"/>
      <c r="K58" s="30"/>
      <c r="L58" s="33"/>
      <c r="M58" s="32"/>
      <c r="N58" s="31"/>
      <c r="O58" s="28"/>
      <c r="P58" s="31"/>
      <c r="Q58" s="29"/>
      <c r="R58" s="30"/>
      <c r="S58" s="30"/>
      <c r="T58" s="30"/>
      <c r="U58" s="30"/>
      <c r="V58" s="97"/>
      <c r="W58" s="97"/>
      <c r="X58" s="97"/>
      <c r="Y58" s="97"/>
      <c r="Z58" s="97"/>
      <c r="AA58" s="97"/>
      <c r="AB58" s="97"/>
      <c r="AC58" s="97"/>
      <c r="AD58" s="30">
        <f t="shared" si="68"/>
        <v>0</v>
      </c>
      <c r="AE58" s="30">
        <f t="shared" si="69"/>
        <v>0</v>
      </c>
      <c r="AF58" s="30">
        <f t="shared" si="70"/>
        <v>0</v>
      </c>
      <c r="AG58" s="30">
        <f t="shared" si="71"/>
        <v>0</v>
      </c>
      <c r="AH58" s="30">
        <f t="shared" si="72"/>
        <v>0</v>
      </c>
      <c r="AI58" s="30">
        <f t="shared" si="73"/>
        <v>0</v>
      </c>
      <c r="AJ58" s="30">
        <f t="shared" si="74"/>
        <v>0</v>
      </c>
      <c r="AK58" s="30">
        <f t="shared" si="75"/>
        <v>0</v>
      </c>
      <c r="AL58" s="97">
        <f t="shared" si="22"/>
        <v>0</v>
      </c>
      <c r="AM58" s="97">
        <f t="shared" si="23"/>
        <v>0</v>
      </c>
      <c r="AN58" s="97">
        <f t="shared" si="24"/>
        <v>0</v>
      </c>
      <c r="AO58" s="97">
        <f t="shared" si="25"/>
        <v>0</v>
      </c>
      <c r="AP58" s="97">
        <f t="shared" si="26"/>
        <v>0</v>
      </c>
      <c r="AQ58" s="97">
        <f t="shared" si="27"/>
        <v>0</v>
      </c>
      <c r="AR58" s="97">
        <f t="shared" si="28"/>
        <v>0</v>
      </c>
      <c r="AS58" s="97">
        <f t="shared" si="29"/>
        <v>0</v>
      </c>
      <c r="AT58" s="97">
        <f t="shared" si="76"/>
        <v>0</v>
      </c>
      <c r="AU58" s="97">
        <f t="shared" si="77"/>
        <v>0</v>
      </c>
      <c r="AV58" s="97">
        <f t="shared" si="78"/>
        <v>0</v>
      </c>
      <c r="AW58" s="97">
        <f t="shared" si="79"/>
        <v>0</v>
      </c>
      <c r="AX58" s="97">
        <f t="shared" si="80"/>
        <v>0</v>
      </c>
      <c r="AY58" s="97">
        <f t="shared" si="81"/>
        <v>0</v>
      </c>
      <c r="AZ58" s="97">
        <f t="shared" si="82"/>
        <v>0</v>
      </c>
      <c r="BA58" s="97">
        <f t="shared" si="83"/>
        <v>0</v>
      </c>
      <c r="BB58" s="142">
        <f t="shared" si="31"/>
        <v>0</v>
      </c>
      <c r="BC58" s="142">
        <f t="shared" si="32"/>
        <v>0</v>
      </c>
      <c r="BD58" s="142">
        <f t="shared" si="33"/>
        <v>0</v>
      </c>
      <c r="BE58" s="142">
        <f t="shared" si="34"/>
        <v>0</v>
      </c>
      <c r="BF58" s="154">
        <f t="shared" si="35"/>
        <v>0</v>
      </c>
      <c r="BG58" s="154">
        <f t="shared" si="36"/>
        <v>0</v>
      </c>
      <c r="BH58" s="154">
        <f t="shared" si="37"/>
        <v>0</v>
      </c>
      <c r="BI58" s="154">
        <f t="shared" si="37"/>
        <v>0</v>
      </c>
      <c r="BJ58" s="203">
        <f t="shared" si="38"/>
        <v>0</v>
      </c>
      <c r="BK58" s="203">
        <f t="shared" si="39"/>
        <v>0</v>
      </c>
      <c r="BL58" s="203">
        <f t="shared" si="40"/>
        <v>0</v>
      </c>
      <c r="BM58" s="203">
        <f t="shared" si="41"/>
        <v>0</v>
      </c>
      <c r="BN58" s="207">
        <f t="shared" si="42"/>
        <v>0</v>
      </c>
      <c r="BO58" s="207">
        <f t="shared" si="43"/>
        <v>0</v>
      </c>
      <c r="BP58" s="207">
        <f t="shared" si="44"/>
        <v>0</v>
      </c>
      <c r="BQ58" s="207">
        <f t="shared" si="45"/>
        <v>0</v>
      </c>
      <c r="BR58" s="203">
        <f t="shared" si="46"/>
        <v>0</v>
      </c>
      <c r="BS58" s="203">
        <f t="shared" si="47"/>
        <v>0</v>
      </c>
      <c r="BT58" s="203">
        <f t="shared" si="48"/>
        <v>0</v>
      </c>
      <c r="BU58" s="203">
        <f t="shared" si="49"/>
        <v>0</v>
      </c>
      <c r="BV58" s="154">
        <f t="shared" si="84"/>
        <v>0</v>
      </c>
      <c r="BW58" s="154">
        <f t="shared" si="50"/>
        <v>0</v>
      </c>
      <c r="BX58" s="154">
        <f t="shared" si="51"/>
        <v>0</v>
      </c>
      <c r="BY58" s="154">
        <f t="shared" si="52"/>
        <v>0</v>
      </c>
      <c r="BZ58" s="203">
        <f t="shared" si="85"/>
        <v>0</v>
      </c>
      <c r="CA58" s="203">
        <f t="shared" si="53"/>
        <v>0</v>
      </c>
      <c r="CB58" s="203">
        <f t="shared" si="54"/>
        <v>0</v>
      </c>
      <c r="CC58" s="203">
        <f t="shared" si="55"/>
        <v>0</v>
      </c>
      <c r="CD58" s="154">
        <f t="shared" si="86"/>
        <v>0</v>
      </c>
      <c r="CE58" s="154">
        <f t="shared" si="56"/>
        <v>0</v>
      </c>
      <c r="CF58" s="154">
        <f t="shared" si="57"/>
        <v>0</v>
      </c>
      <c r="CG58" s="154">
        <f t="shared" si="58"/>
        <v>0</v>
      </c>
    </row>
    <row r="59" spans="1:85" ht="15" x14ac:dyDescent="0.4">
      <c r="A59" s="4" t="s">
        <v>56</v>
      </c>
      <c r="B59" s="30">
        <f>0.105*VLOOKUP($A59,fund_table,MATCH(B$3,year_row,0),0)</f>
        <v>10418858.939999999</v>
      </c>
      <c r="C59" s="30">
        <f>0.1*VLOOKUP($A59,fund_table,MATCH(C$3,year_row,0),0)</f>
        <v>9922722.8000000007</v>
      </c>
      <c r="D59" s="30">
        <f>0.095*VLOOKUP($A59,fund_table,MATCH(D$3,year_row,0),0)</f>
        <v>9426586.6600000001</v>
      </c>
      <c r="E59" s="30">
        <f>0.09*VLOOKUP($A59,fund_table,MATCH(E$3,year_row,0),0)</f>
        <v>8930450.5199999996</v>
      </c>
      <c r="F59" s="28">
        <f t="shared" ref="F59:M59" si="91">B59*(F$1)</f>
        <v>10554848.062710844</v>
      </c>
      <c r="G59" s="28">
        <f t="shared" si="91"/>
        <v>10052236.250200806</v>
      </c>
      <c r="H59" s="28">
        <f t="shared" si="91"/>
        <v>9549624.4376907647</v>
      </c>
      <c r="I59" s="28">
        <f t="shared" si="91"/>
        <v>9047012.6251807231</v>
      </c>
      <c r="J59" s="30">
        <f t="shared" si="91"/>
        <v>10928085.901043374</v>
      </c>
      <c r="K59" s="30">
        <f t="shared" si="91"/>
        <v>10407700.85813655</v>
      </c>
      <c r="L59" s="30">
        <f t="shared" si="91"/>
        <v>9887315.8152297195</v>
      </c>
      <c r="M59" s="30">
        <f t="shared" si="91"/>
        <v>9366930.7723228913</v>
      </c>
      <c r="N59" s="28">
        <f t="shared" ref="N59:AC60" si="92">J59*(N$1)</f>
        <v>11327527.797252109</v>
      </c>
      <c r="O59" s="28">
        <f t="shared" si="92"/>
        <v>10788121.711668679</v>
      </c>
      <c r="P59" s="28">
        <f t="shared" si="92"/>
        <v>10248715.626085242</v>
      </c>
      <c r="Q59" s="28">
        <f t="shared" si="92"/>
        <v>9709309.5405018069</v>
      </c>
      <c r="R59" s="30">
        <f t="shared" si="92"/>
        <v>11327527.797252109</v>
      </c>
      <c r="S59" s="30">
        <f t="shared" si="92"/>
        <v>10788121.711668679</v>
      </c>
      <c r="T59" s="30">
        <f t="shared" si="92"/>
        <v>10248715.626085242</v>
      </c>
      <c r="U59" s="30">
        <f t="shared" si="92"/>
        <v>9709309.5405018069</v>
      </c>
      <c r="V59" s="97">
        <f t="shared" si="92"/>
        <v>11460307.674104119</v>
      </c>
      <c r="W59" s="97">
        <f t="shared" si="92"/>
        <v>10914578.737242023</v>
      </c>
      <c r="X59" s="97">
        <f t="shared" si="92"/>
        <v>10368849.800379917</v>
      </c>
      <c r="Y59" s="97">
        <f t="shared" si="92"/>
        <v>9823120.8635178152</v>
      </c>
      <c r="Z59" s="97">
        <f t="shared" si="92"/>
        <v>11864306.431218954</v>
      </c>
      <c r="AA59" s="97">
        <f t="shared" si="92"/>
        <v>11299339.45830377</v>
      </c>
      <c r="AB59" s="97">
        <f t="shared" si="92"/>
        <v>10734372.485388577</v>
      </c>
      <c r="AC59" s="97">
        <f t="shared" si="92"/>
        <v>10169405.512473388</v>
      </c>
      <c r="AD59" s="30">
        <f t="shared" si="68"/>
        <v>12120853.501884872</v>
      </c>
      <c r="AE59" s="30">
        <f t="shared" si="69"/>
        <v>11543670.001795122</v>
      </c>
      <c r="AF59" s="30">
        <f t="shared" si="70"/>
        <v>10966486.501705362</v>
      </c>
      <c r="AG59" s="30">
        <f t="shared" si="71"/>
        <v>10389303.001615604</v>
      </c>
      <c r="AH59" s="30">
        <f t="shared" si="72"/>
        <v>12237651.586140249</v>
      </c>
      <c r="AI59" s="30">
        <f t="shared" si="73"/>
        <v>11654906.27251453</v>
      </c>
      <c r="AJ59" s="30">
        <f t="shared" si="74"/>
        <v>11072160.958888799</v>
      </c>
      <c r="AK59" s="30">
        <f t="shared" si="75"/>
        <v>10489415.64526307</v>
      </c>
      <c r="AL59" s="97">
        <f t="shared" si="22"/>
        <v>12441327.742937313</v>
      </c>
      <c r="AM59" s="97">
        <f t="shared" si="23"/>
        <v>11848883.564702211</v>
      </c>
      <c r="AN59" s="97">
        <f t="shared" si="24"/>
        <v>11256439.386467095</v>
      </c>
      <c r="AO59" s="97">
        <f t="shared" si="25"/>
        <v>10663995.208231984</v>
      </c>
      <c r="AP59" s="97">
        <f t="shared" si="26"/>
        <v>12462549.46753284</v>
      </c>
      <c r="AQ59" s="97">
        <f t="shared" si="27"/>
        <v>11869094.730983665</v>
      </c>
      <c r="AR59" s="97">
        <f t="shared" si="28"/>
        <v>11275639.994434478</v>
      </c>
      <c r="AS59" s="97">
        <f t="shared" si="29"/>
        <v>10682185.257885292</v>
      </c>
      <c r="AT59" s="97">
        <f t="shared" si="76"/>
        <v>12666435.221609861</v>
      </c>
      <c r="AU59" s="97">
        <f t="shared" si="77"/>
        <v>12063271.639628448</v>
      </c>
      <c r="AV59" s="97">
        <f t="shared" si="78"/>
        <v>11460108.05764702</v>
      </c>
      <c r="AW59" s="97">
        <f t="shared" si="79"/>
        <v>10856944.475665595</v>
      </c>
      <c r="AX59" s="97">
        <f t="shared" si="80"/>
        <v>12924973.466435358</v>
      </c>
      <c r="AY59" s="97">
        <f t="shared" si="81"/>
        <v>12309498.539462255</v>
      </c>
      <c r="AZ59" s="97">
        <f t="shared" si="82"/>
        <v>11694023.612489136</v>
      </c>
      <c r="BA59" s="97">
        <f t="shared" si="83"/>
        <v>11078548.685516022</v>
      </c>
      <c r="BB59" s="142">
        <f t="shared" si="31"/>
        <v>13251002.035406627</v>
      </c>
      <c r="BC59" s="142">
        <f t="shared" si="32"/>
        <v>12620001.938482512</v>
      </c>
      <c r="BD59" s="142">
        <f t="shared" si="33"/>
        <v>11989001.84155838</v>
      </c>
      <c r="BE59" s="142">
        <f t="shared" si="34"/>
        <v>11358001.744634254</v>
      </c>
      <c r="BF59" s="154">
        <f t="shared" si="35"/>
        <v>13484755.401877351</v>
      </c>
      <c r="BG59" s="154">
        <f t="shared" si="36"/>
        <v>12842624.192264155</v>
      </c>
      <c r="BH59" s="154">
        <f t="shared" si="37"/>
        <v>12200492.982650941</v>
      </c>
      <c r="BI59" s="154">
        <f t="shared" si="37"/>
        <v>11492260.840587474</v>
      </c>
      <c r="BJ59" s="203">
        <f t="shared" si="38"/>
        <v>13644154.133283749</v>
      </c>
      <c r="BK59" s="203">
        <f t="shared" si="39"/>
        <v>12994432.507889295</v>
      </c>
      <c r="BL59" s="203">
        <f t="shared" si="40"/>
        <v>12344710.882494824</v>
      </c>
      <c r="BM59" s="203">
        <f t="shared" si="41"/>
        <v>11628106.967891054</v>
      </c>
      <c r="BN59" s="207">
        <f t="shared" si="42"/>
        <v>14493075.516424796</v>
      </c>
      <c r="BO59" s="207">
        <f t="shared" si="43"/>
        <v>13802929.063261721</v>
      </c>
      <c r="BP59" s="207">
        <f t="shared" si="44"/>
        <v>13112782.610098628</v>
      </c>
      <c r="BQ59" s="207">
        <f t="shared" si="45"/>
        <v>12351592.539372088</v>
      </c>
      <c r="BR59" s="203">
        <f t="shared" si="46"/>
        <v>15615626.148548158</v>
      </c>
      <c r="BS59" s="203">
        <f t="shared" si="47"/>
        <v>14872024.903379211</v>
      </c>
      <c r="BT59" s="203">
        <f t="shared" si="48"/>
        <v>14128423.658210242</v>
      </c>
      <c r="BU59" s="203">
        <f t="shared" si="49"/>
        <v>13308276.163706277</v>
      </c>
      <c r="BV59" s="154">
        <f t="shared" si="84"/>
        <v>16121751.180321462</v>
      </c>
      <c r="BW59" s="154">
        <f t="shared" si="50"/>
        <v>15354048.743163312</v>
      </c>
      <c r="BX59" s="154">
        <f t="shared" si="51"/>
        <v>14586346.306005137</v>
      </c>
      <c r="BY59" s="154">
        <f t="shared" si="52"/>
        <v>13739616.64484542</v>
      </c>
      <c r="BZ59" s="203">
        <f t="shared" si="85"/>
        <v>16540578.944993172</v>
      </c>
      <c r="CA59" s="203">
        <f t="shared" si="53"/>
        <v>15752932.328564942</v>
      </c>
      <c r="CB59" s="203">
        <f t="shared" si="54"/>
        <v>14965285.712136684</v>
      </c>
      <c r="CC59" s="203">
        <f t="shared" si="55"/>
        <v>14096558.819578333</v>
      </c>
      <c r="CD59" s="154">
        <f t="shared" si="86"/>
        <v>16986339.960139204</v>
      </c>
      <c r="CE59" s="154">
        <f t="shared" si="56"/>
        <v>16177466.628704019</v>
      </c>
      <c r="CF59" s="154">
        <f t="shared" si="57"/>
        <v>15368593.297268808</v>
      </c>
      <c r="CG59" s="154">
        <f t="shared" si="58"/>
        <v>14476454.613454584</v>
      </c>
    </row>
    <row r="60" spans="1:85" ht="15" x14ac:dyDescent="0.4">
      <c r="A60" s="4" t="s">
        <v>57</v>
      </c>
      <c r="B60" s="30">
        <f>0.105*VLOOKUP($A60,fund_table,MATCH(B$3,year_row,0),0)</f>
        <v>905967.09</v>
      </c>
      <c r="C60" s="30">
        <f>0.1*VLOOKUP($A60,fund_table,MATCH(C$3,year_row,0),0)</f>
        <v>862825.8</v>
      </c>
      <c r="D60" s="30">
        <f>0.095*VLOOKUP($A60,fund_table,MATCH(D$3,year_row,0),0)</f>
        <v>819684.51</v>
      </c>
      <c r="E60" s="30">
        <f>0.09*VLOOKUP($A60,fund_table,MATCH(E$3,year_row,0),0)</f>
        <v>776543.22</v>
      </c>
      <c r="F60" s="28">
        <f t="shared" ref="F60:M60" si="93">B60*(F$1)</f>
        <v>917791.96165662666</v>
      </c>
      <c r="G60" s="28">
        <f t="shared" si="93"/>
        <v>874087.58253012062</v>
      </c>
      <c r="H60" s="28">
        <f t="shared" si="93"/>
        <v>830383.20340361458</v>
      </c>
      <c r="I60" s="28">
        <f t="shared" si="93"/>
        <v>786678.82427710854</v>
      </c>
      <c r="J60" s="30">
        <f t="shared" si="93"/>
        <v>950246.6863265062</v>
      </c>
      <c r="K60" s="30">
        <f t="shared" si="93"/>
        <v>904996.84412048198</v>
      </c>
      <c r="L60" s="30">
        <f t="shared" si="93"/>
        <v>859747.00191445788</v>
      </c>
      <c r="M60" s="30">
        <f t="shared" si="93"/>
        <v>814497.15970843378</v>
      </c>
      <c r="N60" s="28">
        <f t="shared" si="92"/>
        <v>984979.97280406649</v>
      </c>
      <c r="O60" s="28">
        <f t="shared" si="92"/>
        <v>938076.16457530134</v>
      </c>
      <c r="P60" s="28">
        <f t="shared" si="92"/>
        <v>891172.35634653619</v>
      </c>
      <c r="Q60" s="28">
        <f t="shared" si="92"/>
        <v>844268.54811777116</v>
      </c>
      <c r="R60" s="30">
        <f t="shared" si="92"/>
        <v>984979.97280406649</v>
      </c>
      <c r="S60" s="30">
        <f t="shared" si="92"/>
        <v>938076.16457530134</v>
      </c>
      <c r="T60" s="30">
        <f t="shared" si="92"/>
        <v>891172.35634653619</v>
      </c>
      <c r="U60" s="30">
        <f t="shared" si="92"/>
        <v>844268.54811777116</v>
      </c>
      <c r="V60" s="97">
        <f t="shared" si="92"/>
        <v>996525.78596219851</v>
      </c>
      <c r="W60" s="97">
        <f t="shared" si="92"/>
        <v>949072.17710685567</v>
      </c>
      <c r="X60" s="97">
        <f t="shared" si="92"/>
        <v>901618.56825151283</v>
      </c>
      <c r="Y60" s="97">
        <f t="shared" si="92"/>
        <v>854164.95939616999</v>
      </c>
      <c r="Z60" s="97">
        <f t="shared" si="92"/>
        <v>1031655.3121852442</v>
      </c>
      <c r="AA60" s="97">
        <f t="shared" si="92"/>
        <v>982528.86874785158</v>
      </c>
      <c r="AB60" s="97">
        <f t="shared" si="92"/>
        <v>933402.42531045887</v>
      </c>
      <c r="AC60" s="97">
        <f t="shared" si="92"/>
        <v>884275.98187306628</v>
      </c>
      <c r="AD60" s="30">
        <f t="shared" si="68"/>
        <v>1053963.2447906958</v>
      </c>
      <c r="AE60" s="30">
        <f t="shared" si="69"/>
        <v>1003774.5188482817</v>
      </c>
      <c r="AF60" s="30">
        <f t="shared" si="70"/>
        <v>953585.79290586745</v>
      </c>
      <c r="AG60" s="30">
        <f t="shared" si="71"/>
        <v>903397.06696345331</v>
      </c>
      <c r="AH60" s="30">
        <f t="shared" si="72"/>
        <v>1064119.3685197709</v>
      </c>
      <c r="AI60" s="30">
        <f t="shared" si="73"/>
        <v>1013447.0176378769</v>
      </c>
      <c r="AJ60" s="30">
        <f t="shared" si="74"/>
        <v>962774.66675598291</v>
      </c>
      <c r="AK60" s="30">
        <f t="shared" si="75"/>
        <v>912102.31587408902</v>
      </c>
      <c r="AL60" s="97">
        <f t="shared" si="22"/>
        <v>1081829.9351123753</v>
      </c>
      <c r="AM60" s="97">
        <f t="shared" si="23"/>
        <v>1030314.2239165476</v>
      </c>
      <c r="AN60" s="97">
        <f t="shared" si="24"/>
        <v>978798.51272072014</v>
      </c>
      <c r="AO60" s="97">
        <f t="shared" si="25"/>
        <v>927282.80152489268</v>
      </c>
      <c r="AP60" s="97">
        <f t="shared" si="26"/>
        <v>1083675.2604198116</v>
      </c>
      <c r="AQ60" s="97">
        <f t="shared" si="27"/>
        <v>1032071.6765902964</v>
      </c>
      <c r="AR60" s="97">
        <f t="shared" si="28"/>
        <v>980468.09276078152</v>
      </c>
      <c r="AS60" s="97">
        <f t="shared" si="29"/>
        <v>928864.50893126661</v>
      </c>
      <c r="AT60" s="97">
        <f t="shared" si="76"/>
        <v>1101404.0524475509</v>
      </c>
      <c r="AU60" s="97">
        <f t="shared" si="77"/>
        <v>1048956.2404262389</v>
      </c>
      <c r="AV60" s="97">
        <f t="shared" si="78"/>
        <v>996508.42840492679</v>
      </c>
      <c r="AW60" s="97">
        <f t="shared" si="79"/>
        <v>944060.61638361472</v>
      </c>
      <c r="AX60" s="97">
        <f t="shared" si="80"/>
        <v>1123885.1266867865</v>
      </c>
      <c r="AY60" s="97">
        <f t="shared" si="81"/>
        <v>1070366.7873207489</v>
      </c>
      <c r="AZ60" s="97">
        <f t="shared" si="82"/>
        <v>1016848.4479547114</v>
      </c>
      <c r="BA60" s="97">
        <f t="shared" si="83"/>
        <v>963330.10858867387</v>
      </c>
      <c r="BB60" s="142">
        <f t="shared" si="31"/>
        <v>1152234.7910395477</v>
      </c>
      <c r="BC60" s="142">
        <f t="shared" si="32"/>
        <v>1097366.467656712</v>
      </c>
      <c r="BD60" s="142">
        <f t="shared" si="33"/>
        <v>1042498.1442738763</v>
      </c>
      <c r="BE60" s="142">
        <f t="shared" si="34"/>
        <v>987629.82089104061</v>
      </c>
      <c r="BF60" s="154">
        <f t="shared" si="35"/>
        <v>1172560.7075740492</v>
      </c>
      <c r="BG60" s="154">
        <f t="shared" si="36"/>
        <v>1116724.4834038564</v>
      </c>
      <c r="BH60" s="154">
        <f t="shared" si="37"/>
        <v>1060888.2592336636</v>
      </c>
      <c r="BI60" s="154">
        <f t="shared" si="37"/>
        <v>999304.25886618125</v>
      </c>
      <c r="BJ60" s="203">
        <f t="shared" si="38"/>
        <v>1186421.1509943481</v>
      </c>
      <c r="BK60" s="203">
        <f t="shared" si="39"/>
        <v>1129924.905708903</v>
      </c>
      <c r="BL60" s="203">
        <f t="shared" si="40"/>
        <v>1073428.6604234579</v>
      </c>
      <c r="BM60" s="203">
        <f t="shared" si="41"/>
        <v>1011116.6964228983</v>
      </c>
      <c r="BN60" s="207">
        <f t="shared" si="42"/>
        <v>1260238.7196505822</v>
      </c>
      <c r="BO60" s="207">
        <f t="shared" si="43"/>
        <v>1200227.3520481735</v>
      </c>
      <c r="BP60" s="207">
        <f t="shared" si="44"/>
        <v>1140215.9844457649</v>
      </c>
      <c r="BQ60" s="207">
        <f t="shared" si="45"/>
        <v>1074027.0517340011</v>
      </c>
      <c r="BR60" s="203">
        <f t="shared" si="46"/>
        <v>1357849.5938757844</v>
      </c>
      <c r="BS60" s="203">
        <f t="shared" si="47"/>
        <v>1293190.0894055089</v>
      </c>
      <c r="BT60" s="203">
        <f t="shared" si="48"/>
        <v>1228530.5849352337</v>
      </c>
      <c r="BU60" s="203">
        <f t="shared" si="49"/>
        <v>1157215.0365392447</v>
      </c>
      <c r="BV60" s="154">
        <f t="shared" si="84"/>
        <v>1401859.4633684431</v>
      </c>
      <c r="BW60" s="154">
        <f t="shared" si="50"/>
        <v>1335104.2508270885</v>
      </c>
      <c r="BX60" s="154">
        <f t="shared" si="51"/>
        <v>1268349.0382857344</v>
      </c>
      <c r="BY60" s="154">
        <f t="shared" si="52"/>
        <v>1194722.0498069404</v>
      </c>
      <c r="BZ60" s="203">
        <f t="shared" si="85"/>
        <v>1438278.4391273023</v>
      </c>
      <c r="CA60" s="203">
        <f t="shared" si="53"/>
        <v>1369788.9896450497</v>
      </c>
      <c r="CB60" s="203">
        <f t="shared" si="54"/>
        <v>1301299.5401627976</v>
      </c>
      <c r="CC60" s="203">
        <f t="shared" si="55"/>
        <v>1225759.7925389719</v>
      </c>
      <c r="CD60" s="154">
        <f t="shared" si="86"/>
        <v>1477039.3833010311</v>
      </c>
      <c r="CE60" s="154">
        <f t="shared" si="56"/>
        <v>1406704.1745724105</v>
      </c>
      <c r="CF60" s="154">
        <f t="shared" si="57"/>
        <v>1336368.9658437904</v>
      </c>
      <c r="CG60" s="154">
        <f t="shared" si="58"/>
        <v>1258793.456672763</v>
      </c>
    </row>
    <row r="61" spans="1:85" ht="15" x14ac:dyDescent="0.4">
      <c r="A61" s="4" t="s">
        <v>58</v>
      </c>
      <c r="B61" s="30"/>
      <c r="C61" s="30"/>
      <c r="D61" s="30"/>
      <c r="E61" s="30"/>
      <c r="F61" s="28"/>
      <c r="G61" s="28"/>
      <c r="H61" s="28"/>
      <c r="I61" s="28"/>
      <c r="J61" s="9"/>
      <c r="K61" s="30"/>
      <c r="L61" s="9"/>
      <c r="M61" s="32"/>
      <c r="O61" s="28"/>
      <c r="Q61" s="29"/>
      <c r="R61" s="9"/>
      <c r="S61" s="9"/>
      <c r="T61" s="9"/>
      <c r="U61" s="9"/>
      <c r="AD61" s="30">
        <f t="shared" si="68"/>
        <v>0</v>
      </c>
      <c r="AE61" s="30">
        <f t="shared" si="69"/>
        <v>0</v>
      </c>
      <c r="AF61" s="30">
        <f t="shared" si="70"/>
        <v>0</v>
      </c>
      <c r="AG61" s="30">
        <f t="shared" si="71"/>
        <v>0</v>
      </c>
      <c r="AT61" s="97">
        <f t="shared" si="76"/>
        <v>0</v>
      </c>
      <c r="AU61" s="97">
        <f t="shared" si="77"/>
        <v>0</v>
      </c>
      <c r="AV61" s="97">
        <f t="shared" si="78"/>
        <v>0</v>
      </c>
      <c r="AW61" s="97">
        <f t="shared" si="79"/>
        <v>0</v>
      </c>
      <c r="AX61" s="97">
        <f t="shared" si="80"/>
        <v>0</v>
      </c>
      <c r="AY61" s="97">
        <f t="shared" si="81"/>
        <v>0</v>
      </c>
      <c r="AZ61" s="97">
        <f t="shared" si="82"/>
        <v>0</v>
      </c>
      <c r="BA61" s="97">
        <f t="shared" si="83"/>
        <v>0</v>
      </c>
      <c r="BB61" s="142">
        <f t="shared" si="31"/>
        <v>0</v>
      </c>
      <c r="BC61" s="142">
        <f t="shared" si="32"/>
        <v>0</v>
      </c>
      <c r="BD61" s="142">
        <f t="shared" si="33"/>
        <v>0</v>
      </c>
      <c r="BE61" s="142">
        <f t="shared" si="34"/>
        <v>0</v>
      </c>
      <c r="BF61" s="154">
        <f t="shared" si="35"/>
        <v>0</v>
      </c>
      <c r="BG61" s="154">
        <f t="shared" si="36"/>
        <v>0</v>
      </c>
      <c r="BH61" s="154">
        <f t="shared" si="37"/>
        <v>0</v>
      </c>
      <c r="BI61" s="154">
        <f t="shared" si="37"/>
        <v>0</v>
      </c>
      <c r="BJ61" s="203">
        <f t="shared" si="38"/>
        <v>0</v>
      </c>
      <c r="BK61" s="203">
        <f t="shared" si="39"/>
        <v>0</v>
      </c>
      <c r="BL61" s="203">
        <f t="shared" si="40"/>
        <v>0</v>
      </c>
      <c r="BM61" s="203">
        <f t="shared" si="41"/>
        <v>0</v>
      </c>
      <c r="BN61" s="207">
        <f t="shared" si="42"/>
        <v>0</v>
      </c>
      <c r="BO61" s="207">
        <f t="shared" si="43"/>
        <v>0</v>
      </c>
      <c r="BP61" s="207">
        <f t="shared" si="44"/>
        <v>0</v>
      </c>
      <c r="BQ61" s="207">
        <f t="shared" si="45"/>
        <v>0</v>
      </c>
      <c r="BR61" s="203">
        <f t="shared" si="46"/>
        <v>0</v>
      </c>
      <c r="BS61" s="203">
        <f t="shared" si="47"/>
        <v>0</v>
      </c>
      <c r="BT61" s="203">
        <f t="shared" si="48"/>
        <v>0</v>
      </c>
      <c r="BU61" s="203">
        <f t="shared" si="49"/>
        <v>0</v>
      </c>
      <c r="BV61" s="154">
        <f t="shared" si="84"/>
        <v>0</v>
      </c>
      <c r="BW61" s="154">
        <f t="shared" si="50"/>
        <v>0</v>
      </c>
      <c r="BX61" s="154">
        <f t="shared" si="51"/>
        <v>0</v>
      </c>
      <c r="BY61" s="154">
        <f t="shared" si="52"/>
        <v>0</v>
      </c>
      <c r="BZ61" s="203">
        <f t="shared" si="85"/>
        <v>0</v>
      </c>
      <c r="CA61" s="203">
        <f t="shared" si="53"/>
        <v>0</v>
      </c>
      <c r="CB61" s="203">
        <f t="shared" si="54"/>
        <v>0</v>
      </c>
      <c r="CC61" s="203">
        <f t="shared" si="55"/>
        <v>0</v>
      </c>
      <c r="CD61" s="154">
        <f t="shared" si="86"/>
        <v>0</v>
      </c>
      <c r="CE61" s="154">
        <f t="shared" si="56"/>
        <v>0</v>
      </c>
      <c r="CF61" s="154">
        <f t="shared" si="57"/>
        <v>0</v>
      </c>
      <c r="CG61" s="154">
        <f t="shared" si="58"/>
        <v>0</v>
      </c>
    </row>
    <row r="62" spans="1:85" ht="15" x14ac:dyDescent="0.4">
      <c r="A62" s="4" t="s">
        <v>59</v>
      </c>
      <c r="AD62" s="30">
        <f t="shared" si="68"/>
        <v>0</v>
      </c>
      <c r="AE62" s="30">
        <f t="shared" si="69"/>
        <v>0</v>
      </c>
      <c r="AF62" s="30">
        <f t="shared" si="70"/>
        <v>0</v>
      </c>
      <c r="AG62" s="30">
        <f t="shared" si="71"/>
        <v>0</v>
      </c>
      <c r="AT62" s="97">
        <f t="shared" si="76"/>
        <v>0</v>
      </c>
      <c r="AU62" s="97">
        <f t="shared" si="77"/>
        <v>0</v>
      </c>
      <c r="AV62" s="97">
        <f t="shared" si="78"/>
        <v>0</v>
      </c>
      <c r="AW62" s="97">
        <f t="shared" si="79"/>
        <v>0</v>
      </c>
      <c r="AX62" s="97">
        <f t="shared" si="80"/>
        <v>0</v>
      </c>
      <c r="AY62" s="97">
        <f t="shared" si="81"/>
        <v>0</v>
      </c>
      <c r="AZ62" s="97">
        <f t="shared" si="82"/>
        <v>0</v>
      </c>
      <c r="BA62" s="97">
        <f t="shared" si="83"/>
        <v>0</v>
      </c>
      <c r="BB62" s="142">
        <f t="shared" si="31"/>
        <v>0</v>
      </c>
      <c r="BC62" s="142">
        <f t="shared" si="32"/>
        <v>0</v>
      </c>
      <c r="BD62" s="142">
        <f t="shared" si="33"/>
        <v>0</v>
      </c>
      <c r="BE62" s="142">
        <f t="shared" si="34"/>
        <v>0</v>
      </c>
      <c r="BF62" s="154">
        <f t="shared" si="35"/>
        <v>0</v>
      </c>
      <c r="BG62" s="154">
        <f t="shared" si="36"/>
        <v>0</v>
      </c>
      <c r="BH62" s="154">
        <f t="shared" si="37"/>
        <v>0</v>
      </c>
      <c r="BI62" s="154">
        <f t="shared" si="37"/>
        <v>0</v>
      </c>
      <c r="BJ62" s="203">
        <f t="shared" si="38"/>
        <v>0</v>
      </c>
      <c r="BK62" s="203">
        <f t="shared" si="39"/>
        <v>0</v>
      </c>
      <c r="BL62" s="203">
        <f t="shared" si="40"/>
        <v>0</v>
      </c>
      <c r="BM62" s="203">
        <f t="shared" si="41"/>
        <v>0</v>
      </c>
      <c r="BN62" s="207">
        <f t="shared" si="42"/>
        <v>0</v>
      </c>
      <c r="BO62" s="207">
        <f t="shared" si="43"/>
        <v>0</v>
      </c>
      <c r="BP62" s="207">
        <f t="shared" si="44"/>
        <v>0</v>
      </c>
      <c r="BQ62" s="207">
        <f t="shared" si="45"/>
        <v>0</v>
      </c>
      <c r="BR62" s="203">
        <f t="shared" si="46"/>
        <v>0</v>
      </c>
      <c r="BS62" s="203">
        <f t="shared" si="47"/>
        <v>0</v>
      </c>
      <c r="BT62" s="203">
        <f t="shared" si="48"/>
        <v>0</v>
      </c>
      <c r="BU62" s="203">
        <f t="shared" si="49"/>
        <v>0</v>
      </c>
      <c r="BV62" s="154">
        <f t="shared" si="84"/>
        <v>0</v>
      </c>
      <c r="BW62" s="154">
        <f t="shared" si="50"/>
        <v>0</v>
      </c>
      <c r="BX62" s="154">
        <f t="shared" si="51"/>
        <v>0</v>
      </c>
      <c r="BY62" s="154">
        <f t="shared" si="52"/>
        <v>0</v>
      </c>
      <c r="BZ62" s="203">
        <f t="shared" si="85"/>
        <v>0</v>
      </c>
      <c r="CA62" s="203">
        <f t="shared" si="53"/>
        <v>0</v>
      </c>
      <c r="CB62" s="203">
        <f t="shared" si="54"/>
        <v>0</v>
      </c>
      <c r="CC62" s="203">
        <f t="shared" si="55"/>
        <v>0</v>
      </c>
      <c r="CD62" s="154">
        <f t="shared" si="86"/>
        <v>0</v>
      </c>
      <c r="CE62" s="154">
        <f t="shared" si="56"/>
        <v>0</v>
      </c>
      <c r="CF62" s="154">
        <f t="shared" si="57"/>
        <v>0</v>
      </c>
      <c r="CG62" s="154">
        <f t="shared" si="58"/>
        <v>0</v>
      </c>
    </row>
    <row r="63" spans="1:85" x14ac:dyDescent="0.35">
      <c r="AX63" s="119">
        <f>SUM(AX5:AX62)</f>
        <v>1361272904.2645025</v>
      </c>
      <c r="AY63" s="119">
        <f>SUM(AY5:AY62)</f>
        <v>1296450385.0138125</v>
      </c>
      <c r="AZ63" s="119">
        <f>SUM(AZ5:AZ62)</f>
        <v>1231627865.7631218</v>
      </c>
      <c r="BA63" s="119">
        <f>SUM(BA5:BA62)</f>
        <v>1166805346.5124309</v>
      </c>
      <c r="BB63" s="119">
        <f>SUM(BB5:BB62)</f>
        <v>1395610603.9208508</v>
      </c>
      <c r="BC63" s="119">
        <f t="shared" ref="BC63:BI63" si="94">SUM(BC5:BC62)</f>
        <v>1329152956.1150956</v>
      </c>
      <c r="BD63" s="119">
        <f t="shared" si="94"/>
        <v>1262695308.3093412</v>
      </c>
      <c r="BE63" s="119">
        <f t="shared" si="94"/>
        <v>1196237660.5035861</v>
      </c>
      <c r="BF63" s="119">
        <f t="shared" si="94"/>
        <v>1420229774.3109126</v>
      </c>
      <c r="BG63" s="119">
        <f t="shared" si="94"/>
        <v>1352599785.0580125</v>
      </c>
      <c r="BH63" s="119">
        <f t="shared" si="94"/>
        <v>1284969795.8051124</v>
      </c>
      <c r="BI63" s="119">
        <f t="shared" si="94"/>
        <v>1210377981.1740139</v>
      </c>
      <c r="BJ63" s="119">
        <f>SUM(BJ5:BJ62)</f>
        <v>1437017829.977035</v>
      </c>
      <c r="BK63" s="119">
        <f>SUM(BK5:BK62)</f>
        <v>1368588409.5019379</v>
      </c>
      <c r="BL63" s="119">
        <f>SUM(BL5:BL62)</f>
        <v>1300158989.0268407</v>
      </c>
      <c r="BM63" s="119">
        <f>SUM(BM5:BM62)</f>
        <v>1224685449.7910948</v>
      </c>
      <c r="BN63" s="208">
        <f t="shared" ref="BN63:BU63" si="95">SUM(BN5:BN62)</f>
        <v>1526427195.4756675</v>
      </c>
      <c r="BO63" s="208">
        <f t="shared" si="95"/>
        <v>1453740186.1673024</v>
      </c>
      <c r="BP63" s="208">
        <f t="shared" si="95"/>
        <v>1381053176.8589373</v>
      </c>
      <c r="BQ63" s="208">
        <f t="shared" si="95"/>
        <v>1300883772.9552407</v>
      </c>
      <c r="BR63" s="119">
        <f t="shared" si="95"/>
        <v>1644655504.6588798</v>
      </c>
      <c r="BS63" s="119">
        <f t="shared" si="95"/>
        <v>1566338575.8655989</v>
      </c>
      <c r="BT63" s="119">
        <f t="shared" si="95"/>
        <v>1488021647.0723195</v>
      </c>
      <c r="BU63" s="119">
        <f t="shared" si="95"/>
        <v>1401642780.2477229</v>
      </c>
      <c r="BV63" s="119">
        <f t="shared" ref="BV63:CC63" si="96">SUM(BV5:BV62)</f>
        <v>1697961168.5901973</v>
      </c>
      <c r="BW63" s="119">
        <f t="shared" si="96"/>
        <v>1617105874.8478072</v>
      </c>
      <c r="BX63" s="119">
        <f t="shared" si="96"/>
        <v>1536250581.1054163</v>
      </c>
      <c r="BY63" s="119">
        <f t="shared" si="96"/>
        <v>1447072050.2583685</v>
      </c>
      <c r="BZ63" s="119">
        <f t="shared" si="96"/>
        <v>1742072585.0725484</v>
      </c>
      <c r="CA63" s="119">
        <f t="shared" si="96"/>
        <v>1659116747.6881416</v>
      </c>
      <c r="CB63" s="119">
        <f t="shared" si="96"/>
        <v>1576160910.3037348</v>
      </c>
      <c r="CC63" s="119">
        <f t="shared" si="96"/>
        <v>1484665606.0296803</v>
      </c>
      <c r="CD63" s="119">
        <f>SUM(CD5:CD62)</f>
        <v>1789020642.1243887</v>
      </c>
      <c r="CE63" s="119">
        <f>SUM(CE5:CE62)</f>
        <v>1703829182.9756091</v>
      </c>
      <c r="CF63" s="119">
        <f>SUM(CF5:CF62)</f>
        <v>1618637723.8268282</v>
      </c>
      <c r="CG63" s="119">
        <f>SUM(CG5:CG62)</f>
        <v>1524676663.072911</v>
      </c>
    </row>
  </sheetData>
  <phoneticPr fontId="0"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pc="http://schemas.microsoft.com/office/infopath/2007/PartnerControls" xmlns:xsi="http://www.w3.org/2001/XMLSchema-instance">
  <documentManagement>
    <Quick_x0020_Access xmlns="b8e8ac02-b785-48ce-b0fb-0e168dac6e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F6CE2827FA8A54E8E9EBE1EC3744015" ma:contentTypeVersion="10" ma:contentTypeDescription="Create a new document." ma:contentTypeScope="" ma:versionID="094ef4a4cbae792136740cb14ea91953">
  <xsd:schema xmlns:xsd="http://www.w3.org/2001/XMLSchema" xmlns:xs="http://www.w3.org/2001/XMLSchema" xmlns:p="http://schemas.microsoft.com/office/2006/metadata/properties" xmlns:ns2="b8e8ac02-b785-48ce-b0fb-0e168dac6eff" xmlns:ns3="a8f4f48c-d55d-4625-8121-08fdad9dc02e" targetNamespace="http://schemas.microsoft.com/office/2006/metadata/properties" ma:root="true" ma:fieldsID="3139fe6b2db2b3e03e75792292c1b4a9" ns2:_="" ns3:_="">
    <xsd:import namespace="b8e8ac02-b785-48ce-b0fb-0e168dac6eff"/>
    <xsd:import namespace="a8f4f48c-d55d-4625-8121-08fdad9dc02e"/>
    <xsd:element name="properties">
      <xsd:complexType>
        <xsd:sequence>
          <xsd:element name="documentManagement">
            <xsd:complexType>
              <xsd:all>
                <xsd:element ref="ns2:Quick_x0020_Access"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e8ac02-b785-48ce-b0fb-0e168dac6eff" elementFormDefault="qualified">
    <xsd:import namespace="http://schemas.microsoft.com/office/2006/documentManagement/types"/>
    <xsd:import namespace="http://schemas.microsoft.com/office/infopath/2007/PartnerControls"/>
    <xsd:element name="Quick_x0020_Access" ma:index="4" nillable="true" ma:displayName="Quick Access" ma:internalName="Quick_x0020_Access" ma:readOnly="false">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f4f48c-d55d-4625-8121-08fdad9dc02e"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3FEF4C-3CF5-4245-816F-9583351F9AC4}">
  <ds:schemaRefs>
    <ds:schemaRef ds:uri="http://purl.org/dc/dcmitype/"/>
    <ds:schemaRef ds:uri="http://schemas.microsoft.com/office/2006/documentManagement/types"/>
    <ds:schemaRef ds:uri="a8f4f48c-d55d-4625-8121-08fdad9dc02e"/>
    <ds:schemaRef ds:uri="http://purl.org/dc/elements/1.1/"/>
    <ds:schemaRef ds:uri="http://purl.org/dc/terms/"/>
    <ds:schemaRef ds:uri="http://schemas.microsoft.com/office/2006/metadata/properties"/>
    <ds:schemaRef ds:uri="http://schemas.microsoft.com/office/infopath/2007/PartnerControls"/>
    <ds:schemaRef ds:uri="http://schemas.openxmlformats.org/package/2006/metadata/core-properties"/>
    <ds:schemaRef ds:uri="b8e8ac02-b785-48ce-b0fb-0e168dac6eff"/>
    <ds:schemaRef ds:uri="http://www.w3.org/XML/1998/namespace"/>
  </ds:schemaRefs>
</ds:datastoreItem>
</file>

<file path=customXml/itemProps2.xml><?xml version="1.0" encoding="utf-8"?>
<ds:datastoreItem xmlns:ds="http://schemas.openxmlformats.org/officeDocument/2006/customXml" ds:itemID="{44EB545A-8694-4163-9FF3-69B323832DD4}">
  <ds:schemaRefs>
    <ds:schemaRef ds:uri="http://schemas.microsoft.com/sharepoint/v3/contenttype/forms"/>
  </ds:schemaRefs>
</ds:datastoreItem>
</file>

<file path=customXml/itemProps3.xml><?xml version="1.0" encoding="utf-8"?>
<ds:datastoreItem xmlns:ds="http://schemas.openxmlformats.org/officeDocument/2006/customXml" ds:itemID="{1E70B2E1-8A2F-4A5F-8C0F-24CDC55846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e8ac02-b785-48ce-b0fb-0e168dac6eff"/>
    <ds:schemaRef ds:uri="a8f4f48c-d55d-4625-8121-08fdad9dc0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19</vt:i4>
      </vt:variant>
    </vt:vector>
  </HeadingPairs>
  <TitlesOfParts>
    <vt:vector size="30" baseType="lpstr">
      <vt:lpstr>Approp Path</vt:lpstr>
      <vt:lpstr>Prior Year Funding Levels</vt:lpstr>
      <vt:lpstr>Prior Year Penalties</vt:lpstr>
      <vt:lpstr>Inflation</vt:lpstr>
      <vt:lpstr>APPE</vt:lpstr>
      <vt:lpstr>APPE Public &amp; CJ</vt:lpstr>
      <vt:lpstr>Childcount 2007</vt:lpstr>
      <vt:lpstr>Admin Maximums</vt:lpstr>
      <vt:lpstr>Other Activities Maxmiums</vt:lpstr>
      <vt:lpstr>State-Level Activities</vt:lpstr>
      <vt:lpstr>Summary Table</vt:lpstr>
      <vt:lpstr>admin</vt:lpstr>
      <vt:lpstr>admin_year</vt:lpstr>
      <vt:lpstr>APPE</vt:lpstr>
      <vt:lpstr>APPE_title_row</vt:lpstr>
      <vt:lpstr>childcount2007</vt:lpstr>
      <vt:lpstr>fund_table</vt:lpstr>
      <vt:lpstr>FY_Inflation</vt:lpstr>
      <vt:lpstr>FY_Inflation_year_row</vt:lpstr>
      <vt:lpstr>other</vt:lpstr>
      <vt:lpstr>other_label</vt:lpstr>
      <vt:lpstr>penalty_table</vt:lpstr>
      <vt:lpstr>APPE!Print_Area</vt:lpstr>
      <vt:lpstr>'State-Level Activities'!Print_Area</vt:lpstr>
      <vt:lpstr>'Summary Table'!Print_Area</vt:lpstr>
      <vt:lpstr>Prior_Year_Penalties_Year_Row</vt:lpstr>
      <vt:lpstr>summary_part_b</vt:lpstr>
      <vt:lpstr>summary_part_b_titles</vt:lpstr>
      <vt:lpstr>var_table</vt:lpstr>
      <vt:lpstr>year_row</vt:lpstr>
    </vt:vector>
  </TitlesOfParts>
  <Manager/>
  <Company>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jessie.bailey</dc:creator>
  <cp:keywords/>
  <dc:description/>
  <cp:lastModifiedBy>Trakas, Alycia</cp:lastModifiedBy>
  <cp:revision/>
  <cp:lastPrinted>2020-06-11T13:34:21Z</cp:lastPrinted>
  <dcterms:created xsi:type="dcterms:W3CDTF">2008-10-09T18:10:38Z</dcterms:created>
  <dcterms:modified xsi:type="dcterms:W3CDTF">2026-07-07T15:00:26Z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0x0101001F6CE2827FA8A54E8E9EBE1EC3744015</vt:lpwstr>
  </property>
  <property fmtid="{D5CDD505-2E9C-101B-9397-08002B2CF9AE}" pid="3" name="Order">
    <vt:r8>100</vt:r8>
  </property>
  <property fmtid="{D5CDD505-2E9C-101B-9397-08002B2CF9AE}" pid="4" name="AuthorIds_UIVersion_9216">
    <vt:lpwstr>78</vt:lpwstr>
  </property>
</Properties>
</file>