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tables/table154.xml" ContentType="application/vnd.openxmlformats-officedocument.spreadsheetml.table+xml"/>
  <Override PartName="/xl/tables/table155.xml" ContentType="application/vnd.openxmlformats-officedocument.spreadsheetml.table+xml"/>
  <Override PartName="/xl/tables/table156.xml" ContentType="application/vnd.openxmlformats-officedocument.spreadsheetml.table+xml"/>
  <Override PartName="/xl/tables/table157.xml" ContentType="application/vnd.openxmlformats-officedocument.spreadsheetml.table+xml"/>
  <Override PartName="/xl/tables/table158.xml" ContentType="application/vnd.openxmlformats-officedocument.spreadsheetml.table+xml"/>
  <Override PartName="/xl/tables/table159.xml" ContentType="application/vnd.openxmlformats-officedocument.spreadsheetml.table+xml"/>
  <Override PartName="/xl/tables/table160.xml" ContentType="application/vnd.openxmlformats-officedocument.spreadsheetml.table+xml"/>
  <Override PartName="/xl/tables/table161.xml" ContentType="application/vnd.openxmlformats-officedocument.spreadsheetml.table+xml"/>
  <Override PartName="/xl/tables/table162.xml" ContentType="application/vnd.openxmlformats-officedocument.spreadsheetml.table+xml"/>
  <Override PartName="/xl/tables/table163.xml" ContentType="application/vnd.openxmlformats-officedocument.spreadsheetml.table+xml"/>
  <Override PartName="/xl/tables/table164.xml" ContentType="application/vnd.openxmlformats-officedocument.spreadsheetml.table+xml"/>
  <Override PartName="/xl/tables/table165.xml" ContentType="application/vnd.openxmlformats-officedocument.spreadsheetml.table+xml"/>
  <Override PartName="/xl/tables/table166.xml" ContentType="application/vnd.openxmlformats-officedocument.spreadsheetml.table+xml"/>
  <Override PartName="/xl/tables/table167.xml" ContentType="application/vnd.openxmlformats-officedocument.spreadsheetml.table+xml"/>
  <Override PartName="/xl/tables/table168.xml" ContentType="application/vnd.openxmlformats-officedocument.spreadsheetml.table+xml"/>
  <Override PartName="/xl/tables/table169.xml" ContentType="application/vnd.openxmlformats-officedocument.spreadsheetml.table+xml"/>
  <Override PartName="/xl/tables/table170.xml" ContentType="application/vnd.openxmlformats-officedocument.spreadsheetml.table+xml"/>
  <Override PartName="/xl/tables/table171.xml" ContentType="application/vnd.openxmlformats-officedocument.spreadsheetml.table+xml"/>
  <Override PartName="/xl/tables/table172.xml" ContentType="application/vnd.openxmlformats-officedocument.spreadsheetml.table+xml"/>
  <Override PartName="/xl/tables/table173.xml" ContentType="application/vnd.openxmlformats-officedocument.spreadsheetml.table+xml"/>
  <Override PartName="/xl/tables/table174.xml" ContentType="application/vnd.openxmlformats-officedocument.spreadsheetml.table+xml"/>
  <Override PartName="/xl/tables/table175.xml" ContentType="application/vnd.openxmlformats-officedocument.spreadsheetml.table+xml"/>
  <Override PartName="/xl/tables/table176.xml" ContentType="application/vnd.openxmlformats-officedocument.spreadsheetml.table+xml"/>
  <Override PartName="/xl/tables/table177.xml" ContentType="application/vnd.openxmlformats-officedocument.spreadsheetml.table+xml"/>
  <Override PartName="/xl/tables/table178.xml" ContentType="application/vnd.openxmlformats-officedocument.spreadsheetml.table+xml"/>
  <Override PartName="/xl/tables/table179.xml" ContentType="application/vnd.openxmlformats-officedocument.spreadsheetml.table+xml"/>
  <Override PartName="/xl/tables/table180.xml" ContentType="application/vnd.openxmlformats-officedocument.spreadsheetml.table+xml"/>
  <Override PartName="/xl/tables/table181.xml" ContentType="application/vnd.openxmlformats-officedocument.spreadsheetml.table+xml"/>
  <Override PartName="/xl/tables/table182.xml" ContentType="application/vnd.openxmlformats-officedocument.spreadsheetml.table+xml"/>
  <Override PartName="/xl/tables/table183.xml" ContentType="application/vnd.openxmlformats-officedocument.spreadsheetml.table+xml"/>
  <Override PartName="/xl/tables/table184.xml" ContentType="application/vnd.openxmlformats-officedocument.spreadsheetml.table+xml"/>
  <Override PartName="/xl/tables/table185.xml" ContentType="application/vnd.openxmlformats-officedocument.spreadsheetml.table+xml"/>
  <Override PartName="/xl/tables/table186.xml" ContentType="application/vnd.openxmlformats-officedocument.spreadsheetml.table+xml"/>
  <Override PartName="/xl/tables/table187.xml" ContentType="application/vnd.openxmlformats-officedocument.spreadsheetml.table+xml"/>
  <Override PartName="/xl/tables/table188.xml" ContentType="application/vnd.openxmlformats-officedocument.spreadsheetml.table+xml"/>
  <Override PartName="/xl/tables/table189.xml" ContentType="application/vnd.openxmlformats-officedocument.spreadsheetml.table+xml"/>
  <Override PartName="/xl/tables/table190.xml" ContentType="application/vnd.openxmlformats-officedocument.spreadsheetml.table+xml"/>
  <Override PartName="/xl/tables/table191.xml" ContentType="application/vnd.openxmlformats-officedocument.spreadsheetml.table+xml"/>
  <Override PartName="/xl/tables/table192.xml" ContentType="application/vnd.openxmlformats-officedocument.spreadsheetml.table+xml"/>
  <Override PartName="/xl/tables/table193.xml" ContentType="application/vnd.openxmlformats-officedocument.spreadsheetml.table+xml"/>
  <Override PartName="/xl/tables/table194.xml" ContentType="application/vnd.openxmlformats-officedocument.spreadsheetml.table+xml"/>
  <Override PartName="/xl/tables/table195.xml" ContentType="application/vnd.openxmlformats-officedocument.spreadsheetml.table+xml"/>
  <Override PartName="/xl/tables/table196.xml" ContentType="application/vnd.openxmlformats-officedocument.spreadsheetml.table+xml"/>
  <Override PartName="/xl/tables/table197.xml" ContentType="application/vnd.openxmlformats-officedocument.spreadsheetml.table+xml"/>
  <Override PartName="/xl/tables/table198.xml" ContentType="application/vnd.openxmlformats-officedocument.spreadsheetml.table+xml"/>
  <Override PartName="/xl/tables/table199.xml" ContentType="application/vnd.openxmlformats-officedocument.spreadsheetml.table+xml"/>
  <Override PartName="/xl/tables/table200.xml" ContentType="application/vnd.openxmlformats-officedocument.spreadsheetml.table+xml"/>
  <Override PartName="/xl/tables/table201.xml" ContentType="application/vnd.openxmlformats-officedocument.spreadsheetml.table+xml"/>
  <Override PartName="/xl/tables/table202.xml" ContentType="application/vnd.openxmlformats-officedocument.spreadsheetml.table+xml"/>
  <Override PartName="/xl/tables/table203.xml" ContentType="application/vnd.openxmlformats-officedocument.spreadsheetml.table+xml"/>
  <Override PartName="/xl/tables/table204.xml" ContentType="application/vnd.openxmlformats-officedocument.spreadsheetml.table+xml"/>
  <Override PartName="/xl/tables/table205.xml" ContentType="application/vnd.openxmlformats-officedocument.spreadsheetml.table+xml"/>
  <Override PartName="/xl/tables/table206.xml" ContentType="application/vnd.openxmlformats-officedocument.spreadsheetml.table+xml"/>
  <Override PartName="/xl/tables/table207.xml" ContentType="application/vnd.openxmlformats-officedocument.spreadsheetml.table+xml"/>
  <Override PartName="/xl/tables/table208.xml" ContentType="application/vnd.openxmlformats-officedocument.spreadsheetml.table+xml"/>
  <Override PartName="/xl/tables/table209.xml" ContentType="application/vnd.openxmlformats-officedocument.spreadsheetml.table+xml"/>
  <Override PartName="/xl/tables/table210.xml" ContentType="application/vnd.openxmlformats-officedocument.spreadsheetml.table+xml"/>
  <Override PartName="/xl/tables/table211.xml" ContentType="application/vnd.openxmlformats-officedocument.spreadsheetml.table+xml"/>
  <Override PartName="/xl/tables/table212.xml" ContentType="application/vnd.openxmlformats-officedocument.spreadsheetml.table+xml"/>
  <Override PartName="/xl/tables/table213.xml" ContentType="application/vnd.openxmlformats-officedocument.spreadsheetml.table+xml"/>
  <Override PartName="/xl/tables/table214.xml" ContentType="application/vnd.openxmlformats-officedocument.spreadsheetml.table+xml"/>
  <Override PartName="/xl/tables/table215.xml" ContentType="application/vnd.openxmlformats-officedocument.spreadsheetml.table+xml"/>
  <Override PartName="/xl/tables/table216.xml" ContentType="application/vnd.openxmlformats-officedocument.spreadsheetml.table+xml"/>
  <Override PartName="/xl/tables/table217.xml" ContentType="application/vnd.openxmlformats-officedocument.spreadsheetml.table+xml"/>
  <Override PartName="/xl/tables/table218.xml" ContentType="application/vnd.openxmlformats-officedocument.spreadsheetml.table+xml"/>
  <Override PartName="/xl/tables/table219.xml" ContentType="application/vnd.openxmlformats-officedocument.spreadsheetml.table+xml"/>
  <Override PartName="/xl/tables/table220.xml" ContentType="application/vnd.openxmlformats-officedocument.spreadsheetml.table+xml"/>
  <Override PartName="/xl/tables/table221.xml" ContentType="application/vnd.openxmlformats-officedocument.spreadsheetml.table+xml"/>
  <Override PartName="/xl/tables/table222.xml" ContentType="application/vnd.openxmlformats-officedocument.spreadsheetml.table+xml"/>
  <Override PartName="/xl/tables/table223.xml" ContentType="application/vnd.openxmlformats-officedocument.spreadsheetml.table+xml"/>
  <Override PartName="/xl/tables/table224.xml" ContentType="application/vnd.openxmlformats-officedocument.spreadsheetml.table+xml"/>
  <Override PartName="/xl/tables/table225.xml" ContentType="application/vnd.openxmlformats-officedocument.spreadsheetml.table+xml"/>
  <Override PartName="/xl/tables/table226.xml" ContentType="application/vnd.openxmlformats-officedocument.spreadsheetml.table+xml"/>
  <Override PartName="/xl/tables/table227.xml" ContentType="application/vnd.openxmlformats-officedocument.spreadsheetml.table+xml"/>
  <Override PartName="/xl/tables/table228.xml" ContentType="application/vnd.openxmlformats-officedocument.spreadsheetml.table+xml"/>
  <Override PartName="/xl/tables/table229.xml" ContentType="application/vnd.openxmlformats-officedocument.spreadsheetml.table+xml"/>
  <Override PartName="/xl/tables/table230.xml" ContentType="application/vnd.openxmlformats-officedocument.spreadsheetml.table+xml"/>
  <Override PartName="/xl/tables/table231.xml" ContentType="application/vnd.openxmlformats-officedocument.spreadsheetml.table+xml"/>
  <Override PartName="/xl/tables/table232.xml" ContentType="application/vnd.openxmlformats-officedocument.spreadsheetml.table+xml"/>
  <Override PartName="/xl/tables/table233.xml" ContentType="application/vnd.openxmlformats-officedocument.spreadsheetml.table+xml"/>
  <Override PartName="/xl/tables/table234.xml" ContentType="application/vnd.openxmlformats-officedocument.spreadsheetml.table+xml"/>
  <Override PartName="/xl/tables/table235.xml" ContentType="application/vnd.openxmlformats-officedocument.spreadsheetml.table+xml"/>
  <Override PartName="/xl/tables/table236.xml" ContentType="application/vnd.openxmlformats-officedocument.spreadsheetml.table+xml"/>
  <Override PartName="/xl/tables/table237.xml" ContentType="application/vnd.openxmlformats-officedocument.spreadsheetml.table+xml"/>
  <Override PartName="/xl/tables/table238.xml" ContentType="application/vnd.openxmlformats-officedocument.spreadsheetml.table+xml"/>
  <Override PartName="/xl/tables/table239.xml" ContentType="application/vnd.openxmlformats-officedocument.spreadsheetml.table+xml"/>
  <Override PartName="/xl/tables/table240.xml" ContentType="application/vnd.openxmlformats-officedocument.spreadsheetml.table+xml"/>
  <Override PartName="/xl/tables/table241.xml" ContentType="application/vnd.openxmlformats-officedocument.spreadsheetml.table+xml"/>
  <Override PartName="/xl/tables/table242.xml" ContentType="application/vnd.openxmlformats-officedocument.spreadsheetml.table+xml"/>
  <Override PartName="/xl/tables/table243.xml" ContentType="application/vnd.openxmlformats-officedocument.spreadsheetml.table+xml"/>
  <Override PartName="/xl/tables/table244.xml" ContentType="application/vnd.openxmlformats-officedocument.spreadsheetml.table+xml"/>
  <Override PartName="/xl/tables/table245.xml" ContentType="application/vnd.openxmlformats-officedocument.spreadsheetml.table+xml"/>
  <Override PartName="/xl/tables/table246.xml" ContentType="application/vnd.openxmlformats-officedocument.spreadsheetml.table+xml"/>
  <Override PartName="/xl/tables/table247.xml" ContentType="application/vnd.openxmlformats-officedocument.spreadsheetml.table+xml"/>
  <Override PartName="/xl/tables/table248.xml" ContentType="application/vnd.openxmlformats-officedocument.spreadsheetml.table+xml"/>
  <Override PartName="/xl/tables/table249.xml" ContentType="application/vnd.openxmlformats-officedocument.spreadsheetml.table+xml"/>
  <Override PartName="/xl/tables/table250.xml" ContentType="application/vnd.openxmlformats-officedocument.spreadsheetml.table+xml"/>
  <Override PartName="/xl/tables/table251.xml" ContentType="application/vnd.openxmlformats-officedocument.spreadsheetml.table+xml"/>
  <Override PartName="/xl/tables/table252.xml" ContentType="application/vnd.openxmlformats-officedocument.spreadsheetml.table+xml"/>
  <Override PartName="/xl/tables/table253.xml" ContentType="application/vnd.openxmlformats-officedocument.spreadsheetml.table+xml"/>
  <Override PartName="/xl/tables/table254.xml" ContentType="application/vnd.openxmlformats-officedocument.spreadsheetml.table+xml"/>
  <Override PartName="/xl/tables/table255.xml" ContentType="application/vnd.openxmlformats-officedocument.spreadsheetml.table+xml"/>
  <Override PartName="/xl/tables/table256.xml" ContentType="application/vnd.openxmlformats-officedocument.spreadsheetml.table+xml"/>
  <Override PartName="/xl/tables/table257.xml" ContentType="application/vnd.openxmlformats-officedocument.spreadsheetml.table+xml"/>
  <Override PartName="/xl/tables/table258.xml" ContentType="application/vnd.openxmlformats-officedocument.spreadsheetml.table+xml"/>
  <Override PartName="/xl/tables/table259.xml" ContentType="application/vnd.openxmlformats-officedocument.spreadsheetml.table+xml"/>
  <Override PartName="/xl/tables/table260.xml" ContentType="application/vnd.openxmlformats-officedocument.spreadsheetml.table+xml"/>
  <Override PartName="/xl/tables/table261.xml" ContentType="application/vnd.openxmlformats-officedocument.spreadsheetml.table+xml"/>
  <Override PartName="/xl/tables/table262.xml" ContentType="application/vnd.openxmlformats-officedocument.spreadsheetml.table+xml"/>
  <Override PartName="/xl/tables/table263.xml" ContentType="application/vnd.openxmlformats-officedocument.spreadsheetml.table+xml"/>
  <Override PartName="/xl/tables/table264.xml" ContentType="application/vnd.openxmlformats-officedocument.spreadsheetml.table+xml"/>
  <Override PartName="/xl/tables/table265.xml" ContentType="application/vnd.openxmlformats-officedocument.spreadsheetml.table+xml"/>
  <Override PartName="/xl/tables/table266.xml" ContentType="application/vnd.openxmlformats-officedocument.spreadsheetml.table+xml"/>
  <Override PartName="/xl/tables/table267.xml" ContentType="application/vnd.openxmlformats-officedocument.spreadsheetml.table+xml"/>
  <Override PartName="/xl/tables/table268.xml" ContentType="application/vnd.openxmlformats-officedocument.spreadsheetml.table+xml"/>
  <Override PartName="/xl/tables/table269.xml" ContentType="application/vnd.openxmlformats-officedocument.spreadsheetml.table+xml"/>
  <Override PartName="/xl/tables/table270.xml" ContentType="application/vnd.openxmlformats-officedocument.spreadsheetml.table+xml"/>
  <Override PartName="/xl/tables/table271.xml" ContentType="application/vnd.openxmlformats-officedocument.spreadsheetml.table+xml"/>
  <Override PartName="/xl/tables/table272.xml" ContentType="application/vnd.openxmlformats-officedocument.spreadsheetml.table+xml"/>
  <Override PartName="/xl/tables/table273.xml" ContentType="application/vnd.openxmlformats-officedocument.spreadsheetml.table+xml"/>
  <Override PartName="/xl/tables/table274.xml" ContentType="application/vnd.openxmlformats-officedocument.spreadsheetml.table+xml"/>
  <Override PartName="/xl/tables/table275.xml" ContentType="application/vnd.openxmlformats-officedocument.spreadsheetml.table+xml"/>
  <Override PartName="/xl/tables/table276.xml" ContentType="application/vnd.openxmlformats-officedocument.spreadsheetml.table+xml"/>
  <Override PartName="/xl/tables/table277.xml" ContentType="application/vnd.openxmlformats-officedocument.spreadsheetml.table+xml"/>
  <Override PartName="/xl/tables/table278.xml" ContentType="application/vnd.openxmlformats-officedocument.spreadsheetml.table+xml"/>
  <Override PartName="/xl/tables/table279.xml" ContentType="application/vnd.openxmlformats-officedocument.spreadsheetml.table+xml"/>
  <Override PartName="/xl/tables/table280.xml" ContentType="application/vnd.openxmlformats-officedocument.spreadsheetml.table+xml"/>
  <Override PartName="/xl/tables/table281.xml" ContentType="application/vnd.openxmlformats-officedocument.spreadsheetml.table+xml"/>
  <Override PartName="/xl/tables/table282.xml" ContentType="application/vnd.openxmlformats-officedocument.spreadsheetml.table+xml"/>
  <Override PartName="/xl/tables/table283.xml" ContentType="application/vnd.openxmlformats-officedocument.spreadsheetml.table+xml"/>
  <Override PartName="/xl/tables/table284.xml" ContentType="application/vnd.openxmlformats-officedocument.spreadsheetml.table+xml"/>
  <Override PartName="/xl/tables/table285.xml" ContentType="application/vnd.openxmlformats-officedocument.spreadsheetml.table+xml"/>
  <Override PartName="/xl/tables/table286.xml" ContentType="application/vnd.openxmlformats-officedocument.spreadsheetml.table+xml"/>
  <Override PartName="/xl/tables/table287.xml" ContentType="application/vnd.openxmlformats-officedocument.spreadsheetml.table+xml"/>
  <Override PartName="/xl/tables/table288.xml" ContentType="application/vnd.openxmlformats-officedocument.spreadsheetml.table+xml"/>
  <Override PartName="/xl/tables/table289.xml" ContentType="application/vnd.openxmlformats-officedocument.spreadsheetml.table+xml"/>
  <Override PartName="/xl/tables/table290.xml" ContentType="application/vnd.openxmlformats-officedocument.spreadsheetml.table+xml"/>
  <Override PartName="/xl/tables/table291.xml" ContentType="application/vnd.openxmlformats-officedocument.spreadsheetml.table+xml"/>
  <Override PartName="/xl/tables/table292.xml" ContentType="application/vnd.openxmlformats-officedocument.spreadsheetml.table+xml"/>
  <Override PartName="/xl/tables/table293.xml" ContentType="application/vnd.openxmlformats-officedocument.spreadsheetml.table+xml"/>
  <Override PartName="/xl/tables/table294.xml" ContentType="application/vnd.openxmlformats-officedocument.spreadsheetml.table+xml"/>
  <Override PartName="/xl/tables/table295.xml" ContentType="application/vnd.openxmlformats-officedocument.spreadsheetml.table+xml"/>
  <Override PartName="/xl/tables/table296.xml" ContentType="application/vnd.openxmlformats-officedocument.spreadsheetml.table+xml"/>
  <Override PartName="/xl/tables/table297.xml" ContentType="application/vnd.openxmlformats-officedocument.spreadsheetml.table+xml"/>
  <Override PartName="/xl/tables/table298.xml" ContentType="application/vnd.openxmlformats-officedocument.spreadsheetml.table+xml"/>
  <Override PartName="/xl/tables/table299.xml" ContentType="application/vnd.openxmlformats-officedocument.spreadsheetml.table+xml"/>
  <Override PartName="/xl/tables/table300.xml" ContentType="application/vnd.openxmlformats-officedocument.spreadsheetml.table+xml"/>
  <Override PartName="/xl/tables/table301.xml" ContentType="application/vnd.openxmlformats-officedocument.spreadsheetml.table+xml"/>
  <Override PartName="/xl/tables/table302.xml" ContentType="application/vnd.openxmlformats-officedocument.spreadsheetml.table+xml"/>
  <Override PartName="/xl/tables/table303.xml" ContentType="application/vnd.openxmlformats-officedocument.spreadsheetml.table+xml"/>
  <Override PartName="/xl/tables/table304.xml" ContentType="application/vnd.openxmlformats-officedocument.spreadsheetml.table+xml"/>
  <Override PartName="/xl/tables/table305.xml" ContentType="application/vnd.openxmlformats-officedocument.spreadsheetml.table+xml"/>
  <Override PartName="/xl/tables/table306.xml" ContentType="application/vnd.openxmlformats-officedocument.spreadsheetml.table+xml"/>
  <Override PartName="/xl/tables/table307.xml" ContentType="application/vnd.openxmlformats-officedocument.spreadsheetml.table+xml"/>
  <Override PartName="/xl/tables/table308.xml" ContentType="application/vnd.openxmlformats-officedocument.spreadsheetml.table+xml"/>
  <Override PartName="/xl/tables/table309.xml" ContentType="application/vnd.openxmlformats-officedocument.spreadsheetml.table+xml"/>
  <Override PartName="/xl/tables/table310.xml" ContentType="application/vnd.openxmlformats-officedocument.spreadsheetml.table+xml"/>
  <Override PartName="/xl/tables/table311.xml" ContentType="application/vnd.openxmlformats-officedocument.spreadsheetml.table+xml"/>
  <Override PartName="/xl/tables/table312.xml" ContentType="application/vnd.openxmlformats-officedocument.spreadsheetml.table+xml"/>
  <Override PartName="/xl/tables/table313.xml" ContentType="application/vnd.openxmlformats-officedocument.spreadsheetml.table+xml"/>
  <Override PartName="/xl/tables/table314.xml" ContentType="application/vnd.openxmlformats-officedocument.spreadsheetml.table+xml"/>
  <Override PartName="/xl/tables/table315.xml" ContentType="application/vnd.openxmlformats-officedocument.spreadsheetml.table+xml"/>
  <Override PartName="/xl/tables/table316.xml" ContentType="application/vnd.openxmlformats-officedocument.spreadsheetml.table+xml"/>
  <Override PartName="/xl/tables/table317.xml" ContentType="application/vnd.openxmlformats-officedocument.spreadsheetml.table+xml"/>
  <Override PartName="/xl/tables/table318.xml" ContentType="application/vnd.openxmlformats-officedocument.spreadsheetml.table+xml"/>
  <Override PartName="/xl/tables/table319.xml" ContentType="application/vnd.openxmlformats-officedocument.spreadsheetml.table+xml"/>
  <Override PartName="/xl/tables/table320.xml" ContentType="application/vnd.openxmlformats-officedocument.spreadsheetml.table+xml"/>
  <Override PartName="/xl/tables/table321.xml" ContentType="application/vnd.openxmlformats-officedocument.spreadsheetml.table+xml"/>
  <Override PartName="/xl/tables/table322.xml" ContentType="application/vnd.openxmlformats-officedocument.spreadsheetml.table+xml"/>
  <Override PartName="/xl/tables/table323.xml" ContentType="application/vnd.openxmlformats-officedocument.spreadsheetml.table+xml"/>
  <Override PartName="/xl/tables/table324.xml" ContentType="application/vnd.openxmlformats-officedocument.spreadsheetml.table+xml"/>
  <Override PartName="/xl/tables/table325.xml" ContentType="application/vnd.openxmlformats-officedocument.spreadsheetml.table+xml"/>
  <Override PartName="/xl/tables/table326.xml" ContentType="application/vnd.openxmlformats-officedocument.spreadsheetml.table+xml"/>
  <Override PartName="/xl/tables/table327.xml" ContentType="application/vnd.openxmlformats-officedocument.spreadsheetml.table+xml"/>
  <Override PartName="/xl/tables/table328.xml" ContentType="application/vnd.openxmlformats-officedocument.spreadsheetml.table+xml"/>
  <Override PartName="/xl/tables/table329.xml" ContentType="application/vnd.openxmlformats-officedocument.spreadsheetml.table+xml"/>
  <Override PartName="/xl/tables/table330.xml" ContentType="application/vnd.openxmlformats-officedocument.spreadsheetml.table+xml"/>
  <Override PartName="/xl/tables/table331.xml" ContentType="application/vnd.openxmlformats-officedocument.spreadsheetml.table+xml"/>
  <Override PartName="/xl/tables/table332.xml" ContentType="application/vnd.openxmlformats-officedocument.spreadsheetml.table+xml"/>
  <Override PartName="/xl/tables/table333.xml" ContentType="application/vnd.openxmlformats-officedocument.spreadsheetml.table+xml"/>
  <Override PartName="/xl/tables/table334.xml" ContentType="application/vnd.openxmlformats-officedocument.spreadsheetml.table+xml"/>
  <Override PartName="/xl/tables/table335.xml" ContentType="application/vnd.openxmlformats-officedocument.spreadsheetml.table+xml"/>
  <Override PartName="/xl/tables/table336.xml" ContentType="application/vnd.openxmlformats-officedocument.spreadsheetml.table+xml"/>
  <Override PartName="/xl/tables/table337.xml" ContentType="application/vnd.openxmlformats-officedocument.spreadsheetml.table+xml"/>
  <Override PartName="/xl/tables/table338.xml" ContentType="application/vnd.openxmlformats-officedocument.spreadsheetml.table+xml"/>
  <Override PartName="/xl/tables/table339.xml" ContentType="application/vnd.openxmlformats-officedocument.spreadsheetml.table+xml"/>
  <Override PartName="/xl/tables/table340.xml" ContentType="application/vnd.openxmlformats-officedocument.spreadsheetml.table+xml"/>
  <Override PartName="/xl/tables/table341.xml" ContentType="application/vnd.openxmlformats-officedocument.spreadsheetml.table+xml"/>
  <Override PartName="/xl/tables/table342.xml" ContentType="application/vnd.openxmlformats-officedocument.spreadsheetml.table+xml"/>
  <Override PartName="/xl/tables/table343.xml" ContentType="application/vnd.openxmlformats-officedocument.spreadsheetml.table+xml"/>
  <Override PartName="/xl/tables/table344.xml" ContentType="application/vnd.openxmlformats-officedocument.spreadsheetml.table+xml"/>
  <Override PartName="/xl/tables/table345.xml" ContentType="application/vnd.openxmlformats-officedocument.spreadsheetml.table+xml"/>
  <Override PartName="/xl/tables/table346.xml" ContentType="application/vnd.openxmlformats-officedocument.spreadsheetml.table+xml"/>
  <Override PartName="/xl/tables/table3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trakasal\Downloads\"/>
    </mc:Choice>
  </mc:AlternateContent>
  <xr:revisionPtr revIDLastSave="0" documentId="8_{17916634-2FC1-4F84-9C30-14F441D0BEBD}" xr6:coauthVersionLast="47" xr6:coauthVersionMax="47" xr10:uidLastSave="{00000000-0000-0000-0000-000000000000}"/>
  <bookViews>
    <workbookView xWindow="57480" yWindow="-120" windowWidth="29040" windowHeight="15720" tabRatio="921" activeTab="1" xr2:uid="{00000000-000D-0000-FFFF-FFFF00000000}"/>
  </bookViews>
  <sheets>
    <sheet name="1. Title Page" sheetId="50" r:id="rId1"/>
    <sheet name="2. Getting Started" sheetId="1" r:id="rId2"/>
    <sheet name="3a. Intervening Years" sheetId="2" r:id="rId3"/>
    <sheet name="3b. High Cost Fund" sheetId="48" r:id="rId4"/>
    <sheet name="4. Multi-Year MOE Summary" sheetId="8" r:id="rId5"/>
    <sheet name="5. Year 1 Amounts" sheetId="9" r:id="rId6"/>
    <sheet name="6. Year 1 Exc &amp; Adj" sheetId="10" r:id="rId7"/>
    <sheet name="7. Year 1 Summary" sheetId="6" r:id="rId8"/>
    <sheet name="8. Year 2 Amounts" sheetId="14" r:id="rId9"/>
    <sheet name="9. Year 2 Exc &amp; Adj" sheetId="15" r:id="rId10"/>
    <sheet name="10. Year 2 Summary" sheetId="16" r:id="rId11"/>
    <sheet name="11. Year 3 Amounts" sheetId="17" r:id="rId12"/>
    <sheet name="12. Year 3 Exc &amp; Adj" sheetId="18" r:id="rId13"/>
    <sheet name="13. Year 3 Summary" sheetId="19" r:id="rId14"/>
    <sheet name="14. Year 4 Amounts" sheetId="20" r:id="rId15"/>
    <sheet name="15. Year 4 Exc &amp; Adj" sheetId="21" r:id="rId16"/>
    <sheet name="16. Year 4 Summary" sheetId="22" r:id="rId17"/>
    <sheet name="17. Year 5 Amounts" sheetId="23" r:id="rId18"/>
    <sheet name="18. Year 5 Exc &amp; Adj" sheetId="24" r:id="rId19"/>
    <sheet name="19. Year 5 Summary" sheetId="25" r:id="rId20"/>
    <sheet name="20. Year 6 Amounts" sheetId="26" r:id="rId21"/>
    <sheet name="21. Year 6 Exc &amp; Adj" sheetId="27" r:id="rId22"/>
    <sheet name="22. Year 6 Summary" sheetId="28" r:id="rId23"/>
    <sheet name="23. Year 7 Amounts" sheetId="29" state="hidden" r:id="rId24"/>
    <sheet name="24. Year 7 Exc &amp; Adj" sheetId="30" state="hidden" r:id="rId25"/>
    <sheet name="25. Year 7 Summary" sheetId="31" state="hidden" r:id="rId26"/>
    <sheet name="26. Year 8 Amounts" sheetId="32" state="hidden" r:id="rId27"/>
    <sheet name="27. Year 8 Exc &amp; Adj" sheetId="33" state="hidden" r:id="rId28"/>
    <sheet name="28. Year 8 Summary" sheetId="35" state="hidden" r:id="rId29"/>
    <sheet name="29. Year 9 Amounts" sheetId="36" state="hidden" r:id="rId30"/>
    <sheet name="30. Year 9 Exc &amp; Adj" sheetId="37" state="hidden" r:id="rId31"/>
    <sheet name="31. Year 9 Summary" sheetId="38" state="hidden" r:id="rId32"/>
    <sheet name="32. Year 10 Amounts" sheetId="39" state="hidden" r:id="rId33"/>
    <sheet name="33. Year 10 Exc &amp; Adj" sheetId="40" state="hidden" r:id="rId34"/>
    <sheet name="34. Year 10 Summary" sheetId="41" state="hidden" r:id="rId35"/>
    <sheet name="35. Year 11 Amounts" sheetId="42" state="hidden" r:id="rId36"/>
    <sheet name="36. Year 11 Exc &amp; Adj" sheetId="43" state="hidden" r:id="rId37"/>
    <sheet name="37. Year 11 Summary" sheetId="44" state="hidden" r:id="rId38"/>
    <sheet name="38. Total Local Funds" sheetId="5" r:id="rId39"/>
    <sheet name="39. Total State &amp; Local Funds" sheetId="11" r:id="rId40"/>
    <sheet name="40. Local Funds Per Capita" sheetId="12" r:id="rId41"/>
    <sheet name="41. State &amp; Local Funds Per Cap" sheetId="13" r:id="rId42"/>
    <sheet name="42. SEA or LEA Worksheet" sheetId="45" r:id="rId43"/>
    <sheet name="43. SEA Guidance" sheetId="47" r:id="rId44"/>
    <sheet name="List" sheetId="49" state="veryHidden" r:id="rId45"/>
  </sheets>
  <externalReferences>
    <externalReference r:id="rId46"/>
  </externalReferences>
  <definedNames>
    <definedName name="Exception_c" localSheetId="0">[1]List!$A$2:$A$5</definedName>
    <definedName name="Exception_c">List!$A$2:$A$5</definedName>
    <definedName name="_xlnm.Print_Area" localSheetId="4">'4. Multi-Year MOE Summary'!$C$1:$L$13</definedName>
    <definedName name="_xlnm.Print_Titles" localSheetId="10">'10. Year 2 Summary'!$A:$A,'10. Year 2 Summary'!$1:$2</definedName>
    <definedName name="_xlnm.Print_Titles" localSheetId="11">'11. Year 3 Amounts'!$2:$4</definedName>
    <definedName name="_xlnm.Print_Titles" localSheetId="12">'12. Year 3 Exc &amp; Adj'!$1:$3</definedName>
    <definedName name="_xlnm.Print_Titles" localSheetId="13">'13. Year 3 Summary'!$A:$A,'13. Year 3 Summary'!$1:$2</definedName>
    <definedName name="_xlnm.Print_Titles" localSheetId="14">'14. Year 4 Amounts'!$2:$4</definedName>
    <definedName name="_xlnm.Print_Titles" localSheetId="15">'15. Year 4 Exc &amp; Adj'!$1:$3</definedName>
    <definedName name="_xlnm.Print_Titles" localSheetId="16">'16. Year 4 Summary'!$A:$A,'16. Year 4 Summary'!$1:$2</definedName>
    <definedName name="_xlnm.Print_Titles" localSheetId="17">'17. Year 5 Amounts'!$2:$4</definedName>
    <definedName name="_xlnm.Print_Titles" localSheetId="18">'18. Year 5 Exc &amp; Adj'!$1:$3</definedName>
    <definedName name="_xlnm.Print_Titles" localSheetId="19">'19. Year 5 Summary'!$A:$A,'19. Year 5 Summary'!$1:$2</definedName>
    <definedName name="_xlnm.Print_Titles" localSheetId="20">'20. Year 6 Amounts'!$2:$4</definedName>
    <definedName name="_xlnm.Print_Titles" localSheetId="21">'21. Year 6 Exc &amp; Adj'!$1:$3</definedName>
    <definedName name="_xlnm.Print_Titles" localSheetId="22">'22. Year 6 Summary'!$A:$A,'22. Year 6 Summary'!$1:$2</definedName>
    <definedName name="_xlnm.Print_Titles" localSheetId="23">'23. Year 7 Amounts'!$2:$4</definedName>
    <definedName name="_xlnm.Print_Titles" localSheetId="24">'24. Year 7 Exc &amp; Adj'!$1:$3</definedName>
    <definedName name="_xlnm.Print_Titles" localSheetId="25">'25. Year 7 Summary'!$A:$A,'25. Year 7 Summary'!$1:$2</definedName>
    <definedName name="_xlnm.Print_Titles" localSheetId="26">'26. Year 8 Amounts'!$2:$4</definedName>
    <definedName name="_xlnm.Print_Titles" localSheetId="27">'27. Year 8 Exc &amp; Adj'!$1:$3</definedName>
    <definedName name="_xlnm.Print_Titles" localSheetId="28">'28. Year 8 Summary'!$A:$A,'28. Year 8 Summary'!$1:$2</definedName>
    <definedName name="_xlnm.Print_Titles" localSheetId="29">'29. Year 9 Amounts'!$2:$4</definedName>
    <definedName name="_xlnm.Print_Titles" localSheetId="30">'30. Year 9 Exc &amp; Adj'!$1:$3</definedName>
    <definedName name="_xlnm.Print_Titles" localSheetId="31">'31. Year 9 Summary'!$A:$A,'31. Year 9 Summary'!$1:$2</definedName>
    <definedName name="_xlnm.Print_Titles" localSheetId="32">'32. Year 10 Amounts'!$2:$4</definedName>
    <definedName name="_xlnm.Print_Titles" localSheetId="33">'33. Year 10 Exc &amp; Adj'!$1:$3</definedName>
    <definedName name="_xlnm.Print_Titles" localSheetId="34">'34. Year 10 Summary'!$A:$A,'34. Year 10 Summary'!$1:$2</definedName>
    <definedName name="_xlnm.Print_Titles" localSheetId="35">'35. Year 11 Amounts'!$2:$4</definedName>
    <definedName name="_xlnm.Print_Titles" localSheetId="36">'36. Year 11 Exc &amp; Adj'!$1:$3</definedName>
    <definedName name="_xlnm.Print_Titles" localSheetId="37">'37. Year 11 Summary'!$A:$A,'37. Year 11 Summary'!$1:$2</definedName>
    <definedName name="_xlnm.Print_Titles" localSheetId="38">'38. Total Local Funds'!$1:$2</definedName>
    <definedName name="_xlnm.Print_Titles" localSheetId="39">'39. Total State &amp; Local Funds'!$1:$2</definedName>
    <definedName name="_xlnm.Print_Titles" localSheetId="4">'4. Multi-Year MOE Summary'!$A:$C,'4. Multi-Year MOE Summary'!$1:$2</definedName>
    <definedName name="_xlnm.Print_Titles" localSheetId="40">'40. Local Funds Per Capita'!$1:$2</definedName>
    <definedName name="_xlnm.Print_Titles" localSheetId="41">'41. State &amp; Local Funds Per Cap'!$1:$2</definedName>
    <definedName name="_xlnm.Print_Titles" localSheetId="5">'5. Year 1 Amounts'!$2:$4</definedName>
    <definedName name="_xlnm.Print_Titles" localSheetId="6">'6. Year 1 Exc &amp; Adj'!$1:$3</definedName>
    <definedName name="_xlnm.Print_Titles" localSheetId="7">'7. Year 1 Summary'!$A:$A,'7. Year 1 Summary'!$1:$2</definedName>
    <definedName name="_xlnm.Print_Titles" localSheetId="8">'8. Year 2 Amounts'!$2:$4</definedName>
    <definedName name="_xlnm.Print_Titles" localSheetId="9">'9. Year 2 Exc &amp; Adj'!$1:$3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5" l="1"/>
  <c r="F1" i="11"/>
  <c r="F1" i="12"/>
  <c r="F1" i="13"/>
  <c r="B27" i="10"/>
  <c r="B28" i="44" l="1"/>
  <c r="C28" i="44"/>
  <c r="C27" i="44"/>
  <c r="B27" i="44"/>
  <c r="A27" i="44"/>
  <c r="A55" i="43"/>
  <c r="B63" i="43"/>
  <c r="C58" i="43"/>
  <c r="A56" i="43"/>
  <c r="A55" i="40"/>
  <c r="B39" i="41"/>
  <c r="C39" i="41"/>
  <c r="D39" i="41"/>
  <c r="E39" i="41"/>
  <c r="E38" i="41"/>
  <c r="D38" i="41"/>
  <c r="C38" i="41"/>
  <c r="B38" i="41"/>
  <c r="A38" i="41"/>
  <c r="I63" i="40"/>
  <c r="B63" i="40"/>
  <c r="J58" i="40"/>
  <c r="C58" i="40"/>
  <c r="H56" i="40"/>
  <c r="H55" i="40"/>
  <c r="A56" i="40"/>
  <c r="A55" i="37"/>
  <c r="B39" i="38"/>
  <c r="C39" i="38"/>
  <c r="D39" i="38"/>
  <c r="E39" i="38"/>
  <c r="E38" i="38"/>
  <c r="D38" i="38"/>
  <c r="C38" i="38"/>
  <c r="B38" i="38"/>
  <c r="A38" i="38"/>
  <c r="I63" i="37"/>
  <c r="B63" i="37"/>
  <c r="J58" i="37"/>
  <c r="C58" i="37"/>
  <c r="H56" i="37"/>
  <c r="H55" i="37"/>
  <c r="A56" i="37"/>
  <c r="A55" i="33"/>
  <c r="B39" i="35"/>
  <c r="C39" i="35"/>
  <c r="D39" i="35"/>
  <c r="E39" i="35"/>
  <c r="E38" i="35"/>
  <c r="D38" i="35"/>
  <c r="C38" i="35"/>
  <c r="B38" i="35"/>
  <c r="A38" i="35"/>
  <c r="I63" i="33"/>
  <c r="B63" i="33"/>
  <c r="J58" i="33"/>
  <c r="C58" i="33"/>
  <c r="H56" i="33"/>
  <c r="H55" i="33"/>
  <c r="A56" i="33"/>
  <c r="A55" i="30"/>
  <c r="E39" i="31"/>
  <c r="D39" i="31"/>
  <c r="C39" i="31"/>
  <c r="B39" i="31"/>
  <c r="E38" i="31"/>
  <c r="D38" i="31"/>
  <c r="C38" i="31"/>
  <c r="B38" i="31"/>
  <c r="A38" i="31"/>
  <c r="I63" i="30"/>
  <c r="B63" i="30"/>
  <c r="H56" i="30"/>
  <c r="H55" i="30"/>
  <c r="J58" i="30"/>
  <c r="C58" i="30"/>
  <c r="A56" i="30"/>
  <c r="A55" i="27"/>
  <c r="B39" i="28"/>
  <c r="C39" i="28"/>
  <c r="D39" i="28"/>
  <c r="E39" i="28"/>
  <c r="E38" i="28"/>
  <c r="D38" i="28"/>
  <c r="C38" i="28"/>
  <c r="B38" i="28"/>
  <c r="A38" i="28"/>
  <c r="I63" i="27"/>
  <c r="B63" i="27"/>
  <c r="J58" i="27"/>
  <c r="C58" i="27"/>
  <c r="H56" i="27"/>
  <c r="H55" i="27"/>
  <c r="A56" i="27"/>
  <c r="A55" i="24"/>
  <c r="B39" i="25"/>
  <c r="C39" i="25"/>
  <c r="D39" i="25"/>
  <c r="E39" i="25"/>
  <c r="E38" i="25"/>
  <c r="D38" i="25"/>
  <c r="C38" i="25"/>
  <c r="B38" i="25"/>
  <c r="A38" i="25"/>
  <c r="I63" i="24"/>
  <c r="B63" i="24"/>
  <c r="J58" i="24"/>
  <c r="C58" i="24"/>
  <c r="H56" i="24"/>
  <c r="H55" i="24"/>
  <c r="A56" i="24"/>
  <c r="A55" i="21"/>
  <c r="E38" i="22"/>
  <c r="D38" i="22"/>
  <c r="C38" i="22"/>
  <c r="B38" i="22"/>
  <c r="A38" i="22"/>
  <c r="I63" i="21"/>
  <c r="B63" i="21"/>
  <c r="J58" i="21"/>
  <c r="C58" i="21"/>
  <c r="H56" i="21"/>
  <c r="H55" i="21"/>
  <c r="A56" i="21"/>
  <c r="E38" i="19"/>
  <c r="D38" i="19"/>
  <c r="C38" i="19"/>
  <c r="B38" i="19"/>
  <c r="A38" i="19"/>
  <c r="A55" i="18"/>
  <c r="I63" i="18"/>
  <c r="B63" i="18"/>
  <c r="J58" i="18"/>
  <c r="C58" i="18"/>
  <c r="C58" i="15"/>
  <c r="H56" i="18"/>
  <c r="H55" i="18"/>
  <c r="A56" i="18"/>
  <c r="A56" i="15"/>
  <c r="A13" i="48"/>
  <c r="A12" i="48"/>
  <c r="A11" i="48"/>
  <c r="A10" i="48"/>
  <c r="A9" i="48"/>
  <c r="A8" i="48"/>
  <c r="A7" i="48"/>
  <c r="A6" i="48"/>
  <c r="A5" i="48"/>
  <c r="A4" i="48"/>
  <c r="A3" i="48"/>
  <c r="A55" i="15"/>
  <c r="J58" i="15"/>
  <c r="A3" i="15"/>
  <c r="A8" i="1"/>
  <c r="J58" i="10"/>
  <c r="C58" i="10"/>
  <c r="E13" i="1" l="1"/>
  <c r="E12" i="1"/>
  <c r="E11" i="1"/>
  <c r="E10" i="1"/>
  <c r="A38" i="16"/>
  <c r="I63" i="15"/>
  <c r="E38" i="16" s="1"/>
  <c r="H56" i="15"/>
  <c r="H55" i="15"/>
  <c r="B63" i="15"/>
  <c r="B38" i="16" s="1"/>
  <c r="H56" i="10"/>
  <c r="A56" i="10"/>
  <c r="B63" i="10"/>
  <c r="C38" i="6" s="1"/>
  <c r="A55" i="10"/>
  <c r="A38" i="6"/>
  <c r="I63" i="10"/>
  <c r="E38" i="6" s="1"/>
  <c r="H55" i="10"/>
  <c r="E39" i="22"/>
  <c r="D39" i="22"/>
  <c r="C39" i="22"/>
  <c r="B39" i="22"/>
  <c r="E39" i="19"/>
  <c r="D39" i="19"/>
  <c r="C39" i="19"/>
  <c r="B39" i="19"/>
  <c r="E39" i="16"/>
  <c r="D39" i="16"/>
  <c r="C39" i="16"/>
  <c r="B39" i="16"/>
  <c r="B38" i="6" l="1"/>
  <c r="D38" i="6"/>
  <c r="C38" i="16"/>
  <c r="D38" i="16"/>
  <c r="K23" i="2" l="1"/>
  <c r="J23" i="2"/>
  <c r="C26" i="44" l="1"/>
  <c r="B26" i="44"/>
  <c r="C25" i="44"/>
  <c r="B25" i="44"/>
  <c r="A20" i="44"/>
  <c r="A31" i="41"/>
  <c r="A31" i="38"/>
  <c r="A31" i="35"/>
  <c r="A31" i="31"/>
  <c r="A31" i="28"/>
  <c r="A31" i="25"/>
  <c r="A31" i="22"/>
  <c r="A31" i="19"/>
  <c r="A31" i="16"/>
  <c r="E39" i="6"/>
  <c r="D39" i="6"/>
  <c r="C39" i="6"/>
  <c r="B39" i="6"/>
  <c r="A31" i="6"/>
  <c r="D13" i="8"/>
  <c r="D12" i="8"/>
  <c r="D11" i="8"/>
  <c r="D10" i="8"/>
  <c r="D9" i="8"/>
  <c r="D8" i="8"/>
  <c r="D7" i="8"/>
  <c r="D6" i="8"/>
  <c r="D5" i="8"/>
  <c r="D4" i="8" l="1"/>
  <c r="A3" i="8"/>
  <c r="L3" i="8"/>
  <c r="J3" i="8"/>
  <c r="H3" i="8"/>
  <c r="F3" i="8"/>
  <c r="K3" i="8"/>
  <c r="I3" i="8"/>
  <c r="G3" i="8"/>
  <c r="E3" i="8"/>
  <c r="K22" i="2" l="1"/>
  <c r="K21" i="2"/>
  <c r="K20" i="2"/>
  <c r="K19" i="2"/>
  <c r="K18" i="2"/>
  <c r="K17" i="2"/>
  <c r="K16" i="2"/>
  <c r="K15" i="2"/>
  <c r="K14" i="2"/>
  <c r="K13" i="2"/>
  <c r="K12" i="2"/>
  <c r="K11" i="2"/>
  <c r="K10" i="2"/>
  <c r="K9" i="2"/>
  <c r="K8" i="2"/>
  <c r="K7" i="2"/>
  <c r="K6" i="2"/>
  <c r="K5" i="2"/>
  <c r="K4" i="2"/>
  <c r="I26" i="15" l="1"/>
  <c r="F5" i="5" l="1"/>
  <c r="F6" i="5" s="1"/>
  <c r="F4" i="5"/>
  <c r="E1" i="44" l="1"/>
  <c r="E1" i="41"/>
  <c r="E1" i="38"/>
  <c r="E1" i="35"/>
  <c r="A1" i="31"/>
  <c r="E1" i="31"/>
  <c r="E1" i="28"/>
  <c r="E1" i="25"/>
  <c r="E1" i="22"/>
  <c r="E1" i="19"/>
  <c r="A1" i="19"/>
  <c r="E1" i="16"/>
  <c r="E1" i="6"/>
  <c r="F6" i="13" l="1"/>
  <c r="F5" i="13"/>
  <c r="F4" i="13"/>
  <c r="B6" i="13"/>
  <c r="B5" i="13"/>
  <c r="B4" i="13"/>
  <c r="F6" i="12"/>
  <c r="F5" i="12"/>
  <c r="F10" i="12" s="1"/>
  <c r="F13" i="12" s="1"/>
  <c r="F4" i="12"/>
  <c r="B6" i="12"/>
  <c r="B5" i="12"/>
  <c r="B18" i="12" s="1"/>
  <c r="B21" i="12" s="1"/>
  <c r="B4" i="12"/>
  <c r="D6" i="16" s="1"/>
  <c r="B26" i="10"/>
  <c r="F5" i="11"/>
  <c r="F4" i="11"/>
  <c r="B5" i="11"/>
  <c r="B6" i="11" s="1"/>
  <c r="B4" i="11"/>
  <c r="F9" i="5"/>
  <c r="F12" i="5" s="1"/>
  <c r="B5" i="5"/>
  <c r="B4" i="5"/>
  <c r="B6" i="16" s="1"/>
  <c r="D30" i="42"/>
  <c r="F29" i="42"/>
  <c r="F28" i="42"/>
  <c r="F27" i="42"/>
  <c r="F26" i="42"/>
  <c r="F25" i="42"/>
  <c r="F24" i="42"/>
  <c r="F23" i="42"/>
  <c r="F22" i="42"/>
  <c r="F21" i="42"/>
  <c r="F20" i="42"/>
  <c r="F19" i="42"/>
  <c r="F18" i="42"/>
  <c r="F17" i="42"/>
  <c r="F16" i="42"/>
  <c r="F15" i="42"/>
  <c r="F14" i="42"/>
  <c r="F13" i="42"/>
  <c r="F12" i="42"/>
  <c r="F11" i="42"/>
  <c r="F10" i="42"/>
  <c r="F9" i="42"/>
  <c r="F8" i="42"/>
  <c r="F7" i="42"/>
  <c r="F6" i="42"/>
  <c r="F5" i="42"/>
  <c r="K30" i="39"/>
  <c r="E13" i="8" s="1"/>
  <c r="M29" i="39"/>
  <c r="M28" i="39"/>
  <c r="M27" i="39"/>
  <c r="M26" i="39"/>
  <c r="M25" i="39"/>
  <c r="M24" i="39"/>
  <c r="M23" i="39"/>
  <c r="M22" i="39"/>
  <c r="M21" i="39"/>
  <c r="M20" i="39"/>
  <c r="M19" i="39"/>
  <c r="M18" i="39"/>
  <c r="M17" i="39"/>
  <c r="M16" i="39"/>
  <c r="M15" i="39"/>
  <c r="M14" i="39"/>
  <c r="M13" i="39"/>
  <c r="M12" i="39"/>
  <c r="M11" i="39"/>
  <c r="M10" i="39"/>
  <c r="M9" i="39"/>
  <c r="M8" i="39"/>
  <c r="M7" i="39"/>
  <c r="M6" i="39"/>
  <c r="M5" i="39"/>
  <c r="D30" i="39"/>
  <c r="F29" i="39"/>
  <c r="F28" i="39"/>
  <c r="F27" i="39"/>
  <c r="F26" i="39"/>
  <c r="F25" i="39"/>
  <c r="F24" i="39"/>
  <c r="F23" i="39"/>
  <c r="F22" i="39"/>
  <c r="F21" i="39"/>
  <c r="F20" i="39"/>
  <c r="F19" i="39"/>
  <c r="F18" i="39"/>
  <c r="F17" i="39"/>
  <c r="F16" i="39"/>
  <c r="F15" i="39"/>
  <c r="F14" i="39"/>
  <c r="F13" i="39"/>
  <c r="F12" i="39"/>
  <c r="F11" i="39"/>
  <c r="F10" i="39"/>
  <c r="F9" i="39"/>
  <c r="F8" i="39"/>
  <c r="F7" i="39"/>
  <c r="F6" i="39"/>
  <c r="F5" i="39"/>
  <c r="K30" i="36"/>
  <c r="E12" i="8" s="1"/>
  <c r="M29" i="36"/>
  <c r="M28" i="36"/>
  <c r="M27" i="36"/>
  <c r="M26" i="36"/>
  <c r="M25" i="36"/>
  <c r="M24" i="36"/>
  <c r="M23" i="36"/>
  <c r="M22" i="36"/>
  <c r="M21" i="36"/>
  <c r="M20" i="36"/>
  <c r="M19" i="36"/>
  <c r="M18" i="36"/>
  <c r="M17" i="36"/>
  <c r="M16" i="36"/>
  <c r="M15" i="36"/>
  <c r="M14" i="36"/>
  <c r="M13" i="36"/>
  <c r="M12" i="36"/>
  <c r="M11" i="36"/>
  <c r="M10" i="36"/>
  <c r="M9" i="36"/>
  <c r="M8" i="36"/>
  <c r="M7" i="36"/>
  <c r="M6" i="36"/>
  <c r="M5" i="36"/>
  <c r="D30" i="36"/>
  <c r="F29" i="36"/>
  <c r="F28" i="36"/>
  <c r="F27" i="36"/>
  <c r="F26" i="36"/>
  <c r="F25" i="36"/>
  <c r="F24" i="36"/>
  <c r="F23" i="36"/>
  <c r="F22" i="36"/>
  <c r="F21" i="36"/>
  <c r="F20" i="36"/>
  <c r="F19" i="36"/>
  <c r="F18" i="36"/>
  <c r="F17" i="36"/>
  <c r="F16" i="36"/>
  <c r="F15" i="36"/>
  <c r="F14" i="36"/>
  <c r="F13" i="36"/>
  <c r="F12" i="36"/>
  <c r="F11" i="36"/>
  <c r="F10" i="36"/>
  <c r="F9" i="36"/>
  <c r="F8" i="36"/>
  <c r="F7" i="36"/>
  <c r="F6" i="36"/>
  <c r="F5" i="36"/>
  <c r="K30" i="32"/>
  <c r="E11" i="8" s="1"/>
  <c r="M29" i="32"/>
  <c r="M28" i="32"/>
  <c r="M27" i="32"/>
  <c r="M26" i="32"/>
  <c r="M25" i="32"/>
  <c r="M24" i="32"/>
  <c r="M23" i="32"/>
  <c r="M22" i="32"/>
  <c r="M21" i="32"/>
  <c r="M20" i="32"/>
  <c r="M19" i="32"/>
  <c r="M18" i="32"/>
  <c r="M17" i="32"/>
  <c r="M16" i="32"/>
  <c r="M15" i="32"/>
  <c r="M14" i="32"/>
  <c r="M13" i="32"/>
  <c r="M12" i="32"/>
  <c r="M11" i="32"/>
  <c r="M10" i="32"/>
  <c r="M9" i="32"/>
  <c r="M8" i="32"/>
  <c r="M7" i="32"/>
  <c r="M6" i="32"/>
  <c r="M5" i="32"/>
  <c r="D30" i="32"/>
  <c r="F29" i="32"/>
  <c r="F28" i="32"/>
  <c r="F27" i="32"/>
  <c r="F26" i="32"/>
  <c r="F25" i="32"/>
  <c r="F24" i="32"/>
  <c r="F23" i="32"/>
  <c r="F22" i="32"/>
  <c r="F21" i="32"/>
  <c r="F20" i="32"/>
  <c r="F19" i="32"/>
  <c r="F18" i="32"/>
  <c r="F17" i="32"/>
  <c r="F16" i="32"/>
  <c r="F15" i="32"/>
  <c r="F14" i="32"/>
  <c r="F13" i="32"/>
  <c r="F12" i="32"/>
  <c r="F11" i="32"/>
  <c r="F10" i="32"/>
  <c r="F9" i="32"/>
  <c r="F8" i="32"/>
  <c r="F7" i="32"/>
  <c r="F6" i="32"/>
  <c r="F5" i="32"/>
  <c r="K30" i="29"/>
  <c r="E10" i="8" s="1"/>
  <c r="M29" i="29"/>
  <c r="M28" i="29"/>
  <c r="M27" i="29"/>
  <c r="M26" i="29"/>
  <c r="M25" i="29"/>
  <c r="M24" i="29"/>
  <c r="M23" i="29"/>
  <c r="M22" i="29"/>
  <c r="M21" i="29"/>
  <c r="M20" i="29"/>
  <c r="M19" i="29"/>
  <c r="M18" i="29"/>
  <c r="M17" i="29"/>
  <c r="M16" i="29"/>
  <c r="M15" i="29"/>
  <c r="M14" i="29"/>
  <c r="M13" i="29"/>
  <c r="M12" i="29"/>
  <c r="M11" i="29"/>
  <c r="M10" i="29"/>
  <c r="M9" i="29"/>
  <c r="M8" i="29"/>
  <c r="M7" i="29"/>
  <c r="M6" i="29"/>
  <c r="M5" i="29"/>
  <c r="D30" i="29"/>
  <c r="F29" i="29"/>
  <c r="F28" i="29"/>
  <c r="F27" i="29"/>
  <c r="F26" i="29"/>
  <c r="F25" i="29"/>
  <c r="F24" i="29"/>
  <c r="F23" i="29"/>
  <c r="F22" i="29"/>
  <c r="F21" i="29"/>
  <c r="F20" i="29"/>
  <c r="F19" i="29"/>
  <c r="F18" i="29"/>
  <c r="F17" i="29"/>
  <c r="F16" i="29"/>
  <c r="F15" i="29"/>
  <c r="F14" i="29"/>
  <c r="F13" i="29"/>
  <c r="F12" i="29"/>
  <c r="F11" i="29"/>
  <c r="F10" i="29"/>
  <c r="F9" i="29"/>
  <c r="F8" i="29"/>
  <c r="F7" i="29"/>
  <c r="F6" i="29"/>
  <c r="F5" i="29"/>
  <c r="K30" i="26"/>
  <c r="E9" i="8" s="1"/>
  <c r="M29" i="26"/>
  <c r="M28" i="26"/>
  <c r="M27" i="26"/>
  <c r="M26" i="26"/>
  <c r="M25" i="26"/>
  <c r="M24" i="26"/>
  <c r="M23" i="26"/>
  <c r="M22" i="26"/>
  <c r="M21" i="26"/>
  <c r="M20" i="26"/>
  <c r="M19" i="26"/>
  <c r="M18" i="26"/>
  <c r="M17" i="26"/>
  <c r="M16" i="26"/>
  <c r="M15" i="26"/>
  <c r="M14" i="26"/>
  <c r="M13" i="26"/>
  <c r="M12" i="26"/>
  <c r="M11" i="26"/>
  <c r="M10" i="26"/>
  <c r="M9" i="26"/>
  <c r="M8" i="26"/>
  <c r="M7" i="26"/>
  <c r="M6" i="26"/>
  <c r="M5" i="26"/>
  <c r="D30" i="26"/>
  <c r="F29" i="26"/>
  <c r="F28" i="26"/>
  <c r="F27" i="26"/>
  <c r="F26" i="26"/>
  <c r="F25" i="26"/>
  <c r="F24" i="26"/>
  <c r="F23" i="26"/>
  <c r="F22" i="26"/>
  <c r="F21" i="26"/>
  <c r="F20" i="26"/>
  <c r="F19" i="26"/>
  <c r="F18" i="26"/>
  <c r="F17" i="26"/>
  <c r="F16" i="26"/>
  <c r="F15" i="26"/>
  <c r="F14" i="26"/>
  <c r="F13" i="26"/>
  <c r="F12" i="26"/>
  <c r="F11" i="26"/>
  <c r="F10" i="26"/>
  <c r="F9" i="26"/>
  <c r="F8" i="26"/>
  <c r="F7" i="26"/>
  <c r="F6" i="26"/>
  <c r="F5" i="26"/>
  <c r="K30" i="23"/>
  <c r="E8" i="8" s="1"/>
  <c r="M29" i="23"/>
  <c r="M28" i="23"/>
  <c r="M27" i="23"/>
  <c r="M26" i="23"/>
  <c r="M25" i="23"/>
  <c r="M24" i="23"/>
  <c r="M23" i="23"/>
  <c r="M22" i="23"/>
  <c r="M21" i="23"/>
  <c r="M20" i="23"/>
  <c r="M19" i="23"/>
  <c r="M18" i="23"/>
  <c r="M17" i="23"/>
  <c r="M16" i="23"/>
  <c r="M15" i="23"/>
  <c r="M14" i="23"/>
  <c r="M13" i="23"/>
  <c r="M12" i="23"/>
  <c r="M11" i="23"/>
  <c r="M10" i="23"/>
  <c r="M9" i="23"/>
  <c r="M8" i="23"/>
  <c r="M7" i="23"/>
  <c r="M6" i="23"/>
  <c r="M5" i="23"/>
  <c r="D30" i="23"/>
  <c r="F29" i="23"/>
  <c r="F28" i="23"/>
  <c r="F27" i="23"/>
  <c r="F26" i="23"/>
  <c r="F25" i="23"/>
  <c r="F24" i="23"/>
  <c r="F23" i="23"/>
  <c r="F22" i="23"/>
  <c r="F21" i="23"/>
  <c r="F20" i="23"/>
  <c r="F19" i="23"/>
  <c r="F18" i="23"/>
  <c r="F17" i="23"/>
  <c r="F16" i="23"/>
  <c r="F15" i="23"/>
  <c r="F14" i="23"/>
  <c r="F13" i="23"/>
  <c r="F12" i="23"/>
  <c r="F11" i="23"/>
  <c r="F10" i="23"/>
  <c r="F9" i="23"/>
  <c r="F8" i="23"/>
  <c r="F7" i="23"/>
  <c r="F6" i="23"/>
  <c r="F5" i="23"/>
  <c r="K30" i="20"/>
  <c r="E7" i="8" s="1"/>
  <c r="M29" i="20"/>
  <c r="M28" i="20"/>
  <c r="M27" i="20"/>
  <c r="M26" i="20"/>
  <c r="M25" i="20"/>
  <c r="M24" i="20"/>
  <c r="M23" i="20"/>
  <c r="M22" i="20"/>
  <c r="M21" i="20"/>
  <c r="M20" i="20"/>
  <c r="M19" i="20"/>
  <c r="M18" i="20"/>
  <c r="M17" i="20"/>
  <c r="M16" i="20"/>
  <c r="M15" i="20"/>
  <c r="M14" i="20"/>
  <c r="M13" i="20"/>
  <c r="M12" i="20"/>
  <c r="M11" i="20"/>
  <c r="M10" i="20"/>
  <c r="M9" i="20"/>
  <c r="M8" i="20"/>
  <c r="M7" i="20"/>
  <c r="M6" i="20"/>
  <c r="M5" i="20"/>
  <c r="D30" i="20"/>
  <c r="F29" i="20"/>
  <c r="F28" i="20"/>
  <c r="F27" i="20"/>
  <c r="F26" i="20"/>
  <c r="F25" i="20"/>
  <c r="F24" i="20"/>
  <c r="F23" i="20"/>
  <c r="F22" i="20"/>
  <c r="F21" i="20"/>
  <c r="F20" i="20"/>
  <c r="F19" i="20"/>
  <c r="F18" i="20"/>
  <c r="F17" i="20"/>
  <c r="F16" i="20"/>
  <c r="F15" i="20"/>
  <c r="F14" i="20"/>
  <c r="F13" i="20"/>
  <c r="F12" i="20"/>
  <c r="F11" i="20"/>
  <c r="F10" i="20"/>
  <c r="F9" i="20"/>
  <c r="F8" i="20"/>
  <c r="F7" i="20"/>
  <c r="F6" i="20"/>
  <c r="F5" i="20"/>
  <c r="K30" i="17"/>
  <c r="E6" i="8" s="1"/>
  <c r="M29" i="17"/>
  <c r="M28" i="17"/>
  <c r="M27" i="17"/>
  <c r="M26" i="17"/>
  <c r="M25" i="17"/>
  <c r="M24" i="17"/>
  <c r="M23" i="17"/>
  <c r="M22" i="17"/>
  <c r="M21" i="17"/>
  <c r="M20" i="17"/>
  <c r="M19" i="17"/>
  <c r="M18" i="17"/>
  <c r="M17" i="17"/>
  <c r="M16" i="17"/>
  <c r="M15" i="17"/>
  <c r="M14" i="17"/>
  <c r="M13" i="17"/>
  <c r="M12" i="17"/>
  <c r="M11" i="17"/>
  <c r="M10" i="17"/>
  <c r="M9" i="17"/>
  <c r="M8" i="17"/>
  <c r="M7" i="17"/>
  <c r="M6" i="17"/>
  <c r="M5" i="17"/>
  <c r="D30" i="17"/>
  <c r="F29" i="17"/>
  <c r="F28" i="17"/>
  <c r="F27" i="17"/>
  <c r="F26" i="17"/>
  <c r="F25" i="17"/>
  <c r="F24" i="17"/>
  <c r="F23" i="17"/>
  <c r="F22" i="17"/>
  <c r="F21" i="17"/>
  <c r="F20" i="17"/>
  <c r="F19" i="17"/>
  <c r="F18" i="17"/>
  <c r="F17" i="17"/>
  <c r="F16" i="17"/>
  <c r="F15" i="17"/>
  <c r="F14" i="17"/>
  <c r="F13" i="17"/>
  <c r="F12" i="17"/>
  <c r="F11" i="17"/>
  <c r="F10" i="17"/>
  <c r="F9" i="17"/>
  <c r="F8" i="17"/>
  <c r="F7" i="17"/>
  <c r="F6" i="17"/>
  <c r="F5" i="17"/>
  <c r="K30" i="14"/>
  <c r="M29" i="14"/>
  <c r="M28" i="14"/>
  <c r="M27" i="14"/>
  <c r="M26" i="14"/>
  <c r="M25" i="14"/>
  <c r="M24" i="14"/>
  <c r="M23" i="14"/>
  <c r="M22" i="14"/>
  <c r="M21" i="14"/>
  <c r="M20" i="14"/>
  <c r="M19" i="14"/>
  <c r="M18" i="14"/>
  <c r="M17" i="14"/>
  <c r="M16" i="14"/>
  <c r="M15" i="14"/>
  <c r="M14" i="14"/>
  <c r="M13" i="14"/>
  <c r="M12" i="14"/>
  <c r="M11" i="14"/>
  <c r="M10" i="14"/>
  <c r="M9" i="14"/>
  <c r="M8" i="14"/>
  <c r="M7" i="14"/>
  <c r="M6" i="14"/>
  <c r="M5" i="14"/>
  <c r="D30" i="14"/>
  <c r="F29" i="14"/>
  <c r="F28" i="14"/>
  <c r="F27" i="14"/>
  <c r="F26" i="14"/>
  <c r="F25" i="14"/>
  <c r="F24" i="14"/>
  <c r="F23" i="14"/>
  <c r="F22" i="14"/>
  <c r="F21" i="14"/>
  <c r="F20" i="14"/>
  <c r="F19" i="14"/>
  <c r="F18" i="14"/>
  <c r="F17" i="14"/>
  <c r="F16" i="14"/>
  <c r="F15" i="14"/>
  <c r="F14" i="14"/>
  <c r="F13" i="14"/>
  <c r="F12" i="14"/>
  <c r="F11" i="14"/>
  <c r="F10" i="14"/>
  <c r="F9" i="14"/>
  <c r="F8" i="14"/>
  <c r="F7" i="14"/>
  <c r="F6" i="14"/>
  <c r="F5" i="14"/>
  <c r="M29" i="9"/>
  <c r="M28" i="9"/>
  <c r="M27" i="9"/>
  <c r="M26" i="9"/>
  <c r="M25" i="9"/>
  <c r="M24" i="9"/>
  <c r="M23" i="9"/>
  <c r="M22" i="9"/>
  <c r="M21" i="9"/>
  <c r="M20" i="9"/>
  <c r="M19" i="9"/>
  <c r="M18" i="9"/>
  <c r="M17" i="9"/>
  <c r="M16" i="9"/>
  <c r="M15" i="9"/>
  <c r="M14" i="9"/>
  <c r="M13" i="9"/>
  <c r="M12" i="9"/>
  <c r="M11" i="9"/>
  <c r="M10" i="9"/>
  <c r="M9" i="9"/>
  <c r="M8" i="9"/>
  <c r="M7" i="9"/>
  <c r="M6" i="9"/>
  <c r="M5" i="9"/>
  <c r="F29" i="9"/>
  <c r="F28" i="9"/>
  <c r="F27" i="9"/>
  <c r="F26" i="9"/>
  <c r="F25" i="9"/>
  <c r="F24" i="9"/>
  <c r="F23" i="9"/>
  <c r="F22" i="9"/>
  <c r="F21" i="9"/>
  <c r="F20" i="9"/>
  <c r="F19" i="9"/>
  <c r="F18" i="9"/>
  <c r="F17" i="9"/>
  <c r="F16" i="9"/>
  <c r="F15" i="9"/>
  <c r="F14" i="9"/>
  <c r="F13" i="9"/>
  <c r="F12" i="9"/>
  <c r="F11" i="9"/>
  <c r="F10" i="9"/>
  <c r="F9" i="9"/>
  <c r="F8" i="9"/>
  <c r="F7" i="9"/>
  <c r="F6" i="9"/>
  <c r="F5" i="9"/>
  <c r="K30" i="9"/>
  <c r="D30" i="9"/>
  <c r="B16" i="16" l="1"/>
  <c r="B17" i="16" s="1"/>
  <c r="E5" i="8"/>
  <c r="F14" i="12"/>
  <c r="F13" i="5"/>
  <c r="E4" i="8"/>
  <c r="F5" i="8"/>
  <c r="B18" i="16"/>
  <c r="F76" i="12"/>
  <c r="F7" i="12"/>
  <c r="F6" i="11"/>
  <c r="F9" i="11" s="1"/>
  <c r="B83" i="12"/>
  <c r="B7" i="12"/>
  <c r="B17" i="5"/>
  <c r="B20" i="5" s="1"/>
  <c r="B6" i="5"/>
  <c r="F7" i="13"/>
  <c r="F10" i="13" s="1"/>
  <c r="B7" i="13"/>
  <c r="B18" i="13" s="1"/>
  <c r="B21" i="13" s="1"/>
  <c r="F36" i="12"/>
  <c r="F68" i="12"/>
  <c r="B27" i="12"/>
  <c r="B59" i="12"/>
  <c r="B91" i="12"/>
  <c r="F19" i="12"/>
  <c r="F51" i="12"/>
  <c r="F83" i="12"/>
  <c r="B36" i="12"/>
  <c r="B68" i="12"/>
  <c r="F30" i="9"/>
  <c r="F20" i="12"/>
  <c r="F52" i="12"/>
  <c r="F84" i="12"/>
  <c r="B43" i="12"/>
  <c r="B75" i="12"/>
  <c r="F35" i="12"/>
  <c r="F67" i="12"/>
  <c r="B20" i="12"/>
  <c r="B52" i="12"/>
  <c r="B84" i="12"/>
  <c r="M30" i="17"/>
  <c r="M30" i="20"/>
  <c r="G7" i="8" s="1"/>
  <c r="M30" i="26"/>
  <c r="G9" i="8" s="1"/>
  <c r="F30" i="14"/>
  <c r="F30" i="17"/>
  <c r="F30" i="20"/>
  <c r="F30" i="23"/>
  <c r="F30" i="26"/>
  <c r="F30" i="29"/>
  <c r="F30" i="32"/>
  <c r="F30" i="36"/>
  <c r="F30" i="39"/>
  <c r="F30" i="42"/>
  <c r="B17" i="11"/>
  <c r="F12" i="13"/>
  <c r="B19" i="13"/>
  <c r="F11" i="12"/>
  <c r="F27" i="12"/>
  <c r="F43" i="12"/>
  <c r="F59" i="12"/>
  <c r="F75" i="12"/>
  <c r="B28" i="12"/>
  <c r="B44" i="12"/>
  <c r="B60" i="12"/>
  <c r="B76" i="12"/>
  <c r="B92" i="12"/>
  <c r="B20" i="13"/>
  <c r="M30" i="14"/>
  <c r="G5" i="8" s="1"/>
  <c r="M30" i="23"/>
  <c r="G8" i="8" s="1"/>
  <c r="M30" i="29"/>
  <c r="G10" i="8" s="1"/>
  <c r="M30" i="32"/>
  <c r="G11" i="8" s="1"/>
  <c r="M30" i="36"/>
  <c r="G12" i="8" s="1"/>
  <c r="M30" i="39"/>
  <c r="G13" i="8" s="1"/>
  <c r="M30" i="9"/>
  <c r="F12" i="12"/>
  <c r="F28" i="12"/>
  <c r="F44" i="12"/>
  <c r="F60" i="12"/>
  <c r="B19" i="12"/>
  <c r="B35" i="12"/>
  <c r="B51" i="12"/>
  <c r="B67" i="12"/>
  <c r="C18" i="1"/>
  <c r="C16" i="19" l="1"/>
  <c r="C17" i="19" s="1"/>
  <c r="C18" i="19" s="1"/>
  <c r="G6" i="8"/>
  <c r="H6" i="8"/>
  <c r="A2" i="44"/>
  <c r="A1" i="44"/>
  <c r="B91" i="11"/>
  <c r="B91" i="5"/>
  <c r="A31" i="43"/>
  <c r="B27" i="43"/>
  <c r="A27" i="43"/>
  <c r="B26" i="43"/>
  <c r="A26" i="43"/>
  <c r="A3" i="43"/>
  <c r="B53" i="43"/>
  <c r="C43" i="43"/>
  <c r="E21" i="43"/>
  <c r="D21" i="43"/>
  <c r="F20" i="43"/>
  <c r="F19" i="43"/>
  <c r="F18" i="43"/>
  <c r="F17" i="43"/>
  <c r="F16" i="43"/>
  <c r="E13" i="43"/>
  <c r="D13" i="43"/>
  <c r="F12" i="43"/>
  <c r="F11" i="43"/>
  <c r="F10" i="43"/>
  <c r="F9" i="43"/>
  <c r="F8" i="43"/>
  <c r="E1" i="43"/>
  <c r="D3" i="42"/>
  <c r="H2" i="42"/>
  <c r="A2" i="42"/>
  <c r="D31" i="42"/>
  <c r="D8" i="44" s="1"/>
  <c r="D9" i="44" s="1"/>
  <c r="D10" i="44" s="1"/>
  <c r="E1" i="42"/>
  <c r="A2" i="41"/>
  <c r="A1" i="41"/>
  <c r="B24" i="41"/>
  <c r="F83" i="11"/>
  <c r="F83" i="5"/>
  <c r="B83" i="11"/>
  <c r="B83" i="5"/>
  <c r="H31" i="40"/>
  <c r="I27" i="40"/>
  <c r="I26" i="40"/>
  <c r="H27" i="40"/>
  <c r="H26" i="40"/>
  <c r="H3" i="40"/>
  <c r="A31" i="40"/>
  <c r="B27" i="40"/>
  <c r="A27" i="40"/>
  <c r="B26" i="40"/>
  <c r="A26" i="40"/>
  <c r="A3" i="40"/>
  <c r="I53" i="40"/>
  <c r="B53" i="40"/>
  <c r="J43" i="40"/>
  <c r="C43" i="40"/>
  <c r="L21" i="40"/>
  <c r="K21" i="40"/>
  <c r="E21" i="40"/>
  <c r="D21" i="40"/>
  <c r="M20" i="40"/>
  <c r="F20" i="40"/>
  <c r="M19" i="40"/>
  <c r="F19" i="40"/>
  <c r="M18" i="40"/>
  <c r="F18" i="40"/>
  <c r="M17" i="40"/>
  <c r="F17" i="40"/>
  <c r="M16" i="40"/>
  <c r="F16" i="40"/>
  <c r="L13" i="40"/>
  <c r="K13" i="40"/>
  <c r="E13" i="40"/>
  <c r="D13" i="40"/>
  <c r="M12" i="40"/>
  <c r="F12" i="40"/>
  <c r="M11" i="40"/>
  <c r="F11" i="40"/>
  <c r="M10" i="40"/>
  <c r="F10" i="40"/>
  <c r="M9" i="40"/>
  <c r="F9" i="40"/>
  <c r="M8" i="40"/>
  <c r="F8" i="40"/>
  <c r="L1" i="40"/>
  <c r="E1" i="40"/>
  <c r="K3" i="39"/>
  <c r="H2" i="39"/>
  <c r="D3" i="39"/>
  <c r="A2" i="39"/>
  <c r="K31" i="39"/>
  <c r="I13" i="8" s="1"/>
  <c r="D31" i="39"/>
  <c r="D8" i="41" s="1"/>
  <c r="D9" i="41" s="1"/>
  <c r="D10" i="41" s="1"/>
  <c r="L1" i="39"/>
  <c r="E1" i="39"/>
  <c r="A2" i="38"/>
  <c r="A1" i="38"/>
  <c r="B24" i="38"/>
  <c r="F75" i="11"/>
  <c r="F75" i="5"/>
  <c r="B75" i="11"/>
  <c r="B75" i="5"/>
  <c r="H31" i="37"/>
  <c r="A31" i="37"/>
  <c r="I27" i="37"/>
  <c r="H27" i="37"/>
  <c r="B27" i="37"/>
  <c r="A27" i="37"/>
  <c r="I26" i="37"/>
  <c r="B26" i="37"/>
  <c r="I27" i="33"/>
  <c r="I26" i="33"/>
  <c r="B27" i="33"/>
  <c r="B26" i="33"/>
  <c r="H26" i="37"/>
  <c r="A26" i="37"/>
  <c r="H3" i="37"/>
  <c r="A3" i="37"/>
  <c r="I53" i="37"/>
  <c r="B53" i="37"/>
  <c r="J43" i="37"/>
  <c r="C43" i="37"/>
  <c r="L21" i="37"/>
  <c r="K21" i="37"/>
  <c r="E21" i="37"/>
  <c r="D21" i="37"/>
  <c r="M20" i="37"/>
  <c r="F20" i="37"/>
  <c r="M19" i="37"/>
  <c r="F19" i="37"/>
  <c r="M18" i="37"/>
  <c r="F18" i="37"/>
  <c r="M17" i="37"/>
  <c r="F17" i="37"/>
  <c r="M16" i="37"/>
  <c r="F16" i="37"/>
  <c r="L13" i="37"/>
  <c r="K13" i="37"/>
  <c r="E13" i="37"/>
  <c r="D13" i="37"/>
  <c r="M12" i="37"/>
  <c r="F12" i="37"/>
  <c r="M11" i="37"/>
  <c r="F11" i="37"/>
  <c r="M10" i="37"/>
  <c r="F10" i="37"/>
  <c r="M9" i="37"/>
  <c r="F9" i="37"/>
  <c r="M8" i="37"/>
  <c r="F8" i="37"/>
  <c r="L1" i="37"/>
  <c r="E1" i="37"/>
  <c r="K3" i="36"/>
  <c r="H2" i="36"/>
  <c r="D3" i="36"/>
  <c r="A2" i="36"/>
  <c r="K31" i="36"/>
  <c r="I12" i="8" s="1"/>
  <c r="D31" i="36"/>
  <c r="B78" i="12" s="1"/>
  <c r="L1" i="36"/>
  <c r="E1" i="36"/>
  <c r="C23" i="44" l="1"/>
  <c r="B23" i="44"/>
  <c r="D36" i="41"/>
  <c r="E36" i="41"/>
  <c r="C37" i="41"/>
  <c r="B37" i="41"/>
  <c r="C36" i="41"/>
  <c r="B36" i="41"/>
  <c r="D37" i="41"/>
  <c r="E37" i="41"/>
  <c r="E37" i="38"/>
  <c r="D37" i="38"/>
  <c r="B36" i="38"/>
  <c r="C36" i="38"/>
  <c r="E36" i="38"/>
  <c r="D36" i="38"/>
  <c r="B37" i="38"/>
  <c r="C37" i="38"/>
  <c r="M13" i="37"/>
  <c r="F21" i="43"/>
  <c r="F13" i="37"/>
  <c r="F22" i="37" s="1"/>
  <c r="F85" i="5"/>
  <c r="B16" i="38"/>
  <c r="B17" i="38" s="1"/>
  <c r="F13" i="40"/>
  <c r="B31" i="40"/>
  <c r="B85" i="5"/>
  <c r="F86" i="12"/>
  <c r="D16" i="41"/>
  <c r="D17" i="41" s="1"/>
  <c r="F21" i="37"/>
  <c r="F77" i="5"/>
  <c r="F78" i="12"/>
  <c r="D8" i="38"/>
  <c r="D9" i="38" s="1"/>
  <c r="D10" i="38" s="1"/>
  <c r="D16" i="38"/>
  <c r="D17" i="38" s="1"/>
  <c r="F21" i="40"/>
  <c r="B8" i="41"/>
  <c r="B9" i="41" s="1"/>
  <c r="B10" i="41" s="1"/>
  <c r="B16" i="41"/>
  <c r="B17" i="41" s="1"/>
  <c r="B28" i="43"/>
  <c r="B29" i="43" s="1"/>
  <c r="B94" i="12"/>
  <c r="B8" i="44"/>
  <c r="B9" i="44" s="1"/>
  <c r="B10" i="44" s="1"/>
  <c r="M21" i="37"/>
  <c r="B77" i="5"/>
  <c r="M21" i="40"/>
  <c r="I31" i="40"/>
  <c r="B86" i="12"/>
  <c r="B8" i="38"/>
  <c r="B9" i="38" s="1"/>
  <c r="B10" i="38" s="1"/>
  <c r="B31" i="43"/>
  <c r="B93" i="5"/>
  <c r="F13" i="43"/>
  <c r="M13" i="40"/>
  <c r="I28" i="40"/>
  <c r="I29" i="40" s="1"/>
  <c r="B28" i="40"/>
  <c r="I28" i="37"/>
  <c r="B28" i="37"/>
  <c r="C28" i="37" s="1"/>
  <c r="A2" i="35"/>
  <c r="A1" i="35"/>
  <c r="B24" i="35"/>
  <c r="F67" i="11"/>
  <c r="F67" i="5"/>
  <c r="B67" i="11"/>
  <c r="B67" i="5"/>
  <c r="H3" i="33"/>
  <c r="A3" i="33"/>
  <c r="H31" i="33"/>
  <c r="A31" i="33"/>
  <c r="A27" i="33"/>
  <c r="H27" i="33"/>
  <c r="H26" i="33"/>
  <c r="A26" i="33"/>
  <c r="I53" i="33"/>
  <c r="B53" i="33"/>
  <c r="J43" i="33"/>
  <c r="C43" i="33"/>
  <c r="I28" i="33"/>
  <c r="B28" i="33"/>
  <c r="L21" i="33"/>
  <c r="K21" i="33"/>
  <c r="E21" i="33"/>
  <c r="D21" i="33"/>
  <c r="M20" i="33"/>
  <c r="F20" i="33"/>
  <c r="M19" i="33"/>
  <c r="F19" i="33"/>
  <c r="M18" i="33"/>
  <c r="F18" i="33"/>
  <c r="M17" i="33"/>
  <c r="F17" i="33"/>
  <c r="M16" i="33"/>
  <c r="F16" i="33"/>
  <c r="L13" i="33"/>
  <c r="K13" i="33"/>
  <c r="E13" i="33"/>
  <c r="D13" i="33"/>
  <c r="M12" i="33"/>
  <c r="F12" i="33"/>
  <c r="M11" i="33"/>
  <c r="F11" i="33"/>
  <c r="M10" i="33"/>
  <c r="F10" i="33"/>
  <c r="M9" i="33"/>
  <c r="F9" i="33"/>
  <c r="M8" i="33"/>
  <c r="F8" i="33"/>
  <c r="L1" i="33"/>
  <c r="E1" i="33"/>
  <c r="K3" i="32"/>
  <c r="H2" i="32"/>
  <c r="D3" i="32"/>
  <c r="A2" i="32"/>
  <c r="L1" i="32"/>
  <c r="E1" i="32"/>
  <c r="M22" i="40" l="1"/>
  <c r="M22" i="37"/>
  <c r="F22" i="43"/>
  <c r="D34" i="41"/>
  <c r="E34" i="41"/>
  <c r="B34" i="38"/>
  <c r="C34" i="38"/>
  <c r="E34" i="38"/>
  <c r="D34" i="38"/>
  <c r="C37" i="35"/>
  <c r="B37" i="35"/>
  <c r="D37" i="35"/>
  <c r="E37" i="35"/>
  <c r="D36" i="35"/>
  <c r="E36" i="35"/>
  <c r="C36" i="35"/>
  <c r="B36" i="35"/>
  <c r="J12" i="8"/>
  <c r="D18" i="38"/>
  <c r="F13" i="8"/>
  <c r="B18" i="41"/>
  <c r="J13" i="8"/>
  <c r="D18" i="41"/>
  <c r="F12" i="8"/>
  <c r="B18" i="38"/>
  <c r="M21" i="33"/>
  <c r="F22" i="40"/>
  <c r="B67" i="40" s="1"/>
  <c r="C28" i="43"/>
  <c r="B68" i="43"/>
  <c r="I68" i="37"/>
  <c r="F74" i="11" s="1"/>
  <c r="M31" i="36"/>
  <c r="K12" i="8" s="1"/>
  <c r="F77" i="11"/>
  <c r="C16" i="38"/>
  <c r="C17" i="38" s="1"/>
  <c r="J31" i="40"/>
  <c r="J32" i="40" s="1"/>
  <c r="E35" i="41" s="1"/>
  <c r="D31" i="32"/>
  <c r="B31" i="37"/>
  <c r="F13" i="33"/>
  <c r="F31" i="42"/>
  <c r="B93" i="11"/>
  <c r="C8" i="44"/>
  <c r="M31" i="39"/>
  <c r="K13" i="8" s="1"/>
  <c r="C16" i="41"/>
  <c r="C17" i="41" s="1"/>
  <c r="F85" i="11"/>
  <c r="F31" i="39"/>
  <c r="C31" i="43"/>
  <c r="C32" i="43" s="1"/>
  <c r="C24" i="44" s="1"/>
  <c r="C29" i="44" s="1"/>
  <c r="B85" i="11"/>
  <c r="C8" i="41"/>
  <c r="C9" i="41" s="1"/>
  <c r="C10" i="41" s="1"/>
  <c r="F31" i="32"/>
  <c r="C31" i="37"/>
  <c r="K31" i="32"/>
  <c r="I11" i="8" s="1"/>
  <c r="I31" i="37"/>
  <c r="M13" i="33"/>
  <c r="M22" i="33" s="1"/>
  <c r="B8" i="35"/>
  <c r="B9" i="35" s="1"/>
  <c r="B10" i="35" s="1"/>
  <c r="B16" i="35"/>
  <c r="B17" i="35" s="1"/>
  <c r="F31" i="36"/>
  <c r="C31" i="40"/>
  <c r="B77" i="11"/>
  <c r="C8" i="38"/>
  <c r="C9" i="38" s="1"/>
  <c r="C10" i="38" s="1"/>
  <c r="F21" i="33"/>
  <c r="F22" i="33" s="1"/>
  <c r="B69" i="5"/>
  <c r="C8" i="35"/>
  <c r="C9" i="35" s="1"/>
  <c r="C10" i="35" s="1"/>
  <c r="B67" i="43"/>
  <c r="B32" i="43"/>
  <c r="B24" i="44" s="1"/>
  <c r="B29" i="44" s="1"/>
  <c r="I32" i="40"/>
  <c r="D35" i="41" s="1"/>
  <c r="J28" i="40"/>
  <c r="I68" i="40"/>
  <c r="F82" i="11" s="1"/>
  <c r="I67" i="40"/>
  <c r="F82" i="5" s="1"/>
  <c r="B29" i="40"/>
  <c r="B32" i="40" s="1"/>
  <c r="B35" i="41" s="1"/>
  <c r="C28" i="40"/>
  <c r="I67" i="37"/>
  <c r="F74" i="5" s="1"/>
  <c r="I29" i="37"/>
  <c r="I32" i="37" s="1"/>
  <c r="D35" i="38" s="1"/>
  <c r="J28" i="37"/>
  <c r="B29" i="37"/>
  <c r="B68" i="37"/>
  <c r="B67" i="37"/>
  <c r="F69" i="5"/>
  <c r="B69" i="11"/>
  <c r="C28" i="33"/>
  <c r="B29" i="33"/>
  <c r="I29" i="33"/>
  <c r="J28" i="33"/>
  <c r="A2" i="31"/>
  <c r="B24" i="31"/>
  <c r="F59" i="11"/>
  <c r="F59" i="5"/>
  <c r="B59" i="11"/>
  <c r="B59" i="5"/>
  <c r="A31" i="30"/>
  <c r="B27" i="30"/>
  <c r="B26" i="30"/>
  <c r="A27" i="30"/>
  <c r="A26" i="30"/>
  <c r="A3" i="30"/>
  <c r="H31" i="30"/>
  <c r="I27" i="30"/>
  <c r="I26" i="30"/>
  <c r="H27" i="30"/>
  <c r="H26" i="30"/>
  <c r="H3" i="30"/>
  <c r="I53" i="30"/>
  <c r="B53" i="30"/>
  <c r="J43" i="30"/>
  <c r="C43" i="30"/>
  <c r="L21" i="30"/>
  <c r="K21" i="30"/>
  <c r="E21" i="30"/>
  <c r="D21" i="30"/>
  <c r="M20" i="30"/>
  <c r="F20" i="30"/>
  <c r="M19" i="30"/>
  <c r="F19" i="30"/>
  <c r="M18" i="30"/>
  <c r="F18" i="30"/>
  <c r="M17" i="30"/>
  <c r="F17" i="30"/>
  <c r="M16" i="30"/>
  <c r="F16" i="30"/>
  <c r="L13" i="30"/>
  <c r="K13" i="30"/>
  <c r="E13" i="30"/>
  <c r="D13" i="30"/>
  <c r="M12" i="30"/>
  <c r="F12" i="30"/>
  <c r="M11" i="30"/>
  <c r="F11" i="30"/>
  <c r="M10" i="30"/>
  <c r="F10" i="30"/>
  <c r="M9" i="30"/>
  <c r="F9" i="30"/>
  <c r="M8" i="30"/>
  <c r="F8" i="30"/>
  <c r="F13" i="30" s="1"/>
  <c r="L1" i="30"/>
  <c r="E1" i="30"/>
  <c r="K3" i="29"/>
  <c r="H2" i="29"/>
  <c r="D3" i="29"/>
  <c r="A2" i="29"/>
  <c r="B8" i="31"/>
  <c r="B9" i="31" s="1"/>
  <c r="B10" i="31" s="1"/>
  <c r="L1" i="29"/>
  <c r="E1" i="29"/>
  <c r="A2" i="28"/>
  <c r="A2" i="25"/>
  <c r="A2" i="22"/>
  <c r="A2" i="19"/>
  <c r="A2" i="16"/>
  <c r="A2" i="6"/>
  <c r="C6" i="1"/>
  <c r="E40" i="41" l="1"/>
  <c r="C34" i="41"/>
  <c r="B34" i="41"/>
  <c r="B40" i="41" s="1"/>
  <c r="B68" i="40"/>
  <c r="B90" i="11" s="1"/>
  <c r="D40" i="41"/>
  <c r="D40" i="38"/>
  <c r="C34" i="35"/>
  <c r="B34" i="35"/>
  <c r="I68" i="33"/>
  <c r="F66" i="11" s="1"/>
  <c r="D34" i="35"/>
  <c r="E34" i="35"/>
  <c r="C36" i="31"/>
  <c r="B36" i="31"/>
  <c r="D36" i="31"/>
  <c r="E36" i="31"/>
  <c r="B37" i="31"/>
  <c r="C37" i="31"/>
  <c r="D37" i="31"/>
  <c r="E37" i="31"/>
  <c r="H12" i="8"/>
  <c r="C18" i="38"/>
  <c r="F11" i="8"/>
  <c r="B18" i="35"/>
  <c r="H13" i="8"/>
  <c r="C18" i="41"/>
  <c r="B82" i="5"/>
  <c r="K31" i="29"/>
  <c r="I10" i="8" s="1"/>
  <c r="I31" i="33"/>
  <c r="I32" i="33" s="1"/>
  <c r="D35" i="35" s="1"/>
  <c r="B16" i="31"/>
  <c r="B17" i="31" s="1"/>
  <c r="J31" i="37"/>
  <c r="J32" i="37" s="1"/>
  <c r="E35" i="38" s="1"/>
  <c r="E40" i="38" s="1"/>
  <c r="C16" i="35"/>
  <c r="C17" i="35" s="1"/>
  <c r="F70" i="12"/>
  <c r="D16" i="35"/>
  <c r="D17" i="35" s="1"/>
  <c r="B70" i="12"/>
  <c r="D8" i="35"/>
  <c r="D9" i="35" s="1"/>
  <c r="D10" i="35" s="1"/>
  <c r="D31" i="29"/>
  <c r="B31" i="33"/>
  <c r="B32" i="33" s="1"/>
  <c r="F21" i="30"/>
  <c r="F22" i="30" s="1"/>
  <c r="E8" i="44"/>
  <c r="E9" i="44" s="1"/>
  <c r="E10" i="44" s="1"/>
  <c r="B94" i="13"/>
  <c r="F78" i="13"/>
  <c r="E16" i="38"/>
  <c r="E17" i="38" s="1"/>
  <c r="F61" i="5"/>
  <c r="E8" i="38"/>
  <c r="E9" i="38" s="1"/>
  <c r="E10" i="38" s="1"/>
  <c r="B78" i="13"/>
  <c r="B70" i="13"/>
  <c r="E8" i="35"/>
  <c r="E9" i="35" s="1"/>
  <c r="E10" i="35" s="1"/>
  <c r="E8" i="41"/>
  <c r="E9" i="41" s="1"/>
  <c r="E10" i="41" s="1"/>
  <c r="B86" i="13"/>
  <c r="E16" i="41"/>
  <c r="E17" i="41" s="1"/>
  <c r="F86" i="13"/>
  <c r="B61" i="5"/>
  <c r="C32" i="40"/>
  <c r="C35" i="41" s="1"/>
  <c r="B90" i="5"/>
  <c r="B32" i="37"/>
  <c r="B35" i="38" s="1"/>
  <c r="B40" i="38" s="1"/>
  <c r="C32" i="37"/>
  <c r="C35" i="38" s="1"/>
  <c r="C40" i="38" s="1"/>
  <c r="M31" i="32"/>
  <c r="K11" i="8" s="1"/>
  <c r="F69" i="11"/>
  <c r="I67" i="33"/>
  <c r="F66" i="5" s="1"/>
  <c r="M21" i="30"/>
  <c r="M13" i="30"/>
  <c r="B28" i="30"/>
  <c r="C28" i="30" s="1"/>
  <c r="I28" i="30"/>
  <c r="I29" i="30" s="1"/>
  <c r="A1" i="28"/>
  <c r="B24" i="28"/>
  <c r="B82" i="11" l="1"/>
  <c r="C40" i="41"/>
  <c r="D40" i="35"/>
  <c r="B67" i="33"/>
  <c r="B74" i="5" s="1"/>
  <c r="B35" i="35"/>
  <c r="B40" i="35" s="1"/>
  <c r="C34" i="31"/>
  <c r="B34" i="31"/>
  <c r="J11" i="8"/>
  <c r="D18" i="35"/>
  <c r="F10" i="8"/>
  <c r="B18" i="31"/>
  <c r="L12" i="8"/>
  <c r="E18" i="38"/>
  <c r="L13" i="8"/>
  <c r="E18" i="41"/>
  <c r="H11" i="8"/>
  <c r="C18" i="35"/>
  <c r="M31" i="29"/>
  <c r="K10" i="8" s="1"/>
  <c r="J31" i="33"/>
  <c r="J32" i="33" s="1"/>
  <c r="E35" i="35" s="1"/>
  <c r="E40" i="35" s="1"/>
  <c r="C16" i="31"/>
  <c r="C17" i="31" s="1"/>
  <c r="F61" i="11"/>
  <c r="J28" i="30"/>
  <c r="F31" i="29"/>
  <c r="C31" i="33"/>
  <c r="C32" i="33" s="1"/>
  <c r="B61" i="11"/>
  <c r="C8" i="31"/>
  <c r="C9" i="31" s="1"/>
  <c r="C10" i="31" s="1"/>
  <c r="F70" i="13"/>
  <c r="E16" i="35"/>
  <c r="E17" i="35" s="1"/>
  <c r="D8" i="31"/>
  <c r="D9" i="31" s="1"/>
  <c r="D10" i="31" s="1"/>
  <c r="B62" i="12"/>
  <c r="D16" i="31"/>
  <c r="D17" i="31" s="1"/>
  <c r="F62" i="12"/>
  <c r="B68" i="30"/>
  <c r="B67" i="30"/>
  <c r="B66" i="5" s="1"/>
  <c r="B29" i="30"/>
  <c r="M22" i="30"/>
  <c r="B51" i="11"/>
  <c r="B51" i="5"/>
  <c r="F51" i="11"/>
  <c r="F51" i="5"/>
  <c r="H31" i="27"/>
  <c r="I27" i="27"/>
  <c r="I26" i="27"/>
  <c r="H27" i="27"/>
  <c r="H26" i="27"/>
  <c r="H3" i="27"/>
  <c r="A31" i="27"/>
  <c r="A31" i="24"/>
  <c r="B27" i="27"/>
  <c r="B26" i="27"/>
  <c r="A27" i="27"/>
  <c r="A26" i="27"/>
  <c r="A3" i="27"/>
  <c r="I53" i="27"/>
  <c r="B53" i="27"/>
  <c r="J43" i="27"/>
  <c r="C43" i="27"/>
  <c r="L21" i="27"/>
  <c r="K21" i="27"/>
  <c r="E21" i="27"/>
  <c r="D21" i="27"/>
  <c r="M20" i="27"/>
  <c r="F20" i="27"/>
  <c r="M19" i="27"/>
  <c r="F19" i="27"/>
  <c r="M18" i="27"/>
  <c r="F18" i="27"/>
  <c r="M17" i="27"/>
  <c r="F17" i="27"/>
  <c r="M16" i="27"/>
  <c r="F16" i="27"/>
  <c r="L13" i="27"/>
  <c r="K13" i="27"/>
  <c r="E13" i="27"/>
  <c r="D13" i="27"/>
  <c r="M12" i="27"/>
  <c r="F12" i="27"/>
  <c r="M11" i="27"/>
  <c r="F11" i="27"/>
  <c r="M10" i="27"/>
  <c r="F10" i="27"/>
  <c r="M9" i="27"/>
  <c r="F9" i="27"/>
  <c r="M8" i="27"/>
  <c r="F8" i="27"/>
  <c r="L1" i="27"/>
  <c r="E1" i="27"/>
  <c r="K3" i="26"/>
  <c r="H2" i="26"/>
  <c r="D3" i="26"/>
  <c r="A2" i="26"/>
  <c r="L1" i="26"/>
  <c r="E1" i="26"/>
  <c r="A1" i="25"/>
  <c r="B24" i="25"/>
  <c r="F43" i="11"/>
  <c r="B43" i="5"/>
  <c r="B43" i="11"/>
  <c r="F43" i="5"/>
  <c r="H31" i="24"/>
  <c r="I27" i="24"/>
  <c r="H27" i="24"/>
  <c r="I26" i="24"/>
  <c r="H26" i="24"/>
  <c r="H3" i="24"/>
  <c r="B27" i="24"/>
  <c r="B26" i="24"/>
  <c r="A27" i="24"/>
  <c r="A26" i="24"/>
  <c r="A3" i="24"/>
  <c r="K3" i="23"/>
  <c r="H2" i="23"/>
  <c r="D3" i="23"/>
  <c r="A2" i="23"/>
  <c r="I53" i="24"/>
  <c r="B53" i="24"/>
  <c r="J43" i="24"/>
  <c r="C43" i="24"/>
  <c r="L21" i="24"/>
  <c r="K21" i="24"/>
  <c r="E21" i="24"/>
  <c r="D21" i="24"/>
  <c r="M20" i="24"/>
  <c r="F20" i="24"/>
  <c r="M19" i="24"/>
  <c r="F19" i="24"/>
  <c r="M18" i="24"/>
  <c r="F18" i="24"/>
  <c r="M17" i="24"/>
  <c r="F17" i="24"/>
  <c r="M16" i="24"/>
  <c r="F16" i="24"/>
  <c r="L13" i="24"/>
  <c r="K13" i="24"/>
  <c r="E13" i="24"/>
  <c r="D13" i="24"/>
  <c r="M12" i="24"/>
  <c r="F12" i="24"/>
  <c r="M11" i="24"/>
  <c r="F11" i="24"/>
  <c r="M10" i="24"/>
  <c r="F10" i="24"/>
  <c r="M9" i="24"/>
  <c r="F9" i="24"/>
  <c r="M8" i="24"/>
  <c r="F8" i="24"/>
  <c r="L1" i="24"/>
  <c r="E1" i="24"/>
  <c r="K31" i="23"/>
  <c r="I8" i="8" s="1"/>
  <c r="D31" i="23"/>
  <c r="D8" i="25" s="1"/>
  <c r="D9" i="25" s="1"/>
  <c r="D10" i="25" s="1"/>
  <c r="F31" i="23"/>
  <c r="E8" i="25" s="1"/>
  <c r="E9" i="25" s="1"/>
  <c r="E10" i="25" s="1"/>
  <c r="L1" i="23"/>
  <c r="E1" i="23"/>
  <c r="B68" i="33" l="1"/>
  <c r="B74" i="11" s="1"/>
  <c r="C35" i="35"/>
  <c r="C40" i="35" s="1"/>
  <c r="I67" i="30"/>
  <c r="F58" i="5" s="1"/>
  <c r="D34" i="31"/>
  <c r="E34" i="31"/>
  <c r="B36" i="28"/>
  <c r="C36" i="28"/>
  <c r="E36" i="28"/>
  <c r="D36" i="28"/>
  <c r="B37" i="28"/>
  <c r="C37" i="28"/>
  <c r="E37" i="28"/>
  <c r="D37" i="28"/>
  <c r="E37" i="25"/>
  <c r="D37" i="25"/>
  <c r="C36" i="25"/>
  <c r="B36" i="25"/>
  <c r="E36" i="25"/>
  <c r="D36" i="25"/>
  <c r="C37" i="25"/>
  <c r="B37" i="25"/>
  <c r="J10" i="8"/>
  <c r="D18" i="31"/>
  <c r="L11" i="8"/>
  <c r="E18" i="35"/>
  <c r="H10" i="8"/>
  <c r="C18" i="31"/>
  <c r="M13" i="27"/>
  <c r="F13" i="27"/>
  <c r="F31" i="26"/>
  <c r="C31" i="30"/>
  <c r="C32" i="30" s="1"/>
  <c r="C35" i="31" s="1"/>
  <c r="C40" i="31" s="1"/>
  <c r="C8" i="28"/>
  <c r="C9" i="28" s="1"/>
  <c r="C10" i="28" s="1"/>
  <c r="B53" i="11"/>
  <c r="F21" i="24"/>
  <c r="B45" i="11"/>
  <c r="F46" i="12"/>
  <c r="B8" i="25"/>
  <c r="B9" i="25" s="1"/>
  <c r="B10" i="25" s="1"/>
  <c r="D16" i="25"/>
  <c r="D17" i="25" s="1"/>
  <c r="K31" i="26"/>
  <c r="I9" i="8" s="1"/>
  <c r="I31" i="30"/>
  <c r="I32" i="30" s="1"/>
  <c r="D35" i="31" s="1"/>
  <c r="B16" i="28"/>
  <c r="B17" i="28" s="1"/>
  <c r="B31" i="27"/>
  <c r="I31" i="27"/>
  <c r="B45" i="5"/>
  <c r="C8" i="25"/>
  <c r="C9" i="25" s="1"/>
  <c r="C10" i="25" s="1"/>
  <c r="F21" i="27"/>
  <c r="C31" i="27"/>
  <c r="F45" i="5"/>
  <c r="B66" i="11"/>
  <c r="E8" i="31"/>
  <c r="E9" i="31" s="1"/>
  <c r="E10" i="31" s="1"/>
  <c r="B62" i="13"/>
  <c r="B16" i="25"/>
  <c r="B17" i="25" s="1"/>
  <c r="D31" i="26"/>
  <c r="B31" i="30"/>
  <c r="B32" i="30" s="1"/>
  <c r="B35" i="31" s="1"/>
  <c r="B40" i="31" s="1"/>
  <c r="B8" i="28"/>
  <c r="B9" i="28" s="1"/>
  <c r="B10" i="28" s="1"/>
  <c r="B53" i="5"/>
  <c r="F53" i="5"/>
  <c r="E16" i="31"/>
  <c r="E17" i="31" s="1"/>
  <c r="F62" i="13"/>
  <c r="I68" i="30"/>
  <c r="F58" i="11" s="1"/>
  <c r="F53" i="11"/>
  <c r="B46" i="13"/>
  <c r="B46" i="12"/>
  <c r="B28" i="27"/>
  <c r="C28" i="27" s="1"/>
  <c r="M21" i="27"/>
  <c r="M22" i="27"/>
  <c r="I28" i="27"/>
  <c r="I29" i="27" s="1"/>
  <c r="M21" i="24"/>
  <c r="M13" i="24"/>
  <c r="B28" i="24"/>
  <c r="F13" i="24"/>
  <c r="F22" i="24" s="1"/>
  <c r="I28" i="24"/>
  <c r="I29" i="24" s="1"/>
  <c r="A1" i="22"/>
  <c r="B24" i="22"/>
  <c r="F35" i="11"/>
  <c r="B35" i="11"/>
  <c r="F35" i="5"/>
  <c r="B35" i="5"/>
  <c r="H27" i="21"/>
  <c r="H31" i="21"/>
  <c r="I27" i="21"/>
  <c r="I26" i="21"/>
  <c r="H26" i="21"/>
  <c r="H3" i="21"/>
  <c r="A31" i="21"/>
  <c r="B27" i="21"/>
  <c r="A27" i="21"/>
  <c r="B26" i="21"/>
  <c r="A26" i="21"/>
  <c r="A3" i="21"/>
  <c r="I53" i="21"/>
  <c r="B53" i="21"/>
  <c r="J43" i="21"/>
  <c r="C43" i="21"/>
  <c r="L21" i="21"/>
  <c r="K21" i="21"/>
  <c r="E21" i="21"/>
  <c r="D21" i="21"/>
  <c r="M20" i="21"/>
  <c r="F20" i="21"/>
  <c r="M19" i="21"/>
  <c r="F19" i="21"/>
  <c r="M18" i="21"/>
  <c r="F18" i="21"/>
  <c r="M17" i="21"/>
  <c r="F17" i="21"/>
  <c r="M16" i="21"/>
  <c r="F16" i="21"/>
  <c r="L13" i="21"/>
  <c r="K13" i="21"/>
  <c r="E13" i="21"/>
  <c r="D13" i="21"/>
  <c r="M12" i="21"/>
  <c r="F12" i="21"/>
  <c r="M11" i="21"/>
  <c r="F11" i="21"/>
  <c r="M10" i="21"/>
  <c r="F10" i="21"/>
  <c r="M9" i="21"/>
  <c r="F9" i="21"/>
  <c r="M8" i="21"/>
  <c r="F8" i="21"/>
  <c r="L1" i="21"/>
  <c r="E1" i="21"/>
  <c r="K3" i="20"/>
  <c r="H2" i="20"/>
  <c r="D3" i="20"/>
  <c r="A2" i="20"/>
  <c r="I31" i="24"/>
  <c r="B31" i="24"/>
  <c r="C8" i="22"/>
  <c r="C9" i="22" s="1"/>
  <c r="C10" i="22" s="1"/>
  <c r="L1" i="20"/>
  <c r="E1" i="20"/>
  <c r="F22" i="27" l="1"/>
  <c r="D40" i="31"/>
  <c r="B34" i="28"/>
  <c r="C34" i="28"/>
  <c r="E34" i="28"/>
  <c r="D34" i="28"/>
  <c r="B34" i="25"/>
  <c r="C34" i="25"/>
  <c r="B37" i="22"/>
  <c r="C37" i="22"/>
  <c r="D37" i="22"/>
  <c r="E37" i="22"/>
  <c r="D36" i="22"/>
  <c r="E36" i="22"/>
  <c r="B36" i="22"/>
  <c r="C36" i="22"/>
  <c r="F9" i="8"/>
  <c r="B18" i="28"/>
  <c r="F8" i="8"/>
  <c r="B18" i="25"/>
  <c r="L10" i="8"/>
  <c r="E18" i="31"/>
  <c r="J8" i="8"/>
  <c r="D18" i="25"/>
  <c r="F13" i="21"/>
  <c r="B16" i="22"/>
  <c r="B17" i="22" s="1"/>
  <c r="B8" i="22"/>
  <c r="B9" i="22" s="1"/>
  <c r="B10" i="22" s="1"/>
  <c r="D31" i="20"/>
  <c r="D8" i="22" s="1"/>
  <c r="D9" i="22" s="1"/>
  <c r="D10" i="22" s="1"/>
  <c r="M31" i="23"/>
  <c r="K8" i="8" s="1"/>
  <c r="C16" i="25"/>
  <c r="C17" i="25" s="1"/>
  <c r="J31" i="27"/>
  <c r="J32" i="27" s="1"/>
  <c r="E35" i="28" s="1"/>
  <c r="F45" i="11"/>
  <c r="K31" i="20"/>
  <c r="I7" i="8" s="1"/>
  <c r="F37" i="5"/>
  <c r="D8" i="28"/>
  <c r="D9" i="28" s="1"/>
  <c r="D10" i="28" s="1"/>
  <c r="B54" i="12"/>
  <c r="F21" i="21"/>
  <c r="F22" i="21" s="1"/>
  <c r="M31" i="26"/>
  <c r="K9" i="8" s="1"/>
  <c r="J31" i="30"/>
  <c r="J32" i="30" s="1"/>
  <c r="E35" i="31" s="1"/>
  <c r="E40" i="31" s="1"/>
  <c r="C16" i="28"/>
  <c r="C17" i="28" s="1"/>
  <c r="D16" i="28"/>
  <c r="D17" i="28" s="1"/>
  <c r="F54" i="12"/>
  <c r="F31" i="20"/>
  <c r="C31" i="24"/>
  <c r="B37" i="5"/>
  <c r="B37" i="11"/>
  <c r="B67" i="24"/>
  <c r="E8" i="28"/>
  <c r="E9" i="28" s="1"/>
  <c r="E10" i="28" s="1"/>
  <c r="B54" i="13"/>
  <c r="B29" i="27"/>
  <c r="B32" i="27" s="1"/>
  <c r="B68" i="24"/>
  <c r="B29" i="24"/>
  <c r="B32" i="24" s="1"/>
  <c r="B35" i="25" s="1"/>
  <c r="C28" i="24"/>
  <c r="I32" i="27"/>
  <c r="D35" i="28" s="1"/>
  <c r="I68" i="27"/>
  <c r="F50" i="11" s="1"/>
  <c r="I67" i="27"/>
  <c r="F50" i="5" s="1"/>
  <c r="J28" i="27"/>
  <c r="M22" i="24"/>
  <c r="I32" i="24"/>
  <c r="D35" i="25" s="1"/>
  <c r="C32" i="24"/>
  <c r="C35" i="25" s="1"/>
  <c r="J28" i="24"/>
  <c r="M21" i="21"/>
  <c r="M13" i="21"/>
  <c r="I28" i="21"/>
  <c r="I29" i="21" s="1"/>
  <c r="B28" i="21"/>
  <c r="B29" i="21" s="1"/>
  <c r="B24" i="19"/>
  <c r="B27" i="11"/>
  <c r="F27" i="11"/>
  <c r="F27" i="5"/>
  <c r="B27" i="5"/>
  <c r="I27" i="18"/>
  <c r="I26" i="18"/>
  <c r="H31" i="18"/>
  <c r="H27" i="18"/>
  <c r="H26" i="18"/>
  <c r="B27" i="18"/>
  <c r="B26" i="18"/>
  <c r="A31" i="18"/>
  <c r="A27" i="18"/>
  <c r="A26" i="18"/>
  <c r="H3" i="18"/>
  <c r="A3" i="18"/>
  <c r="I53" i="18"/>
  <c r="B53" i="18"/>
  <c r="J43" i="18"/>
  <c r="C43" i="18"/>
  <c r="L21" i="18"/>
  <c r="K21" i="18"/>
  <c r="E21" i="18"/>
  <c r="D21" i="18"/>
  <c r="M20" i="18"/>
  <c r="F20" i="18"/>
  <c r="M19" i="18"/>
  <c r="F19" i="18"/>
  <c r="M18" i="18"/>
  <c r="F18" i="18"/>
  <c r="M17" i="18"/>
  <c r="F17" i="18"/>
  <c r="M16" i="18"/>
  <c r="F16" i="18"/>
  <c r="L13" i="18"/>
  <c r="K13" i="18"/>
  <c r="E13" i="18"/>
  <c r="D13" i="18"/>
  <c r="M12" i="18"/>
  <c r="F12" i="18"/>
  <c r="M11" i="18"/>
  <c r="F11" i="18"/>
  <c r="M10" i="18"/>
  <c r="F10" i="18"/>
  <c r="M9" i="18"/>
  <c r="F9" i="18"/>
  <c r="M8" i="18"/>
  <c r="F8" i="18"/>
  <c r="L1" i="18"/>
  <c r="E1" i="18"/>
  <c r="H2" i="17"/>
  <c r="K3" i="17"/>
  <c r="D3" i="17"/>
  <c r="A2" i="17"/>
  <c r="F29" i="5"/>
  <c r="L1" i="17"/>
  <c r="E1" i="17"/>
  <c r="D40" i="28" l="1"/>
  <c r="E40" i="28"/>
  <c r="B67" i="27"/>
  <c r="B58" i="5" s="1"/>
  <c r="B35" i="28"/>
  <c r="B40" i="28" s="1"/>
  <c r="E34" i="25"/>
  <c r="D34" i="25"/>
  <c r="D40" i="25" s="1"/>
  <c r="C40" i="25"/>
  <c r="B40" i="25"/>
  <c r="B34" i="22"/>
  <c r="C34" i="22"/>
  <c r="C36" i="19"/>
  <c r="B36" i="19"/>
  <c r="C37" i="19"/>
  <c r="B37" i="19"/>
  <c r="E36" i="19"/>
  <c r="D36" i="19"/>
  <c r="E37" i="19"/>
  <c r="D37" i="19"/>
  <c r="H9" i="8"/>
  <c r="C18" i="28"/>
  <c r="H8" i="8"/>
  <c r="C18" i="25"/>
  <c r="F7" i="8"/>
  <c r="B18" i="22"/>
  <c r="J9" i="8"/>
  <c r="D18" i="28"/>
  <c r="B38" i="12"/>
  <c r="D31" i="17"/>
  <c r="B31" i="21"/>
  <c r="B32" i="21" s="1"/>
  <c r="F13" i="18"/>
  <c r="K31" i="17"/>
  <c r="I6" i="8" s="1"/>
  <c r="I31" i="21"/>
  <c r="I32" i="21" s="1"/>
  <c r="D35" i="22" s="1"/>
  <c r="F38" i="12"/>
  <c r="D16" i="22"/>
  <c r="D17" i="22" s="1"/>
  <c r="C32" i="27"/>
  <c r="F21" i="18"/>
  <c r="B16" i="19"/>
  <c r="B17" i="19" s="1"/>
  <c r="E16" i="28"/>
  <c r="E17" i="28" s="1"/>
  <c r="F54" i="13"/>
  <c r="M31" i="20"/>
  <c r="K7" i="8" s="1"/>
  <c r="J31" i="24"/>
  <c r="J32" i="24" s="1"/>
  <c r="C16" i="22"/>
  <c r="C17" i="22" s="1"/>
  <c r="F37" i="11"/>
  <c r="M21" i="18"/>
  <c r="E8" i="22"/>
  <c r="E9" i="22" s="1"/>
  <c r="E10" i="22" s="1"/>
  <c r="B38" i="13"/>
  <c r="E16" i="25"/>
  <c r="E17" i="25" s="1"/>
  <c r="F46" i="13"/>
  <c r="J28" i="21"/>
  <c r="C28" i="21"/>
  <c r="I67" i="24"/>
  <c r="F42" i="5" s="1"/>
  <c r="M22" i="21"/>
  <c r="B68" i="21"/>
  <c r="B42" i="11" s="1"/>
  <c r="B29" i="5"/>
  <c r="B8" i="19"/>
  <c r="B9" i="19" s="1"/>
  <c r="B10" i="19" s="1"/>
  <c r="C8" i="19"/>
  <c r="C9" i="19" s="1"/>
  <c r="C10" i="19" s="1"/>
  <c r="B29" i="11"/>
  <c r="M13" i="18"/>
  <c r="B28" i="18"/>
  <c r="C28" i="18" s="1"/>
  <c r="I28" i="18"/>
  <c r="F19" i="11"/>
  <c r="B19" i="11"/>
  <c r="F19" i="5"/>
  <c r="B19" i="5"/>
  <c r="A1" i="16"/>
  <c r="B24" i="16"/>
  <c r="I27" i="15"/>
  <c r="B27" i="15"/>
  <c r="B26" i="15"/>
  <c r="A31" i="15"/>
  <c r="H31" i="15"/>
  <c r="H27" i="15"/>
  <c r="H26" i="15"/>
  <c r="H3" i="15"/>
  <c r="A27" i="15"/>
  <c r="A26" i="15"/>
  <c r="I53" i="15"/>
  <c r="B53" i="15"/>
  <c r="J43" i="15"/>
  <c r="C43" i="15"/>
  <c r="L21" i="15"/>
  <c r="K21" i="15"/>
  <c r="E21" i="15"/>
  <c r="D21" i="15"/>
  <c r="M20" i="15"/>
  <c r="F20" i="15"/>
  <c r="M19" i="15"/>
  <c r="F19" i="15"/>
  <c r="M18" i="15"/>
  <c r="F18" i="15"/>
  <c r="M17" i="15"/>
  <c r="F17" i="15"/>
  <c r="M16" i="15"/>
  <c r="F16" i="15"/>
  <c r="L13" i="15"/>
  <c r="K13" i="15"/>
  <c r="E13" i="15"/>
  <c r="D13" i="15"/>
  <c r="M12" i="15"/>
  <c r="F12" i="15"/>
  <c r="M11" i="15"/>
  <c r="F11" i="15"/>
  <c r="M10" i="15"/>
  <c r="F10" i="15"/>
  <c r="M9" i="15"/>
  <c r="F9" i="15"/>
  <c r="M8" i="15"/>
  <c r="F8" i="15"/>
  <c r="L1" i="15"/>
  <c r="E1" i="15"/>
  <c r="K3" i="14"/>
  <c r="H2" i="14"/>
  <c r="D3" i="14"/>
  <c r="A2" i="14"/>
  <c r="L1" i="14"/>
  <c r="E1" i="14"/>
  <c r="E15" i="6"/>
  <c r="E14" i="6"/>
  <c r="I4" i="13"/>
  <c r="E6" i="16"/>
  <c r="E4" i="13"/>
  <c r="A4" i="13"/>
  <c r="A95" i="13"/>
  <c r="A94" i="13"/>
  <c r="A93" i="13"/>
  <c r="A92" i="13"/>
  <c r="A91" i="13"/>
  <c r="A90" i="13"/>
  <c r="E89" i="13"/>
  <c r="A89" i="13"/>
  <c r="E87" i="13"/>
  <c r="A87" i="13"/>
  <c r="E86" i="13"/>
  <c r="A86" i="13"/>
  <c r="E85" i="13"/>
  <c r="A85" i="13"/>
  <c r="E84" i="13"/>
  <c r="A84" i="13"/>
  <c r="E83" i="13"/>
  <c r="A83" i="13"/>
  <c r="E82" i="13"/>
  <c r="A82" i="13"/>
  <c r="E81" i="13"/>
  <c r="A81" i="13"/>
  <c r="E79" i="13"/>
  <c r="A79" i="13"/>
  <c r="E78" i="13"/>
  <c r="A78" i="13"/>
  <c r="E77" i="13"/>
  <c r="A77" i="13"/>
  <c r="E76" i="13"/>
  <c r="A76" i="13"/>
  <c r="E75" i="13"/>
  <c r="A75" i="13"/>
  <c r="E74" i="13"/>
  <c r="A74" i="13"/>
  <c r="E73" i="13"/>
  <c r="A73" i="13"/>
  <c r="E71" i="13"/>
  <c r="A71" i="13"/>
  <c r="E70" i="13"/>
  <c r="A70" i="13"/>
  <c r="E69" i="13"/>
  <c r="A69" i="13"/>
  <c r="E68" i="13"/>
  <c r="A68" i="13"/>
  <c r="E67" i="13"/>
  <c r="A67" i="13"/>
  <c r="E66" i="13"/>
  <c r="A66" i="13"/>
  <c r="E65" i="13"/>
  <c r="A65" i="13"/>
  <c r="E63" i="13"/>
  <c r="A63" i="13"/>
  <c r="E62" i="13"/>
  <c r="A62" i="13"/>
  <c r="E61" i="13"/>
  <c r="A61" i="13"/>
  <c r="E60" i="13"/>
  <c r="A60" i="13"/>
  <c r="E59" i="13"/>
  <c r="A59" i="13"/>
  <c r="E58" i="13"/>
  <c r="A58" i="13"/>
  <c r="E57" i="13"/>
  <c r="A57" i="13"/>
  <c r="E55" i="13"/>
  <c r="A55" i="13"/>
  <c r="E54" i="13"/>
  <c r="A54" i="13"/>
  <c r="E53" i="13"/>
  <c r="A53" i="13"/>
  <c r="E52" i="13"/>
  <c r="A52" i="13"/>
  <c r="E51" i="13"/>
  <c r="A51" i="13"/>
  <c r="E50" i="13"/>
  <c r="A50" i="13"/>
  <c r="E49" i="13"/>
  <c r="A49" i="13"/>
  <c r="E47" i="13"/>
  <c r="A47" i="13"/>
  <c r="E46" i="13"/>
  <c r="A46" i="13"/>
  <c r="E45" i="13"/>
  <c r="A45" i="13"/>
  <c r="E44" i="13"/>
  <c r="A44" i="13"/>
  <c r="E43" i="13"/>
  <c r="A43" i="13"/>
  <c r="E42" i="13"/>
  <c r="A42" i="13"/>
  <c r="E41" i="13"/>
  <c r="A41" i="13"/>
  <c r="E39" i="13"/>
  <c r="A39" i="13"/>
  <c r="E38" i="13"/>
  <c r="A38" i="13"/>
  <c r="E37" i="13"/>
  <c r="A37" i="13"/>
  <c r="E36" i="13"/>
  <c r="A36" i="13"/>
  <c r="E35" i="13"/>
  <c r="A35" i="13"/>
  <c r="E34" i="13"/>
  <c r="A34" i="13"/>
  <c r="E33" i="13"/>
  <c r="A33" i="13"/>
  <c r="E31" i="13"/>
  <c r="A31" i="13"/>
  <c r="E30" i="13"/>
  <c r="A30" i="13"/>
  <c r="E29" i="13"/>
  <c r="A29" i="13"/>
  <c r="E28" i="13"/>
  <c r="A28" i="13"/>
  <c r="E27" i="13"/>
  <c r="A27" i="13"/>
  <c r="E26" i="13"/>
  <c r="A26" i="13"/>
  <c r="E25" i="13"/>
  <c r="A25" i="13"/>
  <c r="E23" i="13"/>
  <c r="A23" i="13"/>
  <c r="E22" i="13"/>
  <c r="A22" i="13"/>
  <c r="E21" i="13"/>
  <c r="A21" i="13"/>
  <c r="E20" i="13"/>
  <c r="A20" i="13"/>
  <c r="E19" i="13"/>
  <c r="A19" i="13"/>
  <c r="E18" i="13"/>
  <c r="A18" i="13"/>
  <c r="E17" i="13"/>
  <c r="A17" i="13"/>
  <c r="E15" i="13"/>
  <c r="E14" i="13"/>
  <c r="E13" i="13"/>
  <c r="E12" i="13"/>
  <c r="E11" i="13"/>
  <c r="E10" i="13"/>
  <c r="E9" i="13"/>
  <c r="A9" i="13"/>
  <c r="E3" i="13"/>
  <c r="A3" i="13"/>
  <c r="I4" i="12"/>
  <c r="D15" i="6"/>
  <c r="D14" i="6"/>
  <c r="D7" i="16"/>
  <c r="E4" i="12"/>
  <c r="A4" i="12"/>
  <c r="A95" i="12"/>
  <c r="A94" i="12"/>
  <c r="A93" i="12"/>
  <c r="A92" i="12"/>
  <c r="A91" i="12"/>
  <c r="A90" i="12"/>
  <c r="E89" i="12"/>
  <c r="A89" i="12"/>
  <c r="E87" i="12"/>
  <c r="A87" i="12"/>
  <c r="E86" i="12"/>
  <c r="A86" i="12"/>
  <c r="E85" i="12"/>
  <c r="A85" i="12"/>
  <c r="E84" i="12"/>
  <c r="A84" i="12"/>
  <c r="E83" i="12"/>
  <c r="A83" i="12"/>
  <c r="E82" i="12"/>
  <c r="A82" i="12"/>
  <c r="E81" i="12"/>
  <c r="A81" i="12"/>
  <c r="E79" i="12"/>
  <c r="A79" i="12"/>
  <c r="E78" i="12"/>
  <c r="A78" i="12"/>
  <c r="E77" i="12"/>
  <c r="A77" i="12"/>
  <c r="E76" i="12"/>
  <c r="A76" i="12"/>
  <c r="E75" i="12"/>
  <c r="A75" i="12"/>
  <c r="E74" i="12"/>
  <c r="A74" i="12"/>
  <c r="E73" i="12"/>
  <c r="A73" i="12"/>
  <c r="E71" i="12"/>
  <c r="A71" i="12"/>
  <c r="E70" i="12"/>
  <c r="A70" i="12"/>
  <c r="E69" i="12"/>
  <c r="A69" i="12"/>
  <c r="E68" i="12"/>
  <c r="A68" i="12"/>
  <c r="E67" i="12"/>
  <c r="A67" i="12"/>
  <c r="E66" i="12"/>
  <c r="A66" i="12"/>
  <c r="E65" i="12"/>
  <c r="A65" i="12"/>
  <c r="E63" i="12"/>
  <c r="A63" i="12"/>
  <c r="E62" i="12"/>
  <c r="A62" i="12"/>
  <c r="E61" i="12"/>
  <c r="A61" i="12"/>
  <c r="E60" i="12"/>
  <c r="A60" i="12"/>
  <c r="E59" i="12"/>
  <c r="A59" i="12"/>
  <c r="E58" i="12"/>
  <c r="A58" i="12"/>
  <c r="E57" i="12"/>
  <c r="A57" i="12"/>
  <c r="E55" i="12"/>
  <c r="A55" i="12"/>
  <c r="E54" i="12"/>
  <c r="A54" i="12"/>
  <c r="E53" i="12"/>
  <c r="A53" i="12"/>
  <c r="E52" i="12"/>
  <c r="A52" i="12"/>
  <c r="E51" i="12"/>
  <c r="A51" i="12"/>
  <c r="E50" i="12"/>
  <c r="A50" i="12"/>
  <c r="E49" i="12"/>
  <c r="A49" i="12"/>
  <c r="E47" i="12"/>
  <c r="A47" i="12"/>
  <c r="E46" i="12"/>
  <c r="A46" i="12"/>
  <c r="E45" i="12"/>
  <c r="A45" i="12"/>
  <c r="E44" i="12"/>
  <c r="A44" i="12"/>
  <c r="E43" i="12"/>
  <c r="A43" i="12"/>
  <c r="E42" i="12"/>
  <c r="A42" i="12"/>
  <c r="E41" i="12"/>
  <c r="A41" i="12"/>
  <c r="E39" i="12"/>
  <c r="A39" i="12"/>
  <c r="E38" i="12"/>
  <c r="A38" i="12"/>
  <c r="E37" i="12"/>
  <c r="A37" i="12"/>
  <c r="E36" i="12"/>
  <c r="A36" i="12"/>
  <c r="E35" i="12"/>
  <c r="A35" i="12"/>
  <c r="E34" i="12"/>
  <c r="A34" i="12"/>
  <c r="E33" i="12"/>
  <c r="A33" i="12"/>
  <c r="E31" i="12"/>
  <c r="A31" i="12"/>
  <c r="E30" i="12"/>
  <c r="A30" i="12"/>
  <c r="E29" i="12"/>
  <c r="A29" i="12"/>
  <c r="E28" i="12"/>
  <c r="A28" i="12"/>
  <c r="E27" i="12"/>
  <c r="A27" i="12"/>
  <c r="E26" i="12"/>
  <c r="A26" i="12"/>
  <c r="E25" i="12"/>
  <c r="A25" i="12"/>
  <c r="E23" i="12"/>
  <c r="A23" i="12"/>
  <c r="E22" i="12"/>
  <c r="A22" i="12"/>
  <c r="E21" i="12"/>
  <c r="A21" i="12"/>
  <c r="E20" i="12"/>
  <c r="A20" i="12"/>
  <c r="E19" i="12"/>
  <c r="A19" i="12"/>
  <c r="E18" i="12"/>
  <c r="A18" i="12"/>
  <c r="E17" i="12"/>
  <c r="A17" i="12"/>
  <c r="E15" i="12"/>
  <c r="E14" i="12"/>
  <c r="E13" i="12"/>
  <c r="E12" i="12"/>
  <c r="E11" i="12"/>
  <c r="E10" i="12"/>
  <c r="E9" i="12"/>
  <c r="A9" i="12"/>
  <c r="E3" i="12"/>
  <c r="A3" i="12"/>
  <c r="I4" i="11"/>
  <c r="C14" i="6"/>
  <c r="C7" i="16"/>
  <c r="C6" i="16"/>
  <c r="E4" i="11"/>
  <c r="A4" i="11"/>
  <c r="A94" i="11"/>
  <c r="A93" i="11"/>
  <c r="A92" i="11"/>
  <c r="A91" i="11"/>
  <c r="A90" i="11"/>
  <c r="A89" i="11"/>
  <c r="E88" i="11"/>
  <c r="A88" i="11"/>
  <c r="E86" i="11"/>
  <c r="A86" i="11"/>
  <c r="E85" i="11"/>
  <c r="A85" i="11"/>
  <c r="E84" i="11"/>
  <c r="A84" i="11"/>
  <c r="E83" i="11"/>
  <c r="A83" i="11"/>
  <c r="E82" i="11"/>
  <c r="A82" i="11"/>
  <c r="E81" i="11"/>
  <c r="A81" i="11"/>
  <c r="E80" i="11"/>
  <c r="A80" i="11"/>
  <c r="E78" i="11"/>
  <c r="A78" i="11"/>
  <c r="E77" i="11"/>
  <c r="A77" i="11"/>
  <c r="E76" i="11"/>
  <c r="A76" i="11"/>
  <c r="E75" i="11"/>
  <c r="A75" i="11"/>
  <c r="E74" i="11"/>
  <c r="A74" i="11"/>
  <c r="E73" i="11"/>
  <c r="A73" i="11"/>
  <c r="E72" i="11"/>
  <c r="A72" i="11"/>
  <c r="E70" i="11"/>
  <c r="A70" i="11"/>
  <c r="E69" i="11"/>
  <c r="A69" i="11"/>
  <c r="E68" i="11"/>
  <c r="A68" i="11"/>
  <c r="E67" i="11"/>
  <c r="A67" i="11"/>
  <c r="E66" i="11"/>
  <c r="A66" i="11"/>
  <c r="E65" i="11"/>
  <c r="A65" i="11"/>
  <c r="E64" i="11"/>
  <c r="A64" i="11"/>
  <c r="E62" i="11"/>
  <c r="A62" i="11"/>
  <c r="E61" i="11"/>
  <c r="A61" i="11"/>
  <c r="E60" i="11"/>
  <c r="A60" i="11"/>
  <c r="E59" i="11"/>
  <c r="A59" i="11"/>
  <c r="E58" i="11"/>
  <c r="A58" i="11"/>
  <c r="E57" i="11"/>
  <c r="A57" i="11"/>
  <c r="E56" i="11"/>
  <c r="A56" i="11"/>
  <c r="E54" i="11"/>
  <c r="A54" i="11"/>
  <c r="E53" i="11"/>
  <c r="A53" i="11"/>
  <c r="E52" i="11"/>
  <c r="A52" i="11"/>
  <c r="E51" i="11"/>
  <c r="A51" i="11"/>
  <c r="E50" i="11"/>
  <c r="A50" i="11"/>
  <c r="E49" i="11"/>
  <c r="A49" i="11"/>
  <c r="E48" i="11"/>
  <c r="A48" i="11"/>
  <c r="E46" i="11"/>
  <c r="A46" i="11"/>
  <c r="E45" i="11"/>
  <c r="A45" i="11"/>
  <c r="E44" i="11"/>
  <c r="A44" i="11"/>
  <c r="E43" i="11"/>
  <c r="A43" i="11"/>
  <c r="E42" i="11"/>
  <c r="A42" i="11"/>
  <c r="E41" i="11"/>
  <c r="A41" i="11"/>
  <c r="E40" i="11"/>
  <c r="A40" i="11"/>
  <c r="E38" i="11"/>
  <c r="A38" i="11"/>
  <c r="E37" i="11"/>
  <c r="A37" i="11"/>
  <c r="E36" i="11"/>
  <c r="A36" i="11"/>
  <c r="E35" i="11"/>
  <c r="A35" i="11"/>
  <c r="E34" i="11"/>
  <c r="A34" i="11"/>
  <c r="E33" i="11"/>
  <c r="A33" i="11"/>
  <c r="E32" i="11"/>
  <c r="A32" i="11"/>
  <c r="E30" i="11"/>
  <c r="A30" i="11"/>
  <c r="E29" i="11"/>
  <c r="A29" i="11"/>
  <c r="E28" i="11"/>
  <c r="A28" i="11"/>
  <c r="E27" i="11"/>
  <c r="A27" i="11"/>
  <c r="E26" i="11"/>
  <c r="A26" i="11"/>
  <c r="E25" i="11"/>
  <c r="A25" i="11"/>
  <c r="E24" i="11"/>
  <c r="A24" i="11"/>
  <c r="E22" i="11"/>
  <c r="A22" i="11"/>
  <c r="E21" i="11"/>
  <c r="A21" i="11"/>
  <c r="E20" i="11"/>
  <c r="A20" i="11"/>
  <c r="E19" i="11"/>
  <c r="A19" i="11"/>
  <c r="E18" i="11"/>
  <c r="A18" i="11"/>
  <c r="E17" i="11"/>
  <c r="A17" i="11"/>
  <c r="E16" i="11"/>
  <c r="A16" i="11"/>
  <c r="E14" i="11"/>
  <c r="E13" i="11"/>
  <c r="E12" i="11"/>
  <c r="F11" i="11"/>
  <c r="E11" i="11"/>
  <c r="E10" i="11"/>
  <c r="E9" i="11"/>
  <c r="E8" i="11"/>
  <c r="A8" i="11"/>
  <c r="E3" i="11"/>
  <c r="A3" i="11"/>
  <c r="A1" i="6"/>
  <c r="B24" i="6"/>
  <c r="B50" i="5" l="1"/>
  <c r="B68" i="27"/>
  <c r="C35" i="28"/>
  <c r="C40" i="28" s="1"/>
  <c r="I68" i="24"/>
  <c r="F42" i="11" s="1"/>
  <c r="E35" i="25"/>
  <c r="E40" i="25" s="1"/>
  <c r="I67" i="21"/>
  <c r="F34" i="5" s="1"/>
  <c r="D34" i="22"/>
  <c r="D40" i="22" s="1"/>
  <c r="E34" i="22"/>
  <c r="B67" i="21"/>
  <c r="B42" i="5" s="1"/>
  <c r="B35" i="22"/>
  <c r="B40" i="22"/>
  <c r="F22" i="18"/>
  <c r="B36" i="16"/>
  <c r="C36" i="16"/>
  <c r="E36" i="16"/>
  <c r="D36" i="16"/>
  <c r="B37" i="16"/>
  <c r="C37" i="16"/>
  <c r="E37" i="16"/>
  <c r="D37" i="16"/>
  <c r="H7" i="8"/>
  <c r="C18" i="22"/>
  <c r="F6" i="8"/>
  <c r="B18" i="19"/>
  <c r="L9" i="8"/>
  <c r="E18" i="28"/>
  <c r="J7" i="8"/>
  <c r="D18" i="22"/>
  <c r="L8" i="8"/>
  <c r="E18" i="25"/>
  <c r="F13" i="15"/>
  <c r="B28" i="15"/>
  <c r="C28" i="15" s="1"/>
  <c r="D31" i="14"/>
  <c r="B31" i="18"/>
  <c r="M31" i="17"/>
  <c r="K6" i="8" s="1"/>
  <c r="J31" i="21"/>
  <c r="J32" i="21" s="1"/>
  <c r="E35" i="22" s="1"/>
  <c r="F29" i="11"/>
  <c r="F31" i="17"/>
  <c r="C31" i="21"/>
  <c r="C32" i="21" s="1"/>
  <c r="C35" i="22" s="1"/>
  <c r="C40" i="22" s="1"/>
  <c r="K31" i="14"/>
  <c r="I5" i="8" s="1"/>
  <c r="I31" i="18"/>
  <c r="E16" i="22"/>
  <c r="E17" i="22" s="1"/>
  <c r="F38" i="13"/>
  <c r="F21" i="15"/>
  <c r="F21" i="5"/>
  <c r="B8" i="16"/>
  <c r="B9" i="16" s="1"/>
  <c r="B10" i="16" s="1"/>
  <c r="M22" i="18"/>
  <c r="D16" i="19"/>
  <c r="D17" i="19" s="1"/>
  <c r="F30" i="12"/>
  <c r="B30" i="12"/>
  <c r="D8" i="19"/>
  <c r="D9" i="19" s="1"/>
  <c r="D10" i="19" s="1"/>
  <c r="I68" i="21"/>
  <c r="F34" i="11" s="1"/>
  <c r="B29" i="18"/>
  <c r="J28" i="18"/>
  <c r="I29" i="18"/>
  <c r="E7" i="16"/>
  <c r="C15" i="6"/>
  <c r="B21" i="5"/>
  <c r="M21" i="15"/>
  <c r="M13" i="15"/>
  <c r="I28" i="15"/>
  <c r="F11" i="5"/>
  <c r="B31" i="15"/>
  <c r="B29" i="15" l="1"/>
  <c r="B58" i="11"/>
  <c r="B50" i="11"/>
  <c r="E40" i="22"/>
  <c r="E34" i="19"/>
  <c r="D34" i="19"/>
  <c r="C34" i="19"/>
  <c r="B34" i="19"/>
  <c r="F22" i="15"/>
  <c r="J6" i="8"/>
  <c r="D18" i="19"/>
  <c r="L7" i="8"/>
  <c r="E18" i="22"/>
  <c r="M22" i="15"/>
  <c r="B32" i="18"/>
  <c r="F30" i="13"/>
  <c r="E16" i="19"/>
  <c r="E17" i="19" s="1"/>
  <c r="C31" i="18"/>
  <c r="C32" i="18" s="1"/>
  <c r="C8" i="16"/>
  <c r="D16" i="16"/>
  <c r="D17" i="16" s="1"/>
  <c r="F22" i="12"/>
  <c r="M31" i="14"/>
  <c r="K5" i="8" s="1"/>
  <c r="J31" i="18"/>
  <c r="J32" i="18" s="1"/>
  <c r="F21" i="11"/>
  <c r="C16" i="16"/>
  <c r="C17" i="16" s="1"/>
  <c r="B22" i="12"/>
  <c r="D8" i="16"/>
  <c r="D9" i="16" s="1"/>
  <c r="D10" i="16" s="1"/>
  <c r="B30" i="13"/>
  <c r="E8" i="19"/>
  <c r="E9" i="19" s="1"/>
  <c r="E10" i="19" s="1"/>
  <c r="I32" i="18"/>
  <c r="F31" i="14"/>
  <c r="B21" i="11"/>
  <c r="F14" i="5"/>
  <c r="B16" i="6"/>
  <c r="B17" i="6" s="1"/>
  <c r="I31" i="15"/>
  <c r="B32" i="15"/>
  <c r="J28" i="15"/>
  <c r="I29" i="15"/>
  <c r="I26" i="10"/>
  <c r="H31" i="10"/>
  <c r="A31" i="10"/>
  <c r="H27" i="10"/>
  <c r="H26" i="10"/>
  <c r="A27" i="10"/>
  <c r="A26" i="10"/>
  <c r="C31" i="10"/>
  <c r="B31" i="10"/>
  <c r="A15" i="1"/>
  <c r="C19" i="1"/>
  <c r="I27" i="10" s="1"/>
  <c r="J31" i="10"/>
  <c r="C17" i="1"/>
  <c r="I31" i="10" s="1"/>
  <c r="H3" i="10"/>
  <c r="A3" i="10"/>
  <c r="H2" i="9"/>
  <c r="A2" i="9"/>
  <c r="K3" i="9"/>
  <c r="D3" i="9"/>
  <c r="L1" i="10"/>
  <c r="E1" i="10"/>
  <c r="L1" i="9"/>
  <c r="E1" i="9"/>
  <c r="I53" i="10"/>
  <c r="B53" i="10"/>
  <c r="J43" i="10"/>
  <c r="C43" i="10"/>
  <c r="L21" i="10"/>
  <c r="K21" i="10"/>
  <c r="E21" i="10"/>
  <c r="D21" i="10"/>
  <c r="M20" i="10"/>
  <c r="F20" i="10"/>
  <c r="M19" i="10"/>
  <c r="F19" i="10"/>
  <c r="M18" i="10"/>
  <c r="F18" i="10"/>
  <c r="M17" i="10"/>
  <c r="F17" i="10"/>
  <c r="M16" i="10"/>
  <c r="F16" i="10"/>
  <c r="L13" i="10"/>
  <c r="K13" i="10"/>
  <c r="E13" i="10"/>
  <c r="D13" i="10"/>
  <c r="M12" i="10"/>
  <c r="F12" i="10"/>
  <c r="M11" i="10"/>
  <c r="F11" i="10"/>
  <c r="M10" i="10"/>
  <c r="F10" i="10"/>
  <c r="M9" i="10"/>
  <c r="F9" i="10"/>
  <c r="M8" i="10"/>
  <c r="F8" i="10"/>
  <c r="K31" i="9"/>
  <c r="I4" i="8" s="1"/>
  <c r="D31" i="9"/>
  <c r="G4" i="8"/>
  <c r="C31" i="15"/>
  <c r="C32" i="15" s="1"/>
  <c r="I68" i="18" l="1"/>
  <c r="F26" i="11" s="1"/>
  <c r="E35" i="19"/>
  <c r="E40" i="19" s="1"/>
  <c r="B67" i="18"/>
  <c r="B34" i="5" s="1"/>
  <c r="B35" i="19"/>
  <c r="B40" i="19" s="1"/>
  <c r="B68" i="18"/>
  <c r="B34" i="11" s="1"/>
  <c r="C35" i="19"/>
  <c r="C40" i="19" s="1"/>
  <c r="I67" i="18"/>
  <c r="F26" i="5" s="1"/>
  <c r="D35" i="19"/>
  <c r="D40" i="19" s="1"/>
  <c r="E34" i="16"/>
  <c r="D34" i="16"/>
  <c r="B34" i="16"/>
  <c r="C34" i="16"/>
  <c r="E36" i="6"/>
  <c r="D36" i="6"/>
  <c r="B37" i="6"/>
  <c r="C37" i="6"/>
  <c r="B36" i="6"/>
  <c r="C36" i="6"/>
  <c r="E37" i="6"/>
  <c r="D37" i="6"/>
  <c r="H5" i="8"/>
  <c r="C18" i="16"/>
  <c r="L6" i="8"/>
  <c r="E18" i="19"/>
  <c r="J5" i="8"/>
  <c r="D18" i="16"/>
  <c r="F4" i="8"/>
  <c r="B18" i="6"/>
  <c r="B67" i="15"/>
  <c r="B35" i="16"/>
  <c r="B68" i="15"/>
  <c r="B26" i="11" s="1"/>
  <c r="C35" i="16"/>
  <c r="C40" i="16" s="1"/>
  <c r="C9" i="16"/>
  <c r="C10" i="16" s="1"/>
  <c r="B14" i="16"/>
  <c r="B15" i="16" s="1"/>
  <c r="B6" i="19"/>
  <c r="B7" i="19" s="1"/>
  <c r="E8" i="16"/>
  <c r="E9" i="16" s="1"/>
  <c r="E10" i="16" s="1"/>
  <c r="B22" i="13"/>
  <c r="E16" i="16"/>
  <c r="E17" i="16" s="1"/>
  <c r="F22" i="13"/>
  <c r="M31" i="9"/>
  <c r="J31" i="15"/>
  <c r="J32" i="15" s="1"/>
  <c r="C16" i="6"/>
  <c r="F13" i="11"/>
  <c r="F31" i="9"/>
  <c r="I32" i="15"/>
  <c r="D16" i="6"/>
  <c r="D17" i="6" s="1"/>
  <c r="D18" i="6" s="1"/>
  <c r="B28" i="10"/>
  <c r="B29" i="10" s="1"/>
  <c r="I28" i="10"/>
  <c r="J28" i="10" s="1"/>
  <c r="F21" i="10"/>
  <c r="F13" i="10"/>
  <c r="M21" i="10"/>
  <c r="M13" i="10"/>
  <c r="B40" i="16" l="1"/>
  <c r="M22" i="10"/>
  <c r="B26" i="5"/>
  <c r="E34" i="6"/>
  <c r="D34" i="6"/>
  <c r="L5" i="8"/>
  <c r="E18" i="16"/>
  <c r="I67" i="15"/>
  <c r="F18" i="5" s="1"/>
  <c r="D35" i="16"/>
  <c r="D40" i="16" s="1"/>
  <c r="I68" i="15"/>
  <c r="F18" i="11" s="1"/>
  <c r="E35" i="16"/>
  <c r="E40" i="16" s="1"/>
  <c r="F22" i="10"/>
  <c r="B68" i="10" s="1"/>
  <c r="E16" i="6"/>
  <c r="K4" i="8"/>
  <c r="F14" i="13"/>
  <c r="C32" i="10"/>
  <c r="C35" i="6" s="1"/>
  <c r="B32" i="10"/>
  <c r="B35" i="6" s="1"/>
  <c r="C28" i="10"/>
  <c r="B67" i="10"/>
  <c r="I29" i="10"/>
  <c r="C34" i="6" l="1"/>
  <c r="C40" i="6" s="1"/>
  <c r="B34" i="6"/>
  <c r="B40" i="6" s="1"/>
  <c r="B18" i="11"/>
  <c r="B20" i="11" s="1"/>
  <c r="B18" i="5"/>
  <c r="I32" i="10"/>
  <c r="J32" i="10"/>
  <c r="A91" i="5"/>
  <c r="A90" i="5"/>
  <c r="A94" i="5"/>
  <c r="A93" i="5"/>
  <c r="A92" i="5"/>
  <c r="A89" i="5"/>
  <c r="A88" i="5"/>
  <c r="A80" i="5"/>
  <c r="A83" i="5"/>
  <c r="A82" i="5"/>
  <c r="A86" i="5"/>
  <c r="A85" i="5"/>
  <c r="A84" i="5"/>
  <c r="A81" i="5"/>
  <c r="A75" i="5"/>
  <c r="A74" i="5"/>
  <c r="A78" i="5"/>
  <c r="A77" i="5"/>
  <c r="A76" i="5"/>
  <c r="A73" i="5"/>
  <c r="A72" i="5"/>
  <c r="A67" i="5"/>
  <c r="A66" i="5"/>
  <c r="A70" i="5"/>
  <c r="A69" i="5"/>
  <c r="A68" i="5"/>
  <c r="A65" i="5"/>
  <c r="A64" i="5"/>
  <c r="A59" i="5"/>
  <c r="A58" i="5"/>
  <c r="A62" i="5"/>
  <c r="A61" i="5"/>
  <c r="A60" i="5"/>
  <c r="A57" i="5"/>
  <c r="A56" i="5"/>
  <c r="E88" i="5"/>
  <c r="E48" i="5"/>
  <c r="A48" i="5"/>
  <c r="A51" i="5"/>
  <c r="A50" i="5"/>
  <c r="A54" i="5"/>
  <c r="A53" i="5"/>
  <c r="A52" i="5"/>
  <c r="A49" i="5"/>
  <c r="A40" i="5"/>
  <c r="A43" i="5"/>
  <c r="A42" i="5"/>
  <c r="A46" i="5"/>
  <c r="A45" i="5"/>
  <c r="A44" i="5"/>
  <c r="A41" i="5"/>
  <c r="I68" i="10" l="1"/>
  <c r="F11" i="13" s="1"/>
  <c r="F13" i="13" s="1"/>
  <c r="E35" i="6"/>
  <c r="E40" i="6" s="1"/>
  <c r="I67" i="10"/>
  <c r="F10" i="5" s="1"/>
  <c r="D35" i="6"/>
  <c r="D40" i="6" s="1"/>
  <c r="F10" i="11"/>
  <c r="F12" i="11" s="1"/>
  <c r="A32" i="5"/>
  <c r="A24" i="5"/>
  <c r="A35" i="5"/>
  <c r="A34" i="5"/>
  <c r="A38" i="5"/>
  <c r="A37" i="5"/>
  <c r="A36" i="5"/>
  <c r="A33" i="5"/>
  <c r="A29" i="5"/>
  <c r="A21" i="5"/>
  <c r="E85" i="5"/>
  <c r="E77" i="5"/>
  <c r="E69" i="5"/>
  <c r="E61" i="5"/>
  <c r="E53" i="5"/>
  <c r="E45" i="5"/>
  <c r="E37" i="5"/>
  <c r="E29" i="5"/>
  <c r="E21" i="5"/>
  <c r="E13" i="5"/>
  <c r="A27" i="5"/>
  <c r="A19" i="5"/>
  <c r="A26" i="5"/>
  <c r="A30" i="5"/>
  <c r="A28" i="5"/>
  <c r="A25" i="5"/>
  <c r="B7" i="16"/>
  <c r="A4" i="5"/>
  <c r="A3" i="5"/>
  <c r="A18" i="5"/>
  <c r="A17" i="5"/>
  <c r="E84" i="5"/>
  <c r="E76" i="5"/>
  <c r="E68" i="5"/>
  <c r="E60" i="5"/>
  <c r="E52" i="5"/>
  <c r="E44" i="5"/>
  <c r="E36" i="5"/>
  <c r="E28" i="5"/>
  <c r="A20" i="5"/>
  <c r="E20" i="5"/>
  <c r="E12" i="5"/>
  <c r="A22" i="5"/>
  <c r="A16" i="5"/>
  <c r="E16" i="5"/>
  <c r="A8" i="5"/>
  <c r="E86" i="5"/>
  <c r="E83" i="5"/>
  <c r="E82" i="5"/>
  <c r="E81" i="5"/>
  <c r="E80" i="5"/>
  <c r="E78" i="5"/>
  <c r="E75" i="5"/>
  <c r="E74" i="5"/>
  <c r="E73" i="5"/>
  <c r="E72" i="5"/>
  <c r="E70" i="5"/>
  <c r="E67" i="5"/>
  <c r="E66" i="5"/>
  <c r="E65" i="5"/>
  <c r="E64" i="5"/>
  <c r="J22" i="2"/>
  <c r="J21" i="2"/>
  <c r="J20" i="2"/>
  <c r="J19" i="2"/>
  <c r="J18" i="2"/>
  <c r="J17" i="2"/>
  <c r="J16" i="2"/>
  <c r="J15" i="2"/>
  <c r="J14" i="2"/>
  <c r="J13" i="2"/>
  <c r="J12" i="2"/>
  <c r="J11" i="2"/>
  <c r="J10" i="2"/>
  <c r="J9" i="2"/>
  <c r="J8" i="2"/>
  <c r="J7" i="2"/>
  <c r="J6" i="2"/>
  <c r="J5" i="2"/>
  <c r="J4" i="2"/>
  <c r="E56" i="5"/>
  <c r="E62" i="5"/>
  <c r="E59" i="5"/>
  <c r="E58" i="5"/>
  <c r="E57" i="5"/>
  <c r="E54" i="5"/>
  <c r="E51" i="5"/>
  <c r="E50" i="5"/>
  <c r="E49" i="5"/>
  <c r="E46" i="5"/>
  <c r="E43" i="5"/>
  <c r="E42" i="5"/>
  <c r="E41" i="5"/>
  <c r="E40" i="5"/>
  <c r="E38" i="5"/>
  <c r="E35" i="5"/>
  <c r="E34" i="5"/>
  <c r="E33" i="5"/>
  <c r="E32" i="5"/>
  <c r="E24" i="5"/>
  <c r="E30" i="5"/>
  <c r="E27" i="5"/>
  <c r="E26" i="5"/>
  <c r="E25" i="5"/>
  <c r="E22" i="5"/>
  <c r="E19" i="5"/>
  <c r="E18" i="5"/>
  <c r="E14" i="5"/>
  <c r="E11" i="5"/>
  <c r="E10" i="5"/>
  <c r="E9" i="5"/>
  <c r="E8" i="5"/>
  <c r="E17" i="5"/>
  <c r="E3" i="5"/>
  <c r="E4" i="5"/>
  <c r="B13" i="8"/>
  <c r="B12" i="8"/>
  <c r="B11" i="8"/>
  <c r="B10" i="8"/>
  <c r="B9" i="8"/>
  <c r="B8" i="8"/>
  <c r="B7" i="8"/>
  <c r="B6" i="8"/>
  <c r="B5" i="8"/>
  <c r="B4" i="8"/>
  <c r="C1" i="8"/>
  <c r="A23" i="2"/>
  <c r="A22" i="2"/>
  <c r="A21" i="2"/>
  <c r="A20" i="2"/>
  <c r="A19" i="2"/>
  <c r="A18" i="2"/>
  <c r="A17" i="2"/>
  <c r="A16" i="2"/>
  <c r="A15" i="2"/>
  <c r="A14" i="2"/>
  <c r="B23" i="12" l="1"/>
  <c r="F15" i="12"/>
  <c r="F14" i="11"/>
  <c r="C17" i="6" s="1"/>
  <c r="B22" i="11"/>
  <c r="F15" i="13"/>
  <c r="E17" i="6" s="1"/>
  <c r="E18" i="6" s="1"/>
  <c r="J4" i="8"/>
  <c r="H4" i="8" l="1"/>
  <c r="C18" i="6"/>
  <c r="E6" i="19"/>
  <c r="E7" i="19" s="1"/>
  <c r="E14" i="16"/>
  <c r="E15" i="16" s="1"/>
  <c r="B26" i="12"/>
  <c r="B29" i="12" s="1"/>
  <c r="D6" i="19"/>
  <c r="D7" i="19" s="1"/>
  <c r="D14" i="16"/>
  <c r="D15" i="16" s="1"/>
  <c r="C14" i="16"/>
  <c r="C15" i="16" s="1"/>
  <c r="C6" i="19"/>
  <c r="C7" i="19" s="1"/>
  <c r="I19" i="12"/>
  <c r="F18" i="12"/>
  <c r="F21" i="12" s="1"/>
  <c r="B25" i="11"/>
  <c r="F17" i="11"/>
  <c r="B23" i="13"/>
  <c r="L4" i="8"/>
  <c r="F18" i="13"/>
  <c r="I19" i="13"/>
  <c r="B26" i="13"/>
  <c r="A13" i="2"/>
  <c r="B14" i="6"/>
  <c r="I4" i="5"/>
  <c r="A12" i="2"/>
  <c r="A11" i="2"/>
  <c r="A10" i="2"/>
  <c r="A9" i="2"/>
  <c r="A8" i="2"/>
  <c r="A7" i="2"/>
  <c r="A6" i="2"/>
  <c r="A5" i="2"/>
  <c r="A4" i="2"/>
  <c r="B27" i="13" l="1"/>
  <c r="B29" i="13" s="1"/>
  <c r="B28" i="13"/>
  <c r="F20" i="13"/>
  <c r="F21" i="13" s="1"/>
  <c r="F19" i="13"/>
  <c r="F22" i="11"/>
  <c r="F20" i="11"/>
  <c r="B30" i="11"/>
  <c r="B28" i="11"/>
  <c r="B38" i="11"/>
  <c r="B25" i="6"/>
  <c r="B15" i="6"/>
  <c r="B33" i="11" l="1"/>
  <c r="B36" i="11" s="1"/>
  <c r="C6" i="22"/>
  <c r="C7" i="22" s="1"/>
  <c r="C14" i="19"/>
  <c r="C15" i="19" s="1"/>
  <c r="F25" i="11"/>
  <c r="B22" i="5"/>
  <c r="B31" i="13"/>
  <c r="F23" i="13"/>
  <c r="E14" i="19" s="1"/>
  <c r="F23" i="12"/>
  <c r="B31" i="12"/>
  <c r="A20" i="6"/>
  <c r="I27" i="13" l="1"/>
  <c r="E15" i="19"/>
  <c r="E6" i="22"/>
  <c r="E7" i="22" s="1"/>
  <c r="D6" i="22"/>
  <c r="D7" i="22" s="1"/>
  <c r="D14" i="19"/>
  <c r="D15" i="19" s="1"/>
  <c r="F30" i="11"/>
  <c r="F28" i="11"/>
  <c r="B54" i="11"/>
  <c r="B46" i="11"/>
  <c r="F26" i="12"/>
  <c r="F29" i="12" s="1"/>
  <c r="I27" i="12"/>
  <c r="B34" i="12"/>
  <c r="B37" i="12" s="1"/>
  <c r="B34" i="13"/>
  <c r="F26" i="13"/>
  <c r="F17" i="5"/>
  <c r="B25" i="5"/>
  <c r="B35" i="13" l="1"/>
  <c r="B37" i="13" s="1"/>
  <c r="B36" i="13"/>
  <c r="F27" i="13"/>
  <c r="F29" i="13" s="1"/>
  <c r="F28" i="13"/>
  <c r="C6" i="25"/>
  <c r="C7" i="25" s="1"/>
  <c r="C14" i="22"/>
  <c r="C15" i="22" s="1"/>
  <c r="F33" i="11"/>
  <c r="B41" i="11"/>
  <c r="B44" i="11" s="1"/>
  <c r="B30" i="5"/>
  <c r="B28" i="5"/>
  <c r="F22" i="5"/>
  <c r="F20" i="5"/>
  <c r="B39" i="13"/>
  <c r="F31" i="13"/>
  <c r="F31" i="12"/>
  <c r="B39" i="12"/>
  <c r="E14" i="22" l="1"/>
  <c r="I35" i="13"/>
  <c r="B33" i="5"/>
  <c r="B36" i="5" s="1"/>
  <c r="B42" i="13"/>
  <c r="E15" i="22"/>
  <c r="E6" i="25"/>
  <c r="E7" i="25" s="1"/>
  <c r="B42" i="12"/>
  <c r="B45" i="12" s="1"/>
  <c r="D6" i="25"/>
  <c r="D7" i="25" s="1"/>
  <c r="D14" i="22"/>
  <c r="D15" i="22" s="1"/>
  <c r="B14" i="19"/>
  <c r="B15" i="19" s="1"/>
  <c r="B6" i="22"/>
  <c r="B7" i="22" s="1"/>
  <c r="F38" i="11"/>
  <c r="F36" i="11"/>
  <c r="B62" i="11"/>
  <c r="F25" i="5"/>
  <c r="F28" i="5" s="1"/>
  <c r="F30" i="5"/>
  <c r="B38" i="5"/>
  <c r="F34" i="13"/>
  <c r="I35" i="12"/>
  <c r="F34" i="12"/>
  <c r="F37" i="12" s="1"/>
  <c r="B25" i="16"/>
  <c r="A20" i="16"/>
  <c r="F36" i="13" l="1"/>
  <c r="B43" i="13"/>
  <c r="F35" i="13"/>
  <c r="B44" i="13"/>
  <c r="B45" i="13" s="1"/>
  <c r="C6" i="28"/>
  <c r="C7" i="28" s="1"/>
  <c r="C14" i="25"/>
  <c r="C15" i="25" s="1"/>
  <c r="B49" i="11"/>
  <c r="B52" i="11" s="1"/>
  <c r="F41" i="11"/>
  <c r="B14" i="22"/>
  <c r="B15" i="22" s="1"/>
  <c r="B6" i="25"/>
  <c r="B7" i="25" s="1"/>
  <c r="B70" i="11"/>
  <c r="F33" i="5"/>
  <c r="F36" i="5" s="1"/>
  <c r="B41" i="5"/>
  <c r="B44" i="5" s="1"/>
  <c r="F38" i="5"/>
  <c r="B46" i="5"/>
  <c r="F39" i="13"/>
  <c r="E14" i="25" s="1"/>
  <c r="B47" i="12"/>
  <c r="A20" i="19"/>
  <c r="F37" i="13" l="1"/>
  <c r="B50" i="13" s="1"/>
  <c r="E15" i="25"/>
  <c r="E6" i="28"/>
  <c r="E7" i="28" s="1"/>
  <c r="F41" i="5"/>
  <c r="F44" i="5" s="1"/>
  <c r="B49" i="5"/>
  <c r="B52" i="5" s="1"/>
  <c r="F46" i="11"/>
  <c r="F44" i="11"/>
  <c r="B14" i="25"/>
  <c r="B15" i="25" s="1"/>
  <c r="B6" i="28"/>
  <c r="B7" i="28" s="1"/>
  <c r="B78" i="11"/>
  <c r="F46" i="5"/>
  <c r="B54" i="5"/>
  <c r="B47" i="13"/>
  <c r="F39" i="12"/>
  <c r="B25" i="19"/>
  <c r="I43" i="13"/>
  <c r="F42" i="13" l="1"/>
  <c r="F44" i="13"/>
  <c r="B52" i="13"/>
  <c r="B51" i="13"/>
  <c r="B53" i="13" s="1"/>
  <c r="F43" i="13"/>
  <c r="F45" i="13" s="1"/>
  <c r="F49" i="5"/>
  <c r="F52" i="5" s="1"/>
  <c r="B57" i="5"/>
  <c r="B60" i="5" s="1"/>
  <c r="B25" i="22"/>
  <c r="D6" i="28"/>
  <c r="D7" i="28" s="1"/>
  <c r="D14" i="25"/>
  <c r="D15" i="25" s="1"/>
  <c r="C6" i="31"/>
  <c r="C7" i="31" s="1"/>
  <c r="C14" i="28"/>
  <c r="C15" i="28" s="1"/>
  <c r="F49" i="11"/>
  <c r="B57" i="11"/>
  <c r="B60" i="11" s="1"/>
  <c r="B14" i="28"/>
  <c r="B15" i="28" s="1"/>
  <c r="B6" i="31"/>
  <c r="B7" i="31" s="1"/>
  <c r="B86" i="11"/>
  <c r="F54" i="5"/>
  <c r="B62" i="5"/>
  <c r="I43" i="12"/>
  <c r="F42" i="12"/>
  <c r="F45" i="12" s="1"/>
  <c r="B50" i="12"/>
  <c r="B53" i="12" s="1"/>
  <c r="A20" i="22"/>
  <c r="B65" i="5" l="1"/>
  <c r="B68" i="5" s="1"/>
  <c r="B14" i="31"/>
  <c r="B15" i="31" s="1"/>
  <c r="B6" i="35"/>
  <c r="B7" i="35" s="1"/>
  <c r="F57" i="5"/>
  <c r="F60" i="5" s="1"/>
  <c r="F54" i="11"/>
  <c r="F52" i="11"/>
  <c r="B94" i="11"/>
  <c r="C9" i="44" s="1"/>
  <c r="C10" i="44" s="1"/>
  <c r="F62" i="5"/>
  <c r="B70" i="5"/>
  <c r="F47" i="13"/>
  <c r="B55" i="12"/>
  <c r="E14" i="28" l="1"/>
  <c r="E15" i="28" s="1"/>
  <c r="I51" i="13"/>
  <c r="E6" i="31"/>
  <c r="E7" i="31" s="1"/>
  <c r="C14" i="31"/>
  <c r="C15" i="31" s="1"/>
  <c r="C6" i="35"/>
  <c r="C7" i="35" s="1"/>
  <c r="B73" i="5"/>
  <c r="B76" i="5" s="1"/>
  <c r="B65" i="11"/>
  <c r="B68" i="11" s="1"/>
  <c r="F57" i="11"/>
  <c r="B14" i="35"/>
  <c r="B15" i="35" s="1"/>
  <c r="B6" i="38"/>
  <c r="B7" i="38" s="1"/>
  <c r="F65" i="5"/>
  <c r="F68" i="5" s="1"/>
  <c r="B78" i="5"/>
  <c r="F70" i="5"/>
  <c r="F50" i="13"/>
  <c r="B58" i="13"/>
  <c r="B55" i="13"/>
  <c r="F47" i="12"/>
  <c r="I51" i="12" s="1"/>
  <c r="A20" i="25"/>
  <c r="B25" i="25"/>
  <c r="F51" i="13" l="1"/>
  <c r="F52" i="13"/>
  <c r="F53" i="13" s="1"/>
  <c r="B59" i="13"/>
  <c r="B61" i="13" s="1"/>
  <c r="B60" i="13"/>
  <c r="F73" i="5"/>
  <c r="F76" i="5" s="1"/>
  <c r="D6" i="31"/>
  <c r="D7" i="31" s="1"/>
  <c r="D14" i="28"/>
  <c r="D15" i="28" s="1"/>
  <c r="F62" i="11"/>
  <c r="F60" i="11"/>
  <c r="B6" i="41"/>
  <c r="B7" i="41" s="1"/>
  <c r="B14" i="38"/>
  <c r="B15" i="38" s="1"/>
  <c r="B81" i="5"/>
  <c r="B84" i="5" s="1"/>
  <c r="F78" i="5"/>
  <c r="B86" i="5"/>
  <c r="B58" i="12"/>
  <c r="B61" i="12" s="1"/>
  <c r="F50" i="12"/>
  <c r="F53" i="12" s="1"/>
  <c r="B89" i="5" l="1"/>
  <c r="B92" i="5" s="1"/>
  <c r="C14" i="35"/>
  <c r="C15" i="35" s="1"/>
  <c r="C6" i="38"/>
  <c r="C7" i="38" s="1"/>
  <c r="B14" i="41"/>
  <c r="B15" i="41" s="1"/>
  <c r="B6" i="44"/>
  <c r="B7" i="44" s="1"/>
  <c r="F81" i="5"/>
  <c r="F84" i="5" s="1"/>
  <c r="F65" i="11"/>
  <c r="B73" i="11"/>
  <c r="B76" i="11" s="1"/>
  <c r="B94" i="5"/>
  <c r="F86" i="5"/>
  <c r="F55" i="12"/>
  <c r="I59" i="12" s="1"/>
  <c r="F55" i="13"/>
  <c r="B63" i="13"/>
  <c r="E14" i="31" l="1"/>
  <c r="E15" i="31" s="1"/>
  <c r="I59" i="13"/>
  <c r="E6" i="35"/>
  <c r="E7" i="35" s="1"/>
  <c r="D14" i="31"/>
  <c r="D15" i="31" s="1"/>
  <c r="D6" i="35"/>
  <c r="D7" i="35" s="1"/>
  <c r="F70" i="11"/>
  <c r="F68" i="11"/>
  <c r="F58" i="13"/>
  <c r="B66" i="13"/>
  <c r="B63" i="12"/>
  <c r="B66" i="12"/>
  <c r="B69" i="12" s="1"/>
  <c r="F58" i="12"/>
  <c r="F61" i="12" s="1"/>
  <c r="F59" i="13" l="1"/>
  <c r="F60" i="13"/>
  <c r="B67" i="13"/>
  <c r="B68" i="13"/>
  <c r="C6" i="41"/>
  <c r="C7" i="41" s="1"/>
  <c r="C14" i="38"/>
  <c r="C15" i="38" s="1"/>
  <c r="F73" i="11"/>
  <c r="B81" i="11"/>
  <c r="B84" i="11" s="1"/>
  <c r="B71" i="13"/>
  <c r="A20" i="28"/>
  <c r="B25" i="28"/>
  <c r="F63" i="12"/>
  <c r="I67" i="12" s="1"/>
  <c r="B69" i="13" l="1"/>
  <c r="F61" i="13"/>
  <c r="D14" i="35"/>
  <c r="D15" i="35" s="1"/>
  <c r="D6" i="38"/>
  <c r="D7" i="38" s="1"/>
  <c r="F78" i="11"/>
  <c r="F76" i="11"/>
  <c r="F63" i="13"/>
  <c r="B74" i="12"/>
  <c r="B77" i="12" s="1"/>
  <c r="F66" i="12"/>
  <c r="F69" i="12" s="1"/>
  <c r="B71" i="12"/>
  <c r="E14" i="35" l="1"/>
  <c r="E15" i="35" s="1"/>
  <c r="I67" i="13"/>
  <c r="B74" i="13"/>
  <c r="E6" i="38"/>
  <c r="E7" i="38" s="1"/>
  <c r="C14" i="41"/>
  <c r="C15" i="41" s="1"/>
  <c r="C6" i="44"/>
  <c r="C7" i="44" s="1"/>
  <c r="F81" i="11"/>
  <c r="B89" i="11"/>
  <c r="B92" i="11" s="1"/>
  <c r="F66" i="13"/>
  <c r="A20" i="31"/>
  <c r="B76" i="13" l="1"/>
  <c r="F67" i="13"/>
  <c r="F68" i="13"/>
  <c r="B75" i="13"/>
  <c r="B77" i="13" s="1"/>
  <c r="F86" i="11"/>
  <c r="F84" i="11"/>
  <c r="B25" i="31"/>
  <c r="F71" i="13"/>
  <c r="F71" i="12"/>
  <c r="I75" i="12" s="1"/>
  <c r="B79" i="12"/>
  <c r="E14" i="38" l="1"/>
  <c r="E15" i="38" s="1"/>
  <c r="I75" i="13"/>
  <c r="F69" i="13"/>
  <c r="B82" i="13" s="1"/>
  <c r="E6" i="41"/>
  <c r="E7" i="41" s="1"/>
  <c r="F74" i="12"/>
  <c r="F77" i="12" s="1"/>
  <c r="D14" i="38"/>
  <c r="D15" i="38" s="1"/>
  <c r="D6" i="41"/>
  <c r="D7" i="41" s="1"/>
  <c r="B79" i="13"/>
  <c r="B82" i="12"/>
  <c r="B85" i="12" s="1"/>
  <c r="F74" i="13" l="1"/>
  <c r="F75" i="13"/>
  <c r="B84" i="13"/>
  <c r="F76" i="13"/>
  <c r="B83" i="13"/>
  <c r="B85" i="13" s="1"/>
  <c r="A20" i="35"/>
  <c r="B25" i="35"/>
  <c r="F77" i="13" l="1"/>
  <c r="B87" i="12"/>
  <c r="F79" i="12"/>
  <c r="I83" i="12" s="1"/>
  <c r="B87" i="13"/>
  <c r="D14" i="41" l="1"/>
  <c r="D15" i="41" s="1"/>
  <c r="D6" i="44"/>
  <c r="D7" i="44" s="1"/>
  <c r="B25" i="38"/>
  <c r="A20" i="38"/>
  <c r="B90" i="12"/>
  <c r="B93" i="12" s="1"/>
  <c r="F82" i="12"/>
  <c r="F85" i="12" s="1"/>
  <c r="F79" i="13"/>
  <c r="E14" i="41" l="1"/>
  <c r="E15" i="41" s="1"/>
  <c r="I83" i="13"/>
  <c r="E6" i="44"/>
  <c r="E7" i="44" s="1"/>
  <c r="F82" i="13"/>
  <c r="B90" i="13"/>
  <c r="F84" i="13" l="1"/>
  <c r="B92" i="13"/>
  <c r="F83" i="13"/>
  <c r="B91" i="13"/>
  <c r="B93" i="13" s="1"/>
  <c r="F87" i="13"/>
  <c r="B95" i="13"/>
  <c r="F87" i="12"/>
  <c r="B95" i="12"/>
  <c r="F85" i="13" l="1"/>
  <c r="A20" i="41"/>
  <c r="B25" i="41"/>
</calcChain>
</file>

<file path=xl/sharedStrings.xml><?xml version="1.0" encoding="utf-8"?>
<sst xmlns="http://schemas.openxmlformats.org/spreadsheetml/2006/main" count="2455" uniqueCount="188">
  <si>
    <t>Total Local Funds</t>
  </si>
  <si>
    <t>Expenditures last year met</t>
  </si>
  <si>
    <t>Total State and Local Funds</t>
  </si>
  <si>
    <t>Local Funds Per Capita</t>
  </si>
  <si>
    <t>State and Local Funds Per Capita</t>
  </si>
  <si>
    <t>Any intervening exceptions since last year met</t>
  </si>
  <si>
    <t>Compliance Standard</t>
  </si>
  <si>
    <t>Eligibility Standard (based on budget)</t>
  </si>
  <si>
    <t>State and Local</t>
  </si>
  <si>
    <t>Budgeted amount</t>
  </si>
  <si>
    <t>Compliance Standard (final expenditures)</t>
  </si>
  <si>
    <t>Final Expenditures</t>
  </si>
  <si>
    <t>HIDDEN</t>
  </si>
  <si>
    <t>Eligibility Standard</t>
  </si>
  <si>
    <t>LEA Name</t>
  </si>
  <si>
    <t>LEA ID</t>
  </si>
  <si>
    <t>Start of state fiscal year (month and day)</t>
  </si>
  <si>
    <t>End of state fiscal year (month and day)</t>
  </si>
  <si>
    <t>July 1</t>
  </si>
  <si>
    <t>June 30</t>
  </si>
  <si>
    <t>Enter the requested information below</t>
  </si>
  <si>
    <t>Number of years since MOE last met</t>
  </si>
  <si>
    <t>This cell intentionally left blank.</t>
  </si>
  <si>
    <t>Fiscal Year</t>
  </si>
  <si>
    <t>End of worksheet</t>
  </si>
  <si>
    <t>Year in Calculator</t>
  </si>
  <si>
    <t>Year 1</t>
  </si>
  <si>
    <t>Year 2</t>
  </si>
  <si>
    <t>Year 3</t>
  </si>
  <si>
    <t>Year 4</t>
  </si>
  <si>
    <t>Year 5</t>
  </si>
  <si>
    <t>Year 6</t>
  </si>
  <si>
    <t>Year 7</t>
  </si>
  <si>
    <t>Year 8</t>
  </si>
  <si>
    <t>Year 9</t>
  </si>
  <si>
    <t>Year 10</t>
  </si>
  <si>
    <t>Total Local Funds MOE Result</t>
  </si>
  <si>
    <t>Total State and Local Funds Amount</t>
  </si>
  <si>
    <t>Total State and Local Funds MOE Result</t>
  </si>
  <si>
    <t>Local Funds Per Capita Amount</t>
  </si>
  <si>
    <t>Local Funds Per Capita MOE Result</t>
  </si>
  <si>
    <t>State and Local Funds Per Capita Amount</t>
  </si>
  <si>
    <t>State and Local Funds Per Capita MOE Result</t>
  </si>
  <si>
    <t>years since MOE last met</t>
  </si>
  <si>
    <t>Comparison Year</t>
  </si>
  <si>
    <t>Comparison Year Amount</t>
  </si>
  <si>
    <t>MOE Failure Amount</t>
  </si>
  <si>
    <t>Compliance Standard is not calculated for Year 11. Please start a new file, using this year as year 1.</t>
  </si>
  <si>
    <t>Projected Child Count</t>
  </si>
  <si>
    <t>Child Count</t>
  </si>
  <si>
    <t>Object Description</t>
  </si>
  <si>
    <t>Code 1</t>
  </si>
  <si>
    <t>Code 2</t>
  </si>
  <si>
    <t>Local</t>
  </si>
  <si>
    <t>State</t>
  </si>
  <si>
    <t>Code</t>
  </si>
  <si>
    <t>Grand Totals</t>
  </si>
  <si>
    <t>Per Capita Amounts</t>
  </si>
  <si>
    <t xml:space="preserve">NOTE: SCROLL TO THE RIGHT TO ENTER DATA FOR EXPENDITURES </t>
  </si>
  <si>
    <t>Exception (a) The voluntary departure, by retirement or otherwise, or departure for just cause, of special education</t>
  </si>
  <si>
    <t>or related services personnel. (Only include salary and benefits paid from state and/or local funds)</t>
  </si>
  <si>
    <t>Departing Personnel</t>
  </si>
  <si>
    <t>Position Title</t>
  </si>
  <si>
    <t>Employee Name</t>
  </si>
  <si>
    <t>Reason for Leaving</t>
  </si>
  <si>
    <t>Salary</t>
  </si>
  <si>
    <t>Benefits</t>
  </si>
  <si>
    <t>Total Budget</t>
  </si>
  <si>
    <t>Total Expenditures</t>
  </si>
  <si>
    <t>Departing Total</t>
  </si>
  <si>
    <t>Replacement Personnel</t>
  </si>
  <si>
    <t>Column1</t>
  </si>
  <si>
    <t>Replacement Total</t>
  </si>
  <si>
    <t>Net Projected Reduction (Departing - Replacement)</t>
  </si>
  <si>
    <t>Net Allowed Reduction (Departing - Replacement)</t>
  </si>
  <si>
    <t>Local Total</t>
  </si>
  <si>
    <t>State and Local Total</t>
  </si>
  <si>
    <t>Column2</t>
  </si>
  <si>
    <t>Difference (must be (-) to apply exception)</t>
  </si>
  <si>
    <t>Percent Difference</t>
  </si>
  <si>
    <t>Projected Reduction</t>
  </si>
  <si>
    <t>Allowed Reduction</t>
  </si>
  <si>
    <t>Exception (c) The termination of the obligation of the agency to provide special education to a particular</t>
  </si>
  <si>
    <t>student with a disability that is an exceptionally costly program due to any of the following reasons: left</t>
  </si>
  <si>
    <t>the jurisdiction, aged out, or no longer needs the program of special education.</t>
  </si>
  <si>
    <t>Student Identifier</t>
  </si>
  <si>
    <t>Reason</t>
  </si>
  <si>
    <t>Budgeted Cost</t>
  </si>
  <si>
    <t>Expenditures</t>
  </si>
  <si>
    <t>Total (Net Projected Reduction)</t>
  </si>
  <si>
    <t>Total (Net Allowed Reduction)</t>
  </si>
  <si>
    <t xml:space="preserve">Exception (d) Termination of costly expenditures for long-term purchases, </t>
  </si>
  <si>
    <t>such as the acquisition of equipment or construction of school facilities.</t>
  </si>
  <si>
    <t>Description</t>
  </si>
  <si>
    <t>Budgeted Cost in Final Year</t>
  </si>
  <si>
    <t>Cost in Final Year of Expenditure</t>
  </si>
  <si>
    <t>Budgeted Cost Assumed by SEA</t>
  </si>
  <si>
    <t>Cost Assumed by SEA</t>
  </si>
  <si>
    <t>Adjustment to Maintenance of Effort as Permitted by 34 CFR §300.205</t>
  </si>
  <si>
    <t>Projected Adjustment</t>
  </si>
  <si>
    <t xml:space="preserve">To calculate your adjustment, use </t>
  </si>
  <si>
    <t xml:space="preserve">Adjustment </t>
  </si>
  <si>
    <t xml:space="preserve">Projected Adjustment </t>
  </si>
  <si>
    <t>IDC's MOE Reduction Eligibility Decision Tree and Worksheet.</t>
  </si>
  <si>
    <t>Adjustment Taken</t>
  </si>
  <si>
    <t>Exception (b) A decrease in the enrollment of children with disabilities.</t>
  </si>
  <si>
    <t>Total Exceptions</t>
  </si>
  <si>
    <t>Total Projected Exceptions</t>
  </si>
  <si>
    <t>HIDDEN COLUMNS</t>
  </si>
  <si>
    <t>Not calculated for Year 1.</t>
  </si>
  <si>
    <t>611 Subgrant</t>
  </si>
  <si>
    <t>619 Subgrant</t>
  </si>
  <si>
    <t>Total Subgrant</t>
  </si>
  <si>
    <t>Repayment amount</t>
  </si>
  <si>
    <t>Date SEA made repayment</t>
  </si>
  <si>
    <t>Date LEA repaid SEA (if applicable)</t>
  </si>
  <si>
    <t>Child count last year met</t>
  </si>
  <si>
    <t>MOE Result</t>
  </si>
  <si>
    <t>Comparison year Child Count</t>
  </si>
  <si>
    <t>Not calculated for Year 11. Use this year as Year 1 in a new copy of the Calculator.</t>
  </si>
  <si>
    <t>Information</t>
  </si>
  <si>
    <t>Method</t>
  </si>
  <si>
    <t>Year</t>
  </si>
  <si>
    <t>Source</t>
  </si>
  <si>
    <t>Total</t>
  </si>
  <si>
    <t>MOE Information</t>
  </si>
  <si>
    <t>Repayment data</t>
  </si>
  <si>
    <t>Data for Year 1</t>
  </si>
  <si>
    <t>Data for Year 2</t>
  </si>
  <si>
    <t>Data for Year 3</t>
  </si>
  <si>
    <t>Data for Year 4</t>
  </si>
  <si>
    <t>Data for Year 5</t>
  </si>
  <si>
    <t>Data for Year 6</t>
  </si>
  <si>
    <t>Data for Year 7</t>
  </si>
  <si>
    <t>Data for Year 8</t>
  </si>
  <si>
    <t>Data for Year 9</t>
  </si>
  <si>
    <t>The Center for IDEA Fiscal Reporting makes the Local Educational Agency (LEA) Maintenance of Effort (MOE) Calculator available to state educational agencies (SEAs) for independent use, general guidance, and estimates only.  The LEA MOE Calculator is not intended to replace professional guidance, or any other decision-making method or tool.  SEAs and any other end users are responsible for determining their own legal, regulatory, contractual or other responsibilities, and ensuring that their calculations and reporting are correct.  </t>
  </si>
  <si>
    <t>Local Only</t>
  </si>
  <si>
    <t xml:space="preserve">Does your state have a high cost fund operated by the SEA under §300.704(c)? </t>
  </si>
  <si>
    <t>No</t>
  </si>
  <si>
    <t>Exception (a)</t>
  </si>
  <si>
    <t>Exception (b)</t>
  </si>
  <si>
    <t xml:space="preserve">Exception (c) </t>
  </si>
  <si>
    <t>Exception (d)</t>
  </si>
  <si>
    <t>Adjustment</t>
  </si>
  <si>
    <r>
      <t xml:space="preserve">What state fiscal year do you want to use as Year 1 (the first year for which LEA MOE compliance will be calculated)? </t>
    </r>
    <r>
      <rPr>
        <b/>
        <sz val="11"/>
        <color theme="1"/>
        <rFont val="Calibri"/>
        <family val="2"/>
        <scheme val="minor"/>
      </rPr>
      <t>Enter as a four-digit fiscal year, e.g. 2021.</t>
    </r>
  </si>
  <si>
    <t>Standard</t>
  </si>
  <si>
    <t>Compliance Standard (Expenditures)</t>
  </si>
  <si>
    <t>Eligibility Standard (Budget)</t>
  </si>
  <si>
    <t>Go to the Multi-Year MOE Summary</t>
  </si>
  <si>
    <t>Multi-Year MOE Summary</t>
  </si>
  <si>
    <t>Exception or Adjustment</t>
  </si>
  <si>
    <t>Compliance Standard (Final Expenditures)</t>
  </si>
  <si>
    <t>Local Funds</t>
  </si>
  <si>
    <t>State and Local Funds</t>
  </si>
  <si>
    <t>Projected Local Funds</t>
  </si>
  <si>
    <t>Projected State and Local Funds</t>
  </si>
  <si>
    <t>Last year met (four-digit year)</t>
  </si>
  <si>
    <t>Data for Year 10</t>
  </si>
  <si>
    <t>Total taken Exceptions &amp; Adjustment: Local Funds Only</t>
  </si>
  <si>
    <t>Total taken Exceptions &amp; Adjustment: State and Local Funds</t>
  </si>
  <si>
    <t>Exceptions for the per capita methods will be calculated automatically.</t>
  </si>
  <si>
    <t>For each state fiscal year listed below, enter the total amount of exceptions and adjustments taken.</t>
  </si>
  <si>
    <t>Projected (for eligibility standard)</t>
  </si>
  <si>
    <t>Final (for compliance standard)</t>
  </si>
  <si>
    <t>Exception c</t>
  </si>
  <si>
    <t>Moved</t>
  </si>
  <si>
    <t>Aged out</t>
  </si>
  <si>
    <t>Graduated with a regular diploma</t>
  </si>
  <si>
    <t>No longer needs the program of special education</t>
  </si>
  <si>
    <t>This workbook may contain Personally Identifiable Information (PII). SEAs and LEAs should follow appropriate procedures for protecting PII.</t>
  </si>
  <si>
    <t>Note: This worksheet may contain Personally Identifiable Information (PII), such as staff salary and benefits and student IDs. LEAs should follow appropriate procedures for protecting PII.</t>
  </si>
  <si>
    <t>CALCULATION: TOTAL LOCAL FUNDS</t>
  </si>
  <si>
    <t>The Center for IDEA Fiscal Reporting (CIFR) is a partnership among WestEd, AEM Corporation, American Institutes for Research (AIR), Emerald Consulting, the Frank Porter Graham Child Development Institute at the University of North Carolina at Chapel Hill, the Center for Technical Assistance for Excellence in Special Education (TAESE) at Utah State University, and Westat. The Improve Group is CIFR's external evaluator. 
The contents of this document were developed under a grant from the U.S. Department of Education, #H373F200001. However, those contents do not necessarily represent the policy of the U.S. Department of Education, and you should not assume endorsement by the Federal Government. Project Officers: Jennifer Finch and Charles Kniseley.</t>
  </si>
  <si>
    <t>For each fiscal year, use the dropdown to indicate whether your SEA has a high cost fund.</t>
  </si>
  <si>
    <t>This cell intentionally left blank</t>
  </si>
  <si>
    <t>This column intentionally left blank</t>
  </si>
  <si>
    <t>Cell intentionally left blank</t>
  </si>
  <si>
    <t>CALCULATION: TOTAL STATE AND LOCAL FUNDS</t>
  </si>
  <si>
    <t>CALCULATION: LOCAL FUNDS PER CAPITA</t>
  </si>
  <si>
    <t>CALCULATION: STATE AND LOCAL FUNDS PER CAPITA</t>
  </si>
  <si>
    <r>
      <t xml:space="preserve">Acknowledgments
</t>
    </r>
    <r>
      <rPr>
        <sz val="12"/>
        <color theme="1"/>
        <rFont val="Calibri"/>
        <family val="2"/>
        <scheme val="minor"/>
      </rPr>
      <t xml:space="preserve">Many CIFR staff contributed to this work. Laura Johnson led the development, with contributions from Allison Davey, Fred Edora, Elena Lincoln, and Amanda Pierce. Tom Munk was lead reviewer and Joseph Moseley was production coordinator. CIFR Director Dave Phillips and Deputy Director Jenifer Harr-Robins guided its development.
Suggested citation: Center for IDEA Fiscal Reporting. (2021). </t>
    </r>
    <r>
      <rPr>
        <i/>
        <sz val="12"/>
        <color theme="1"/>
        <rFont val="Calibri"/>
        <family val="2"/>
        <scheme val="minor"/>
      </rPr>
      <t>Local educational agency maintenance of effort calculator v2.0</t>
    </r>
    <r>
      <rPr>
        <sz val="12"/>
        <color theme="1"/>
        <rFont val="Calibri"/>
        <family val="2"/>
        <scheme val="minor"/>
      </rPr>
      <t>. San Francisco, CA: WestEd.</t>
    </r>
  </si>
  <si>
    <t>https://cifr.wested.org/resource/lea-moe-calculator/</t>
  </si>
  <si>
    <t xml:space="preserve">Version 2.0, June 2021. Please ensure that you are using the most recent version of the Calculator by going to: </t>
  </si>
  <si>
    <r>
      <t xml:space="preserve">Connecticut
Local Educational Agency Maintenance of Effort Calculator
</t>
    </r>
    <r>
      <rPr>
        <sz val="16"/>
        <color rgb="FF000000"/>
        <rFont val="Calibri"/>
        <family val="2"/>
        <scheme val="minor"/>
      </rPr>
      <t>v2.0, published June 2021</t>
    </r>
    <r>
      <rPr>
        <sz val="36"/>
        <color rgb="FF000000"/>
        <rFont val="Calibri"/>
        <family val="2"/>
        <scheme val="minor"/>
      </rPr>
      <t xml:space="preserve">
</t>
    </r>
  </si>
  <si>
    <t xml:space="preserve">Eligibility Standard is not calculated for Year 1. Please enter eligibility </t>
  </si>
  <si>
    <t xml:space="preserve">data on the Year 1 Amounts and Exc &amp; Adj tabs to allow for calculation of  </t>
  </si>
  <si>
    <t>certain elements for subsequent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</si>
</sst>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0"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sz val="12"/>
      <name val="Calibri"/>
      <family val="2"/>
      <scheme val="minor"/>
    </font>
    <font>
      <b/>
      <sz val="12"/>
      <name val="Calibri"/>
      <family val="2"/>
      <scheme val="minor"/>
    </font>
    <font>
      <sz val="12"/>
      <color theme="1"/>
      <name val="Calibri"/>
      <family val="2"/>
      <scheme val="minor"/>
    </font>
    <font>
      <sz val="14"/>
      <color theme="1"/>
      <name val="Calibri"/>
      <family val="2"/>
      <scheme val="minor"/>
    </font>
    <font>
      <sz val="12"/>
      <color theme="0"/>
      <name val="Calibri"/>
      <family val="2"/>
      <scheme val="minor"/>
    </font>
    <font>
      <b/>
      <sz val="14"/>
      <name val="Calibri"/>
      <family val="2"/>
      <scheme val="minor"/>
    </font>
    <font>
      <sz val="9"/>
      <color theme="0"/>
      <name val="Calibri"/>
      <family val="2"/>
      <scheme val="minor"/>
    </font>
    <font>
      <sz val="9"/>
      <color theme="1"/>
      <name val="Calibri"/>
      <family val="2"/>
      <scheme val="minor"/>
    </font>
    <font>
      <i/>
      <sz val="9"/>
      <color rgb="FF000000"/>
      <name val="Calibri"/>
      <family val="2"/>
      <scheme val="minor"/>
    </font>
    <font>
      <b/>
      <sz val="14"/>
      <color theme="0"/>
      <name val="Calibri"/>
      <family val="2"/>
      <scheme val="minor"/>
    </font>
    <font>
      <u/>
      <sz val="12"/>
      <color theme="10"/>
      <name val="Calibri"/>
      <family val="2"/>
      <scheme val="minor"/>
    </font>
    <font>
      <b/>
      <sz val="9"/>
      <color theme="0"/>
      <name val="Calibri"/>
      <family val="2"/>
      <scheme val="minor"/>
    </font>
    <font>
      <b/>
      <sz val="9"/>
      <color theme="1"/>
      <name val="Calibri"/>
      <family val="2"/>
      <scheme val="minor"/>
    </font>
    <font>
      <b/>
      <sz val="12"/>
      <color rgb="FF000000"/>
      <name val="Calibri"/>
      <family val="2"/>
      <scheme val="minor"/>
    </font>
    <font>
      <sz val="12"/>
      <color rgb="FF000000"/>
      <name val="Calibri"/>
      <family val="2"/>
      <scheme val="minor"/>
    </font>
    <font>
      <b/>
      <sz val="12"/>
      <color theme="0"/>
      <name val="Calibri"/>
      <family val="2"/>
      <scheme val="minor"/>
    </font>
    <font>
      <sz val="14"/>
      <name val="Calibri"/>
      <family val="2"/>
      <scheme val="minor"/>
    </font>
    <font>
      <b/>
      <sz val="14"/>
      <color rgb="FFFF0000"/>
      <name val="Calibri"/>
      <family val="2"/>
      <scheme val="minor"/>
    </font>
    <font>
      <b/>
      <sz val="16"/>
      <color theme="1"/>
      <name val="Calibri"/>
      <family val="2"/>
      <scheme val="minor"/>
    </font>
    <font>
      <sz val="16"/>
      <color theme="1"/>
      <name val="Calibri"/>
      <family val="2"/>
      <scheme val="minor"/>
    </font>
    <font>
      <sz val="36"/>
      <color rgb="FF000000"/>
      <name val="Calibri"/>
      <family val="2"/>
      <scheme val="minor"/>
    </font>
    <font>
      <sz val="16"/>
      <color rgb="FF000000"/>
      <name val="Calibri"/>
      <family val="2"/>
      <scheme val="minor"/>
    </font>
    <font>
      <b/>
      <sz val="11"/>
      <color rgb="FF000000"/>
      <name val="Calibri"/>
      <family val="2"/>
      <scheme val="minor"/>
    </font>
    <font>
      <sz val="11"/>
      <name val="Calibri"/>
      <family val="2"/>
      <scheme val="minor"/>
    </font>
    <font>
      <sz val="8"/>
      <name val="Calibri"/>
      <family val="2"/>
      <scheme val="minor"/>
    </font>
    <font>
      <sz val="12"/>
      <color rgb="FF006100"/>
      <name val="Calibri"/>
      <family val="2"/>
      <scheme val="minor"/>
    </font>
    <font>
      <b/>
      <u/>
      <sz val="14"/>
      <color theme="10"/>
      <name val="Calibri"/>
      <family val="2"/>
      <scheme val="minor"/>
    </font>
    <font>
      <b/>
      <sz val="12"/>
      <color rgb="FFFF0000"/>
      <name val="Calibri"/>
      <family val="2"/>
      <scheme val="minor"/>
    </font>
    <font>
      <sz val="11"/>
      <color theme="0"/>
      <name val="Calibri"/>
      <family val="2"/>
      <scheme val="minor"/>
    </font>
    <font>
      <b/>
      <sz val="11"/>
      <name val="Calibri"/>
      <family val="2"/>
      <scheme val="minor"/>
    </font>
    <font>
      <sz val="16"/>
      <color theme="0"/>
      <name val="Calibri"/>
      <family val="2"/>
      <scheme val="minor"/>
    </font>
    <font>
      <i/>
      <sz val="12"/>
      <color theme="1"/>
      <name val="Calibri"/>
      <family val="2"/>
      <scheme val="minor"/>
    </font>
    <font>
      <sz val="12"/>
      <color rgb="FFA20000"/>
      <name val="Calibri"/>
      <family val="2"/>
      <scheme val="minor"/>
    </font>
    <font>
      <sz val="14"/>
      <color rgb="FFA20000"/>
      <name val="Calibri"/>
      <family val="2"/>
      <scheme val="minor"/>
    </font>
    <font>
      <sz val="13"/>
      <color rgb="FFA20000"/>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C6EFCE"/>
        <bgColor indexed="64"/>
      </patternFill>
    </fill>
    <fill>
      <patternFill patternType="solid">
        <fgColor rgb="FFD9E1F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thin">
        <color indexed="64"/>
      </bottom>
      <diagonal/>
    </border>
    <border>
      <left style="thin">
        <color auto="1"/>
      </left>
      <right style="thick">
        <color auto="1"/>
      </right>
      <top/>
      <bottom style="thick">
        <color auto="1"/>
      </bottom>
      <diagonal/>
    </border>
    <border>
      <left style="thick">
        <color auto="1"/>
      </left>
      <right style="thin">
        <color auto="1"/>
      </right>
      <top/>
      <bottom style="thick">
        <color auto="1"/>
      </bottom>
      <diagonal/>
    </border>
    <border>
      <left style="thin">
        <color auto="1"/>
      </left>
      <right style="thick">
        <color auto="1"/>
      </right>
      <top/>
      <bottom style="thin">
        <color auto="1"/>
      </bottom>
      <diagonal/>
    </border>
    <border>
      <left style="thick">
        <color auto="1"/>
      </left>
      <right style="thin">
        <color auto="1"/>
      </right>
      <top/>
      <bottom style="thin">
        <color auto="1"/>
      </bottom>
      <diagonal/>
    </border>
    <border>
      <left style="thick">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ck">
        <color auto="1"/>
      </left>
      <right style="thin">
        <color auto="1"/>
      </right>
      <top style="thick">
        <color auto="1"/>
      </top>
      <bottom style="thick">
        <color auto="1"/>
      </bottom>
      <diagonal/>
    </border>
    <border>
      <left style="thick">
        <color auto="1"/>
      </left>
      <right style="thin">
        <color auto="1"/>
      </right>
      <top style="thin">
        <color auto="1"/>
      </top>
      <bottom style="thick">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diagonal/>
    </border>
    <border>
      <left/>
      <right style="thin">
        <color auto="1"/>
      </right>
      <top style="medium">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bottom/>
      <diagonal/>
    </border>
    <border>
      <left style="thin">
        <color auto="1"/>
      </left>
      <right style="medium">
        <color auto="1"/>
      </right>
      <top style="thin">
        <color auto="1"/>
      </top>
      <bottom/>
      <diagonal/>
    </border>
    <border>
      <left style="thin">
        <color theme="0"/>
      </left>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bottom style="medium">
        <color auto="1"/>
      </bottom>
      <diagonal/>
    </border>
    <border>
      <left style="thin">
        <color auto="1"/>
      </left>
      <right style="thin">
        <color theme="0"/>
      </right>
      <top style="thin">
        <color auto="1"/>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auto="1"/>
      </top>
      <bottom style="thin">
        <color theme="0"/>
      </bottom>
      <diagonal/>
    </border>
    <border>
      <left style="thin">
        <color theme="0"/>
      </left>
      <right style="thin">
        <color theme="0"/>
      </right>
      <top style="thin">
        <color theme="0"/>
      </top>
      <bottom/>
      <diagonal/>
    </border>
    <border>
      <left style="thin">
        <color theme="0"/>
      </left>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theme="0"/>
      </right>
      <top style="thin">
        <color theme="0"/>
      </top>
      <bottom/>
      <diagonal/>
    </border>
    <border>
      <left style="thin">
        <color theme="0"/>
      </left>
      <right/>
      <top style="thin">
        <color theme="0"/>
      </top>
      <bottom/>
      <diagonal/>
    </border>
    <border>
      <left style="thick">
        <color auto="1"/>
      </left>
      <right style="thin">
        <color auto="1"/>
      </right>
      <top/>
      <bottom/>
      <diagonal/>
    </border>
    <border>
      <left style="thick">
        <color auto="1"/>
      </left>
      <right style="thin">
        <color auto="1"/>
      </right>
      <top style="thick">
        <color auto="1"/>
      </top>
      <bottom style="thin">
        <color auto="1"/>
      </bottom>
      <diagonal/>
    </border>
    <border>
      <left/>
      <right style="thick">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ck">
        <color auto="1"/>
      </top>
      <bottom style="thin">
        <color auto="1"/>
      </bottom>
      <diagonal/>
    </border>
    <border>
      <left/>
      <right/>
      <top style="thick">
        <color auto="1"/>
      </top>
      <bottom/>
      <diagonal/>
    </border>
    <border>
      <left/>
      <right/>
      <top/>
      <bottom style="thick">
        <color auto="1"/>
      </bottom>
      <diagonal/>
    </border>
    <border>
      <left/>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top/>
      <bottom style="thick">
        <color auto="1"/>
      </bottom>
      <diagonal/>
    </border>
    <border>
      <left style="thick">
        <color auto="1"/>
      </left>
      <right style="thin">
        <color auto="1"/>
      </right>
      <top style="thin">
        <color auto="1"/>
      </top>
      <bottom/>
      <diagonal/>
    </border>
    <border>
      <left style="thick">
        <color auto="1"/>
      </left>
      <right/>
      <top style="thin">
        <color auto="1"/>
      </top>
      <bottom style="thin">
        <color auto="1"/>
      </bottom>
      <diagonal/>
    </border>
    <border>
      <left/>
      <right style="medium">
        <color indexed="64"/>
      </right>
      <top style="medium">
        <color indexed="64"/>
      </top>
      <bottom style="thin">
        <color indexed="64"/>
      </bottom>
      <diagonal/>
    </border>
  </borders>
  <cellStyleXfs count="7">
    <xf numFmtId="0" fontId="0"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44" fontId="7" fillId="0" borderId="0" applyFont="0" applyFill="0" applyBorder="0" applyAlignment="0" applyProtection="0"/>
    <xf numFmtId="0" fontId="15" fillId="0" borderId="0" applyNumberFormat="0" applyFill="0" applyBorder="0" applyAlignment="0" applyProtection="0"/>
    <xf numFmtId="9" fontId="7" fillId="0" borderId="0" applyFont="0" applyFill="0" applyBorder="0" applyAlignment="0" applyProtection="0"/>
  </cellStyleXfs>
  <cellXfs count="397">
    <xf numFmtId="0" fontId="0" fillId="0" borderId="0" xfId="0"/>
    <xf numFmtId="0" fontId="0" fillId="0" borderId="0" xfId="0" applyAlignment="1">
      <alignment wrapText="1"/>
    </xf>
    <xf numFmtId="0" fontId="1" fillId="0" borderId="0" xfId="0" applyFont="1"/>
    <xf numFmtId="0" fontId="0" fillId="0" borderId="1" xfId="0" applyBorder="1"/>
    <xf numFmtId="0" fontId="0" fillId="0" borderId="0" xfId="0" applyAlignment="1">
      <alignment horizontal="centerContinuous"/>
    </xf>
    <xf numFmtId="0" fontId="2" fillId="0" borderId="0" xfId="0" applyFont="1" applyAlignment="1">
      <alignment horizontal="centerContinuous"/>
    </xf>
    <xf numFmtId="0" fontId="1" fillId="0" borderId="0" xfId="0" applyFont="1" applyAlignment="1">
      <alignment wrapText="1"/>
    </xf>
    <xf numFmtId="0" fontId="5" fillId="3" borderId="2" xfId="0" applyFont="1" applyFill="1" applyBorder="1"/>
    <xf numFmtId="0" fontId="1" fillId="0" borderId="0" xfId="0" applyFont="1" applyAlignment="1">
      <alignment horizontal="centerContinuous" wrapText="1"/>
    </xf>
    <xf numFmtId="44" fontId="0" fillId="0" borderId="0" xfId="0" applyNumberFormat="1"/>
    <xf numFmtId="0" fontId="7" fillId="0" borderId="0" xfId="3"/>
    <xf numFmtId="0" fontId="2" fillId="0" borderId="0" xfId="3" applyFont="1"/>
    <xf numFmtId="0" fontId="9" fillId="0" borderId="0" xfId="3" applyFont="1" applyAlignment="1">
      <alignment horizontal="center"/>
    </xf>
    <xf numFmtId="0" fontId="11" fillId="0" borderId="0" xfId="3" applyFont="1" applyAlignment="1">
      <alignment horizontal="center"/>
    </xf>
    <xf numFmtId="0" fontId="12" fillId="0" borderId="0" xfId="3" applyFont="1"/>
    <xf numFmtId="0" fontId="2" fillId="0" borderId="0" xfId="3" applyFont="1" applyAlignment="1">
      <alignment horizontal="center"/>
    </xf>
    <xf numFmtId="0" fontId="2" fillId="0" borderId="5" xfId="0" applyFont="1" applyBorder="1" applyAlignment="1">
      <alignment horizontal="centerContinuous"/>
    </xf>
    <xf numFmtId="44" fontId="0" fillId="0" borderId="1" xfId="0" applyNumberFormat="1" applyBorder="1"/>
    <xf numFmtId="0" fontId="3" fillId="0" borderId="0" xfId="0" applyFont="1" applyAlignment="1">
      <alignment horizontal="centerContinuous"/>
    </xf>
    <xf numFmtId="0" fontId="2" fillId="0" borderId="19" xfId="3" applyFont="1" applyBorder="1" applyAlignment="1">
      <alignment vertical="center"/>
    </xf>
    <xf numFmtId="0" fontId="7" fillId="0" borderId="0" xfId="3" applyAlignment="1">
      <alignment vertical="center"/>
    </xf>
    <xf numFmtId="0" fontId="2" fillId="0" borderId="0" xfId="3" applyFont="1" applyAlignment="1">
      <alignment vertical="center"/>
    </xf>
    <xf numFmtId="0" fontId="3" fillId="0" borderId="20" xfId="3" applyFont="1" applyBorder="1" applyAlignment="1">
      <alignment horizontal="centerContinuous" vertical="center"/>
    </xf>
    <xf numFmtId="0" fontId="3" fillId="0" borderId="21" xfId="3" applyFont="1" applyBorder="1" applyAlignment="1">
      <alignment horizontal="centerContinuous" vertical="center"/>
    </xf>
    <xf numFmtId="0" fontId="3" fillId="0" borderId="22" xfId="3" applyFont="1" applyBorder="1" applyAlignment="1">
      <alignment horizontal="centerContinuous" vertical="center"/>
    </xf>
    <xf numFmtId="0" fontId="3" fillId="0" borderId="0" xfId="3" applyFont="1" applyAlignment="1">
      <alignment vertical="center"/>
    </xf>
    <xf numFmtId="0" fontId="3" fillId="0" borderId="23" xfId="3" applyFont="1" applyBorder="1" applyAlignment="1">
      <alignment vertical="center"/>
    </xf>
    <xf numFmtId="0" fontId="3" fillId="0" borderId="24" xfId="3" applyFont="1" applyBorder="1" applyAlignment="1">
      <alignment vertical="center"/>
    </xf>
    <xf numFmtId="0" fontId="2" fillId="0" borderId="25" xfId="3" applyFont="1" applyBorder="1" applyAlignment="1">
      <alignment horizontal="centerContinuous" vertical="center"/>
    </xf>
    <xf numFmtId="0" fontId="2" fillId="0" borderId="26" xfId="3" applyFont="1" applyBorder="1" applyAlignment="1">
      <alignment horizontal="centerContinuous" vertical="center"/>
    </xf>
    <xf numFmtId="0" fontId="2" fillId="0" borderId="27" xfId="3" applyFont="1" applyBorder="1" applyAlignment="1">
      <alignment horizontal="centerContinuous" vertical="center"/>
    </xf>
    <xf numFmtId="0" fontId="3" fillId="0" borderId="28" xfId="3" applyFont="1" applyBorder="1" applyAlignment="1">
      <alignment vertical="center"/>
    </xf>
    <xf numFmtId="0" fontId="3" fillId="0" borderId="27" xfId="3" applyFont="1" applyBorder="1" applyAlignment="1">
      <alignment horizontal="centerContinuous" vertical="center"/>
    </xf>
    <xf numFmtId="0" fontId="6" fillId="3" borderId="29" xfId="3" applyFont="1" applyFill="1" applyBorder="1" applyAlignment="1" applyProtection="1">
      <alignment vertical="center" wrapText="1"/>
      <protection locked="0"/>
    </xf>
    <xf numFmtId="0" fontId="6" fillId="3" borderId="30" xfId="3" applyFont="1" applyFill="1" applyBorder="1" applyAlignment="1" applyProtection="1">
      <alignment vertical="center" wrapText="1"/>
      <protection locked="0"/>
    </xf>
    <xf numFmtId="0" fontId="6" fillId="3" borderId="17" xfId="3" applyFont="1" applyFill="1" applyBorder="1" applyAlignment="1" applyProtection="1">
      <alignment vertical="center" wrapText="1"/>
      <protection locked="0"/>
    </xf>
    <xf numFmtId="0" fontId="6" fillId="3" borderId="17" xfId="3" applyFont="1" applyFill="1" applyBorder="1" applyAlignment="1">
      <alignment horizontal="center" vertical="center" wrapText="1"/>
    </xf>
    <xf numFmtId="0" fontId="3" fillId="0" borderId="0" xfId="3" applyFont="1" applyAlignment="1">
      <alignment horizontal="center" wrapText="1"/>
    </xf>
    <xf numFmtId="44" fontId="0" fillId="3" borderId="13" xfId="4" applyFont="1" applyFill="1" applyBorder="1" applyAlignment="1">
      <alignment vertical="center"/>
    </xf>
    <xf numFmtId="0" fontId="7" fillId="3" borderId="0" xfId="3" applyFill="1" applyAlignment="1">
      <alignment vertical="center"/>
    </xf>
    <xf numFmtId="0" fontId="7" fillId="3" borderId="35" xfId="3" applyFill="1" applyBorder="1" applyAlignment="1">
      <alignment vertical="center"/>
    </xf>
    <xf numFmtId="0" fontId="3" fillId="3" borderId="0" xfId="3" applyFont="1" applyFill="1" applyAlignment="1">
      <alignment horizontal="right" vertical="center"/>
    </xf>
    <xf numFmtId="44" fontId="3" fillId="3" borderId="36" xfId="4" applyFont="1" applyFill="1" applyBorder="1" applyAlignment="1">
      <alignment vertical="center"/>
    </xf>
    <xf numFmtId="0" fontId="3" fillId="3" borderId="0" xfId="3" applyFont="1" applyFill="1" applyAlignment="1">
      <alignment vertical="center"/>
    </xf>
    <xf numFmtId="0" fontId="2" fillId="3" borderId="0" xfId="3" applyFont="1" applyFill="1" applyAlignment="1">
      <alignment horizontal="right" vertical="center"/>
    </xf>
    <xf numFmtId="0" fontId="14" fillId="0" borderId="0" xfId="3" applyFont="1" applyAlignment="1">
      <alignment horizontal="center" vertical="center"/>
    </xf>
    <xf numFmtId="0" fontId="16" fillId="0" borderId="0" xfId="3" applyFont="1" applyAlignment="1">
      <alignment horizontal="center" vertical="center"/>
    </xf>
    <xf numFmtId="0" fontId="17" fillId="0" borderId="0" xfId="3" applyFont="1" applyAlignment="1">
      <alignment vertical="center"/>
    </xf>
    <xf numFmtId="0" fontId="7" fillId="2" borderId="19" xfId="3" applyFill="1" applyBorder="1" applyAlignment="1" applyProtection="1">
      <alignment vertical="center"/>
      <protection locked="0"/>
    </xf>
    <xf numFmtId="0" fontId="7" fillId="2" borderId="31" xfId="3" applyFill="1" applyBorder="1" applyAlignment="1" applyProtection="1">
      <alignment vertical="center"/>
      <protection locked="0"/>
    </xf>
    <xf numFmtId="0" fontId="7" fillId="2" borderId="32" xfId="3" applyFill="1" applyBorder="1" applyAlignment="1" applyProtection="1">
      <alignment vertical="center"/>
      <protection locked="0"/>
    </xf>
    <xf numFmtId="0" fontId="7" fillId="2" borderId="13" xfId="3" applyFill="1" applyBorder="1" applyAlignment="1" applyProtection="1">
      <alignment vertical="center"/>
      <protection locked="0"/>
    </xf>
    <xf numFmtId="44" fontId="0" fillId="2" borderId="13" xfId="4" applyFont="1" applyFill="1" applyBorder="1" applyAlignment="1" applyProtection="1">
      <alignment vertical="center"/>
      <protection locked="0"/>
    </xf>
    <xf numFmtId="0" fontId="7" fillId="2" borderId="33" xfId="3" applyFill="1" applyBorder="1" applyAlignment="1" applyProtection="1">
      <alignment vertical="center"/>
      <protection locked="0"/>
    </xf>
    <xf numFmtId="0" fontId="7" fillId="2" borderId="1" xfId="3" applyFill="1" applyBorder="1" applyAlignment="1" applyProtection="1">
      <alignment vertical="center"/>
      <protection locked="0"/>
    </xf>
    <xf numFmtId="0" fontId="7" fillId="2" borderId="34" xfId="3" applyFill="1" applyBorder="1" applyAlignment="1" applyProtection="1">
      <alignment vertical="center"/>
      <protection locked="0"/>
    </xf>
    <xf numFmtId="44" fontId="0" fillId="2" borderId="34" xfId="4" applyFont="1" applyFill="1" applyBorder="1" applyAlignment="1" applyProtection="1">
      <alignment vertical="center"/>
      <protection locked="0"/>
    </xf>
    <xf numFmtId="0" fontId="7" fillId="3" borderId="0" xfId="3" applyFill="1"/>
    <xf numFmtId="0" fontId="2" fillId="3" borderId="0" xfId="3" applyFont="1" applyFill="1"/>
    <xf numFmtId="0" fontId="18" fillId="0" borderId="20" xfId="3" applyFont="1" applyBorder="1" applyAlignment="1">
      <alignment horizontal="centerContinuous" vertical="center"/>
    </xf>
    <xf numFmtId="0" fontId="18" fillId="0" borderId="21" xfId="3" applyFont="1" applyBorder="1" applyAlignment="1">
      <alignment horizontal="centerContinuous" vertical="center"/>
    </xf>
    <xf numFmtId="0" fontId="18" fillId="0" borderId="22" xfId="3" applyFont="1" applyBorder="1" applyAlignment="1">
      <alignment horizontal="centerContinuous" vertical="center"/>
    </xf>
    <xf numFmtId="0" fontId="18" fillId="0" borderId="39" xfId="3" applyFont="1" applyBorder="1" applyAlignment="1">
      <alignment vertical="center"/>
    </xf>
    <xf numFmtId="0" fontId="7" fillId="3" borderId="0" xfId="3" applyFill="1" applyAlignment="1">
      <alignment horizontal="center"/>
    </xf>
    <xf numFmtId="0" fontId="18" fillId="0" borderId="23" xfId="3" applyFont="1" applyBorder="1" applyAlignment="1">
      <alignment horizontal="left" vertical="center"/>
    </xf>
    <xf numFmtId="0" fontId="18" fillId="0" borderId="24" xfId="3" applyFont="1" applyBorder="1" applyAlignment="1">
      <alignment horizontal="center" vertical="center"/>
    </xf>
    <xf numFmtId="0" fontId="18" fillId="0" borderId="24" xfId="3" applyFont="1" applyBorder="1" applyAlignment="1">
      <alignment horizontal="left" vertical="center"/>
    </xf>
    <xf numFmtId="0" fontId="18" fillId="0" borderId="27" xfId="3" applyFont="1" applyBorder="1" applyAlignment="1">
      <alignment horizontal="left" vertical="center"/>
    </xf>
    <xf numFmtId="0" fontId="18" fillId="0" borderId="0" xfId="3" applyFont="1" applyAlignment="1">
      <alignment horizontal="left" vertical="center"/>
    </xf>
    <xf numFmtId="0" fontId="18" fillId="3" borderId="0" xfId="3" applyFont="1" applyFill="1" applyAlignment="1">
      <alignment horizontal="left" vertical="center"/>
    </xf>
    <xf numFmtId="0" fontId="18" fillId="0" borderId="39" xfId="3" applyFont="1" applyBorder="1" applyAlignment="1">
      <alignment horizontal="left" vertical="top"/>
    </xf>
    <xf numFmtId="0" fontId="18" fillId="0" borderId="0" xfId="3" applyFont="1" applyAlignment="1">
      <alignment horizontal="center" vertical="center"/>
    </xf>
    <xf numFmtId="0" fontId="18" fillId="0" borderId="37" xfId="3" applyFont="1" applyBorder="1" applyAlignment="1">
      <alignment horizontal="left" vertical="center"/>
    </xf>
    <xf numFmtId="0" fontId="18" fillId="3" borderId="0" xfId="3" applyFont="1" applyFill="1" applyAlignment="1">
      <alignment horizontal="center" vertical="center"/>
    </xf>
    <xf numFmtId="0" fontId="18" fillId="0" borderId="39" xfId="3" applyFont="1" applyBorder="1" applyAlignment="1">
      <alignment horizontal="left" indent="40"/>
    </xf>
    <xf numFmtId="0" fontId="18" fillId="0" borderId="0" xfId="3" applyFont="1" applyAlignment="1">
      <alignment horizontal="centerContinuous" vertical="center"/>
    </xf>
    <xf numFmtId="0" fontId="18" fillId="0" borderId="37" xfId="3" applyFont="1" applyBorder="1" applyAlignment="1">
      <alignment horizontal="centerContinuous" vertical="center"/>
    </xf>
    <xf numFmtId="0" fontId="6" fillId="3" borderId="40" xfId="3" applyFont="1" applyFill="1" applyBorder="1" applyAlignment="1">
      <alignment horizontal="centerContinuous" vertical="center"/>
    </xf>
    <xf numFmtId="0" fontId="6" fillId="3" borderId="25" xfId="3" applyFont="1" applyFill="1" applyBorder="1" applyAlignment="1">
      <alignment horizontal="centerContinuous" vertical="center"/>
    </xf>
    <xf numFmtId="0" fontId="6" fillId="3" borderId="25" xfId="3" applyFont="1" applyFill="1" applyBorder="1" applyAlignment="1">
      <alignment horizontal="center" vertical="center"/>
    </xf>
    <xf numFmtId="0" fontId="6" fillId="3" borderId="41" xfId="3" applyFont="1" applyFill="1" applyBorder="1" applyAlignment="1">
      <alignment horizontal="center" vertical="center"/>
    </xf>
    <xf numFmtId="0" fontId="5" fillId="3" borderId="4" xfId="3" applyFont="1" applyFill="1" applyBorder="1" applyAlignment="1">
      <alignment horizontal="center"/>
    </xf>
    <xf numFmtId="0" fontId="6" fillId="3" borderId="0" xfId="3" applyFont="1" applyFill="1" applyAlignment="1">
      <alignment horizontal="centerContinuous" vertical="center"/>
    </xf>
    <xf numFmtId="44" fontId="19" fillId="3" borderId="38" xfId="4" applyFont="1" applyFill="1" applyBorder="1" applyAlignment="1" applyProtection="1">
      <alignment horizontal="left" vertical="center"/>
    </xf>
    <xf numFmtId="44" fontId="19" fillId="3" borderId="0" xfId="4" applyFont="1" applyFill="1" applyBorder="1" applyAlignment="1" applyProtection="1">
      <alignment horizontal="left" vertical="center"/>
    </xf>
    <xf numFmtId="0" fontId="7" fillId="3" borderId="42" xfId="3" applyFill="1" applyBorder="1"/>
    <xf numFmtId="0" fontId="18" fillId="3" borderId="43" xfId="3" applyFont="1" applyFill="1" applyBorder="1" applyAlignment="1">
      <alignment horizontal="center" vertical="center"/>
    </xf>
    <xf numFmtId="0" fontId="18" fillId="3" borderId="44" xfId="3" applyFont="1" applyFill="1" applyBorder="1" applyAlignment="1">
      <alignment horizontal="left" vertical="center"/>
    </xf>
    <xf numFmtId="44" fontId="19" fillId="3" borderId="19" xfId="4" applyFont="1" applyFill="1" applyBorder="1" applyAlignment="1" applyProtection="1">
      <alignment horizontal="left" vertical="center"/>
    </xf>
    <xf numFmtId="44" fontId="19" fillId="3" borderId="45" xfId="4" applyFont="1" applyFill="1" applyBorder="1" applyAlignment="1" applyProtection="1">
      <alignment horizontal="left" vertical="center"/>
    </xf>
    <xf numFmtId="0" fontId="18" fillId="0" borderId="23" xfId="3" applyFont="1" applyBorder="1" applyAlignment="1">
      <alignment horizontal="left" indent="40"/>
    </xf>
    <xf numFmtId="0" fontId="18" fillId="0" borderId="24" xfId="3" applyFont="1" applyBorder="1" applyAlignment="1">
      <alignment horizontal="centerContinuous" vertical="center"/>
    </xf>
    <xf numFmtId="0" fontId="18" fillId="0" borderId="27" xfId="3" applyFont="1" applyBorder="1" applyAlignment="1">
      <alignment horizontal="centerContinuous" vertical="center"/>
    </xf>
    <xf numFmtId="44" fontId="19" fillId="3" borderId="0" xfId="3" applyNumberFormat="1" applyFont="1" applyFill="1" applyAlignment="1">
      <alignment horizontal="left" vertical="center"/>
    </xf>
    <xf numFmtId="0" fontId="18" fillId="3" borderId="3" xfId="3" applyFont="1" applyFill="1" applyBorder="1" applyAlignment="1">
      <alignment horizontal="center" vertical="center"/>
    </xf>
    <xf numFmtId="0" fontId="18" fillId="3" borderId="41" xfId="3" applyFont="1" applyFill="1" applyBorder="1" applyAlignment="1">
      <alignment horizontal="center" vertical="center"/>
    </xf>
    <xf numFmtId="0" fontId="20" fillId="3" borderId="25" xfId="3" applyFont="1" applyFill="1" applyBorder="1" applyAlignment="1">
      <alignment vertical="center"/>
    </xf>
    <xf numFmtId="0" fontId="18" fillId="3" borderId="0" xfId="3" applyFont="1" applyFill="1" applyAlignment="1">
      <alignment horizontal="centerContinuous" vertical="center"/>
    </xf>
    <xf numFmtId="44" fontId="19" fillId="3" borderId="0" xfId="3" applyNumberFormat="1" applyFont="1" applyFill="1" applyAlignment="1">
      <alignment horizontal="center" vertical="center"/>
    </xf>
    <xf numFmtId="0" fontId="19" fillId="4" borderId="34" xfId="3" applyFont="1" applyFill="1" applyBorder="1" applyAlignment="1" applyProtection="1">
      <alignment vertical="center"/>
      <protection locked="0"/>
    </xf>
    <xf numFmtId="0" fontId="7" fillId="3" borderId="33" xfId="3" applyFill="1" applyBorder="1"/>
    <xf numFmtId="0" fontId="18" fillId="3" borderId="46" xfId="3" applyFont="1" applyFill="1" applyBorder="1" applyAlignment="1">
      <alignment horizontal="center" vertical="center"/>
    </xf>
    <xf numFmtId="0" fontId="18" fillId="3" borderId="47" xfId="3" applyFont="1" applyFill="1" applyBorder="1" applyAlignment="1">
      <alignment horizontal="left" vertical="center"/>
    </xf>
    <xf numFmtId="44" fontId="19" fillId="3" borderId="1" xfId="4" applyFont="1" applyFill="1" applyBorder="1" applyAlignment="1" applyProtection="1">
      <alignment horizontal="left" vertical="center"/>
    </xf>
    <xf numFmtId="0" fontId="7" fillId="0" borderId="48" xfId="3" applyBorder="1"/>
    <xf numFmtId="0" fontId="18" fillId="0" borderId="49" xfId="3" applyFont="1" applyBorder="1" applyAlignment="1">
      <alignment horizontal="center" vertical="center"/>
    </xf>
    <xf numFmtId="0" fontId="7" fillId="3" borderId="49" xfId="3" applyFill="1" applyBorder="1"/>
    <xf numFmtId="0" fontId="18" fillId="0" borderId="49" xfId="3" applyFont="1" applyBorder="1" applyAlignment="1">
      <alignment horizontal="right" vertical="center"/>
    </xf>
    <xf numFmtId="44" fontId="18" fillId="0" borderId="45" xfId="3" applyNumberFormat="1" applyFont="1" applyBorder="1" applyAlignment="1">
      <alignment horizontal="left" vertical="center"/>
    </xf>
    <xf numFmtId="44" fontId="19" fillId="0" borderId="0" xfId="3" applyNumberFormat="1" applyFont="1" applyAlignment="1">
      <alignment horizontal="left" vertical="center"/>
    </xf>
    <xf numFmtId="0" fontId="18" fillId="0" borderId="49" xfId="3" applyFont="1" applyBorder="1" applyAlignment="1">
      <alignment horizontal="left" vertical="center"/>
    </xf>
    <xf numFmtId="0" fontId="18" fillId="0" borderId="23" xfId="3" applyFont="1" applyBorder="1" applyAlignment="1">
      <alignment vertical="center"/>
    </xf>
    <xf numFmtId="0" fontId="18" fillId="0" borderId="24" xfId="3" applyFont="1" applyBorder="1" applyAlignment="1">
      <alignment vertical="center"/>
    </xf>
    <xf numFmtId="0" fontId="18" fillId="0" borderId="27" xfId="3" applyFont="1" applyBorder="1" applyAlignment="1">
      <alignment vertical="center"/>
    </xf>
    <xf numFmtId="0" fontId="9" fillId="3" borderId="11" xfId="3" applyFont="1" applyFill="1" applyBorder="1" applyAlignment="1">
      <alignment horizontal="left" vertical="center"/>
    </xf>
    <xf numFmtId="9" fontId="6" fillId="3" borderId="30" xfId="6" applyFont="1" applyFill="1" applyBorder="1" applyAlignment="1" applyProtection="1">
      <alignment wrapText="1"/>
    </xf>
    <xf numFmtId="0" fontId="2" fillId="3" borderId="14" xfId="3" applyFont="1" applyFill="1" applyBorder="1"/>
    <xf numFmtId="0" fontId="18" fillId="3" borderId="0" xfId="3" applyFont="1" applyFill="1" applyAlignment="1">
      <alignment vertical="center"/>
    </xf>
    <xf numFmtId="0" fontId="19" fillId="3" borderId="0" xfId="3" applyFont="1" applyFill="1"/>
    <xf numFmtId="0" fontId="18" fillId="0" borderId="0" xfId="3" applyFont="1" applyAlignment="1">
      <alignment vertical="center"/>
    </xf>
    <xf numFmtId="0" fontId="9" fillId="3" borderId="39" xfId="3" applyFont="1" applyFill="1" applyBorder="1"/>
    <xf numFmtId="0" fontId="9" fillId="3" borderId="0" xfId="3" applyFont="1" applyFill="1"/>
    <xf numFmtId="0" fontId="19" fillId="0" borderId="0" xfId="3" applyFont="1"/>
    <xf numFmtId="0" fontId="19" fillId="0" borderId="39" xfId="3" applyFont="1" applyBorder="1"/>
    <xf numFmtId="0" fontId="19" fillId="3" borderId="2" xfId="3" applyFont="1" applyFill="1" applyBorder="1" applyAlignment="1">
      <alignment horizontal="left" vertical="center"/>
    </xf>
    <xf numFmtId="1" fontId="19" fillId="3" borderId="1" xfId="3" applyNumberFormat="1" applyFont="1" applyFill="1" applyBorder="1"/>
    <xf numFmtId="0" fontId="19" fillId="3" borderId="2" xfId="3" applyFont="1" applyFill="1" applyBorder="1" applyAlignment="1">
      <alignment vertical="center"/>
    </xf>
    <xf numFmtId="0" fontId="19" fillId="3" borderId="39" xfId="3" applyFont="1" applyFill="1" applyBorder="1"/>
    <xf numFmtId="9" fontId="19" fillId="3" borderId="0" xfId="6" applyFont="1" applyFill="1" applyBorder="1" applyProtection="1"/>
    <xf numFmtId="0" fontId="19" fillId="3" borderId="1" xfId="3" applyFont="1" applyFill="1" applyBorder="1"/>
    <xf numFmtId="0" fontId="18" fillId="0" borderId="0" xfId="3" applyFont="1" applyAlignment="1">
      <alignment vertical="center" wrapText="1"/>
    </xf>
    <xf numFmtId="9" fontId="18" fillId="3" borderId="0" xfId="6" applyFont="1" applyFill="1" applyBorder="1" applyAlignment="1" applyProtection="1">
      <alignment wrapText="1"/>
    </xf>
    <xf numFmtId="0" fontId="19" fillId="3" borderId="50" xfId="3" applyFont="1" applyFill="1" applyBorder="1" applyAlignment="1">
      <alignment vertical="center"/>
    </xf>
    <xf numFmtId="9" fontId="19" fillId="3" borderId="32" xfId="6" applyFont="1" applyFill="1" applyBorder="1" applyProtection="1"/>
    <xf numFmtId="9" fontId="19" fillId="0" borderId="0" xfId="6" applyFont="1" applyFill="1" applyBorder="1" applyProtection="1"/>
    <xf numFmtId="9" fontId="19" fillId="0" borderId="39" xfId="6" applyFont="1" applyFill="1" applyBorder="1" applyProtection="1"/>
    <xf numFmtId="44" fontId="5" fillId="3" borderId="0" xfId="4" applyFont="1" applyFill="1" applyBorder="1" applyProtection="1"/>
    <xf numFmtId="44" fontId="7" fillId="3" borderId="0" xfId="3" applyNumberFormat="1" applyFill="1"/>
    <xf numFmtId="0" fontId="7" fillId="3" borderId="47" xfId="3" applyFill="1" applyBorder="1"/>
    <xf numFmtId="44" fontId="5" fillId="3" borderId="1" xfId="4" applyFont="1" applyFill="1" applyBorder="1" applyProtection="1"/>
    <xf numFmtId="44" fontId="2" fillId="0" borderId="0" xfId="3" applyNumberFormat="1" applyFont="1"/>
    <xf numFmtId="44" fontId="7" fillId="0" borderId="0" xfId="3" applyNumberFormat="1"/>
    <xf numFmtId="44" fontId="2" fillId="3" borderId="32" xfId="3" applyNumberFormat="1" applyFont="1" applyFill="1" applyBorder="1"/>
    <xf numFmtId="44" fontId="19" fillId="3" borderId="0" xfId="3" applyNumberFormat="1" applyFont="1" applyFill="1" applyAlignment="1">
      <alignment vertical="center"/>
    </xf>
    <xf numFmtId="0" fontId="18" fillId="0" borderId="24" xfId="3" applyFont="1" applyBorder="1" applyAlignment="1">
      <alignment vertical="center" wrapText="1"/>
    </xf>
    <xf numFmtId="0" fontId="18" fillId="0" borderId="27" xfId="3" applyFont="1" applyBorder="1" applyAlignment="1">
      <alignment vertical="center" wrapText="1"/>
    </xf>
    <xf numFmtId="0" fontId="18" fillId="0" borderId="39" xfId="3" applyFont="1" applyBorder="1" applyAlignment="1">
      <alignment vertical="center" wrapText="1"/>
    </xf>
    <xf numFmtId="0" fontId="2" fillId="0" borderId="39" xfId="3" applyFont="1" applyBorder="1" applyAlignment="1">
      <alignment vertical="top"/>
    </xf>
    <xf numFmtId="0" fontId="18" fillId="0" borderId="37" xfId="3" applyFont="1" applyBorder="1" applyAlignment="1">
      <alignment horizontal="center" vertical="center"/>
    </xf>
    <xf numFmtId="0" fontId="7" fillId="0" borderId="39" xfId="3" applyBorder="1"/>
    <xf numFmtId="0" fontId="18" fillId="0" borderId="39" xfId="3" applyFont="1" applyBorder="1" applyAlignment="1">
      <alignment vertical="top"/>
    </xf>
    <xf numFmtId="0" fontId="7" fillId="0" borderId="37" xfId="3" applyBorder="1"/>
    <xf numFmtId="0" fontId="18" fillId="3" borderId="39" xfId="3" applyFont="1" applyFill="1" applyBorder="1" applyAlignment="1">
      <alignment horizontal="center" vertical="center"/>
    </xf>
    <xf numFmtId="0" fontId="18" fillId="3" borderId="17" xfId="3" applyFont="1" applyFill="1" applyBorder="1" applyAlignment="1">
      <alignment horizontal="center" vertical="center"/>
    </xf>
    <xf numFmtId="0" fontId="6" fillId="3" borderId="51" xfId="3" applyFont="1" applyFill="1" applyBorder="1" applyAlignment="1">
      <alignment horizontal="center"/>
    </xf>
    <xf numFmtId="44" fontId="19" fillId="0" borderId="0" xfId="3" applyNumberFormat="1" applyFont="1" applyAlignment="1">
      <alignment vertical="center"/>
    </xf>
    <xf numFmtId="0" fontId="18" fillId="3" borderId="31" xfId="3" applyFont="1" applyFill="1" applyBorder="1" applyAlignment="1">
      <alignment horizontal="left" vertical="center"/>
    </xf>
    <xf numFmtId="0" fontId="18" fillId="3" borderId="53" xfId="3" applyFont="1" applyFill="1" applyBorder="1" applyAlignment="1">
      <alignment horizontal="left" vertical="center"/>
    </xf>
    <xf numFmtId="44" fontId="18" fillId="3" borderId="52" xfId="4" applyFont="1" applyFill="1" applyBorder="1" applyAlignment="1" applyProtection="1">
      <alignment vertical="center"/>
    </xf>
    <xf numFmtId="0" fontId="18" fillId="3" borderId="2" xfId="3" applyFont="1" applyFill="1" applyBorder="1" applyAlignment="1">
      <alignment vertical="center"/>
    </xf>
    <xf numFmtId="0" fontId="6" fillId="3" borderId="1" xfId="3" applyFont="1" applyFill="1" applyBorder="1" applyAlignment="1">
      <alignment horizontal="center"/>
    </xf>
    <xf numFmtId="0" fontId="18" fillId="3" borderId="0" xfId="3" applyFont="1" applyFill="1" applyAlignment="1">
      <alignment vertical="center" wrapText="1"/>
    </xf>
    <xf numFmtId="0" fontId="18" fillId="3" borderId="0" xfId="3" applyFont="1" applyFill="1" applyAlignment="1">
      <alignment horizontal="left" vertical="center" wrapText="1"/>
    </xf>
    <xf numFmtId="0" fontId="18" fillId="3" borderId="39" xfId="3" applyFont="1" applyFill="1" applyBorder="1" applyAlignment="1">
      <alignment horizontal="left" vertical="center"/>
    </xf>
    <xf numFmtId="44" fontId="18" fillId="3" borderId="1" xfId="4" applyFont="1" applyFill="1" applyBorder="1" applyAlignment="1" applyProtection="1">
      <alignment vertical="center"/>
    </xf>
    <xf numFmtId="0" fontId="18" fillId="3" borderId="39" xfId="3" applyFont="1" applyFill="1" applyBorder="1" applyAlignment="1">
      <alignment horizontal="left" vertical="center" wrapText="1"/>
    </xf>
    <xf numFmtId="0" fontId="18" fillId="0" borderId="23" xfId="3" applyFont="1" applyBorder="1" applyAlignment="1">
      <alignment vertical="top"/>
    </xf>
    <xf numFmtId="0" fontId="18" fillId="0" borderId="37" xfId="3" applyFont="1" applyBorder="1" applyAlignment="1">
      <alignment horizontal="left" vertical="center" wrapText="1"/>
    </xf>
    <xf numFmtId="0" fontId="18" fillId="0" borderId="39" xfId="3" applyFont="1" applyBorder="1" applyAlignment="1">
      <alignment horizontal="left" vertical="center" wrapText="1"/>
    </xf>
    <xf numFmtId="0" fontId="18" fillId="0" borderId="0" xfId="3" applyFont="1" applyAlignment="1">
      <alignment horizontal="left" vertical="center" wrapText="1"/>
    </xf>
    <xf numFmtId="0" fontId="6" fillId="3" borderId="0" xfId="3" applyFont="1" applyFill="1" applyAlignment="1">
      <alignment horizontal="center"/>
    </xf>
    <xf numFmtId="0" fontId="6" fillId="3" borderId="17" xfId="3" applyFont="1" applyFill="1" applyBorder="1" applyAlignment="1">
      <alignment horizontal="center"/>
    </xf>
    <xf numFmtId="0" fontId="18" fillId="3" borderId="35" xfId="3" applyFont="1" applyFill="1" applyBorder="1" applyAlignment="1">
      <alignment horizontal="left" vertical="center"/>
    </xf>
    <xf numFmtId="44" fontId="18" fillId="3" borderId="13" xfId="4" applyFont="1" applyFill="1" applyBorder="1" applyAlignment="1">
      <alignment vertical="center"/>
    </xf>
    <xf numFmtId="0" fontId="18" fillId="3" borderId="35" xfId="3" applyFont="1" applyFill="1" applyBorder="1" applyAlignment="1">
      <alignment horizontal="left" vertical="center" wrapText="1"/>
    </xf>
    <xf numFmtId="0" fontId="6" fillId="0" borderId="54" xfId="3" applyFont="1" applyBorder="1" applyAlignment="1">
      <alignment vertical="center"/>
    </xf>
    <xf numFmtId="0" fontId="21" fillId="0" borderId="55" xfId="3" applyFont="1" applyBorder="1" applyAlignment="1">
      <alignment horizontal="centerContinuous" vertical="center" wrapText="1"/>
    </xf>
    <xf numFmtId="0" fontId="2" fillId="0" borderId="0" xfId="3" applyFont="1" applyAlignment="1">
      <alignment horizontal="centerContinuous"/>
    </xf>
    <xf numFmtId="0" fontId="20" fillId="3" borderId="56" xfId="3" applyFont="1" applyFill="1" applyBorder="1" applyAlignment="1">
      <alignment horizontal="left" vertical="center"/>
    </xf>
    <xf numFmtId="0" fontId="6" fillId="3" borderId="57" xfId="3" applyFont="1" applyFill="1" applyBorder="1" applyAlignment="1">
      <alignment horizontal="center"/>
    </xf>
    <xf numFmtId="0" fontId="2" fillId="3" borderId="2" xfId="3" applyFont="1" applyFill="1" applyBorder="1"/>
    <xf numFmtId="0" fontId="15" fillId="0" borderId="0" xfId="5" applyProtection="1"/>
    <xf numFmtId="0" fontId="9" fillId="3" borderId="0" xfId="3" applyFont="1" applyFill="1" applyAlignment="1">
      <alignment horizontal="center"/>
    </xf>
    <xf numFmtId="0" fontId="11" fillId="3" borderId="0" xfId="3" applyFont="1" applyFill="1" applyAlignment="1">
      <alignment horizontal="center"/>
    </xf>
    <xf numFmtId="0" fontId="12" fillId="3" borderId="0" xfId="3" applyFont="1" applyFill="1"/>
    <xf numFmtId="0" fontId="19" fillId="2" borderId="33" xfId="3" applyFont="1" applyFill="1" applyBorder="1" applyAlignment="1" applyProtection="1">
      <alignment vertical="center"/>
      <protection locked="0"/>
    </xf>
    <xf numFmtId="0" fontId="19" fillId="2" borderId="34" xfId="3" applyFont="1" applyFill="1" applyBorder="1" applyAlignment="1" applyProtection="1">
      <alignment vertical="center"/>
      <protection locked="0"/>
    </xf>
    <xf numFmtId="44" fontId="19" fillId="2" borderId="1" xfId="4" applyFont="1" applyFill="1" applyBorder="1" applyAlignment="1" applyProtection="1">
      <alignment horizontal="left" vertical="center"/>
      <protection locked="0"/>
    </xf>
    <xf numFmtId="0" fontId="19" fillId="2" borderId="2" xfId="3" applyFont="1" applyFill="1" applyBorder="1" applyAlignment="1" applyProtection="1">
      <alignment horizontal="left" vertical="center"/>
      <protection locked="0"/>
    </xf>
    <xf numFmtId="0" fontId="19" fillId="2" borderId="1" xfId="3" applyFont="1" applyFill="1" applyBorder="1" applyAlignment="1" applyProtection="1">
      <alignment horizontal="left" vertical="center"/>
      <protection locked="0"/>
    </xf>
    <xf numFmtId="0" fontId="19" fillId="2" borderId="31" xfId="3" applyFont="1" applyFill="1" applyBorder="1" applyAlignment="1" applyProtection="1">
      <alignment horizontal="left" vertical="center"/>
      <protection locked="0"/>
    </xf>
    <xf numFmtId="0" fontId="19" fillId="2" borderId="13" xfId="3" applyFont="1" applyFill="1" applyBorder="1" applyAlignment="1" applyProtection="1">
      <alignment vertical="center" wrapText="1"/>
      <protection locked="0"/>
    </xf>
    <xf numFmtId="44" fontId="19" fillId="2" borderId="52" xfId="4" applyFont="1" applyFill="1" applyBorder="1" applyAlignment="1" applyProtection="1">
      <alignment vertical="center"/>
      <protection locked="0"/>
    </xf>
    <xf numFmtId="0" fontId="19" fillId="2" borderId="33" xfId="3" applyFont="1" applyFill="1" applyBorder="1" applyAlignment="1" applyProtection="1">
      <alignment vertical="center" wrapText="1"/>
      <protection locked="0"/>
    </xf>
    <xf numFmtId="44" fontId="19" fillId="2" borderId="1" xfId="4" applyFont="1" applyFill="1" applyBorder="1" applyAlignment="1" applyProtection="1">
      <alignment vertical="center"/>
      <protection locked="0"/>
    </xf>
    <xf numFmtId="0" fontId="19" fillId="2" borderId="35" xfId="3" applyFont="1" applyFill="1" applyBorder="1" applyAlignment="1" applyProtection="1">
      <alignment horizontal="left" vertical="center"/>
      <protection locked="0"/>
    </xf>
    <xf numFmtId="44" fontId="19" fillId="2" borderId="13" xfId="4" applyFont="1" applyFill="1" applyBorder="1" applyAlignment="1" applyProtection="1">
      <alignment vertical="center"/>
      <protection locked="0"/>
    </xf>
    <xf numFmtId="44" fontId="2" fillId="2" borderId="38" xfId="4" applyFont="1" applyFill="1" applyBorder="1" applyAlignment="1" applyProtection="1">
      <alignment horizontal="left"/>
      <protection locked="0"/>
    </xf>
    <xf numFmtId="0" fontId="2" fillId="0" borderId="0" xfId="0" applyFont="1"/>
    <xf numFmtId="44" fontId="18" fillId="3" borderId="0" xfId="4" applyFont="1" applyFill="1" applyBorder="1" applyAlignment="1">
      <alignment vertical="center"/>
    </xf>
    <xf numFmtId="0" fontId="0" fillId="0" borderId="1" xfId="0" applyBorder="1" applyAlignment="1">
      <alignment horizontal="center"/>
    </xf>
    <xf numFmtId="0" fontId="22" fillId="0" borderId="0" xfId="0" applyFont="1" applyAlignment="1">
      <alignment horizontal="centerContinuous"/>
    </xf>
    <xf numFmtId="0" fontId="0" fillId="0" borderId="1" xfId="0" applyBorder="1" applyAlignment="1">
      <alignment vertical="center"/>
    </xf>
    <xf numFmtId="43" fontId="0" fillId="0" borderId="0" xfId="0" applyNumberFormat="1"/>
    <xf numFmtId="44" fontId="0" fillId="0" borderId="1" xfId="0" applyNumberFormat="1" applyBorder="1" applyAlignment="1">
      <alignment vertical="center"/>
    </xf>
    <xf numFmtId="0" fontId="7" fillId="0" borderId="19" xfId="3" applyBorder="1" applyAlignment="1" applyProtection="1">
      <alignment vertical="center"/>
      <protection locked="0"/>
    </xf>
    <xf numFmtId="0" fontId="3" fillId="0" borderId="23" xfId="3" applyFont="1" applyBorder="1" applyAlignment="1">
      <alignment horizontal="centerContinuous" vertical="center"/>
    </xf>
    <xf numFmtId="0" fontId="3" fillId="0" borderId="24" xfId="3" applyFont="1" applyBorder="1" applyAlignment="1">
      <alignment horizontal="centerContinuous" vertical="center"/>
    </xf>
    <xf numFmtId="0" fontId="2" fillId="0" borderId="0" xfId="3" applyFont="1" applyAlignment="1">
      <alignment horizontal="centerContinuous" vertical="center"/>
    </xf>
    <xf numFmtId="0" fontId="3" fillId="0" borderId="0" xfId="3" applyFont="1" applyAlignment="1">
      <alignment horizontal="centerContinuous" vertical="center"/>
    </xf>
    <xf numFmtId="0" fontId="3" fillId="0" borderId="37" xfId="3" applyFont="1" applyBorder="1" applyAlignment="1">
      <alignment horizontal="centerContinuous" vertical="center"/>
    </xf>
    <xf numFmtId="0" fontId="6" fillId="0" borderId="42" xfId="3" applyFont="1" applyBorder="1" applyAlignment="1" applyProtection="1">
      <alignment vertical="center" wrapText="1"/>
      <protection locked="0"/>
    </xf>
    <xf numFmtId="0" fontId="6" fillId="0" borderId="43" xfId="3" applyFont="1" applyBorder="1" applyAlignment="1" applyProtection="1">
      <alignment vertical="center" wrapText="1"/>
      <protection locked="0"/>
    </xf>
    <xf numFmtId="0" fontId="6" fillId="0" borderId="43" xfId="3" applyFont="1" applyBorder="1" applyAlignment="1">
      <alignment horizontal="center" vertical="center" wrapText="1"/>
    </xf>
    <xf numFmtId="0" fontId="6" fillId="0" borderId="58" xfId="3" applyFont="1" applyBorder="1" applyAlignment="1">
      <alignment horizontal="center" vertical="center" wrapText="1"/>
    </xf>
    <xf numFmtId="0" fontId="3" fillId="0" borderId="39" xfId="3" applyFont="1" applyBorder="1" applyAlignment="1">
      <alignment horizontal="centerContinuous" vertical="center"/>
    </xf>
    <xf numFmtId="0" fontId="0" fillId="0" borderId="32" xfId="0" applyBorder="1" applyAlignment="1">
      <alignment wrapText="1"/>
    </xf>
    <xf numFmtId="0" fontId="0" fillId="0" borderId="11" xfId="0" applyBorder="1"/>
    <xf numFmtId="0" fontId="6" fillId="3" borderId="56" xfId="0" applyFont="1" applyFill="1" applyBorder="1"/>
    <xf numFmtId="0" fontId="6" fillId="3" borderId="57" xfId="0" applyFont="1" applyFill="1" applyBorder="1"/>
    <xf numFmtId="0" fontId="0" fillId="2" borderId="1" xfId="0" applyFill="1" applyBorder="1" applyProtection="1">
      <protection locked="0"/>
    </xf>
    <xf numFmtId="49" fontId="0" fillId="2" borderId="1" xfId="0" applyNumberFormat="1" applyFill="1" applyBorder="1" applyProtection="1">
      <protection locked="0"/>
    </xf>
    <xf numFmtId="0" fontId="0" fillId="2" borderId="32" xfId="0" applyFill="1" applyBorder="1" applyProtection="1">
      <protection locked="0"/>
    </xf>
    <xf numFmtId="0" fontId="0" fillId="0" borderId="47" xfId="0" applyBorder="1"/>
    <xf numFmtId="0" fontId="0" fillId="0" borderId="47" xfId="0" applyBorder="1" applyAlignment="1">
      <alignment wrapText="1"/>
    </xf>
    <xf numFmtId="0" fontId="0" fillId="0" borderId="11" xfId="0" applyBorder="1" applyAlignment="1">
      <alignment wrapText="1"/>
    </xf>
    <xf numFmtId="0" fontId="1" fillId="0" borderId="30" xfId="0" applyFont="1" applyBorder="1" applyAlignment="1">
      <alignment wrapText="1"/>
    </xf>
    <xf numFmtId="0" fontId="1" fillId="0" borderId="12" xfId="0" applyFont="1" applyBorder="1" applyAlignment="1">
      <alignment wrapText="1"/>
    </xf>
    <xf numFmtId="0" fontId="0" fillId="0" borderId="14" xfId="0" applyBorder="1" applyAlignment="1">
      <alignment wrapText="1"/>
    </xf>
    <xf numFmtId="44" fontId="0" fillId="2" borderId="1" xfId="2" applyFont="1" applyFill="1" applyBorder="1" applyProtection="1">
      <protection locked="0"/>
    </xf>
    <xf numFmtId="164" fontId="0" fillId="2" borderId="34" xfId="1" applyNumberFormat="1" applyFont="1" applyFill="1" applyBorder="1" applyProtection="1">
      <protection locked="0"/>
    </xf>
    <xf numFmtId="44" fontId="0" fillId="2" borderId="32" xfId="2" applyFont="1" applyFill="1" applyBorder="1" applyProtection="1">
      <protection locked="0"/>
    </xf>
    <xf numFmtId="164" fontId="0" fillId="2" borderId="13" xfId="1" applyNumberFormat="1" applyFont="1" applyFill="1" applyBorder="1" applyProtection="1">
      <protection locked="0"/>
    </xf>
    <xf numFmtId="0" fontId="1" fillId="0" borderId="11" xfId="0" applyFont="1" applyBorder="1" applyAlignment="1">
      <alignment wrapText="1"/>
    </xf>
    <xf numFmtId="44" fontId="0" fillId="2" borderId="1" xfId="0" applyNumberFormat="1" applyFill="1" applyBorder="1" applyProtection="1">
      <protection locked="0"/>
    </xf>
    <xf numFmtId="44" fontId="0" fillId="2" borderId="34" xfId="2" applyFont="1" applyFill="1" applyBorder="1" applyProtection="1">
      <protection locked="0"/>
    </xf>
    <xf numFmtId="164" fontId="0" fillId="2" borderId="32" xfId="1" applyNumberFormat="1" applyFont="1" applyFill="1" applyBorder="1" applyProtection="1">
      <protection locked="0"/>
    </xf>
    <xf numFmtId="0" fontId="0" fillId="0" borderId="32" xfId="0" applyBorder="1"/>
    <xf numFmtId="44" fontId="0" fillId="2" borderId="32" xfId="0" applyNumberFormat="1" applyFill="1" applyBorder="1" applyProtection="1">
      <protection locked="0"/>
    </xf>
    <xf numFmtId="44" fontId="18" fillId="3" borderId="12" xfId="4" applyFont="1" applyFill="1" applyBorder="1" applyAlignment="1">
      <alignment horizontal="centerContinuous" vertical="center"/>
    </xf>
    <xf numFmtId="44" fontId="18" fillId="3" borderId="34" xfId="4" applyFont="1" applyFill="1" applyBorder="1" applyAlignment="1">
      <alignment vertical="center"/>
    </xf>
    <xf numFmtId="0" fontId="18" fillId="3" borderId="14" xfId="3" applyFont="1" applyFill="1" applyBorder="1" applyAlignment="1">
      <alignment horizontal="left" vertical="center"/>
    </xf>
    <xf numFmtId="0" fontId="18" fillId="3" borderId="11" xfId="3" applyFont="1" applyFill="1" applyBorder="1" applyAlignment="1">
      <alignment horizontal="left" vertical="center"/>
    </xf>
    <xf numFmtId="0" fontId="1" fillId="0" borderId="47" xfId="0" applyFont="1" applyBorder="1"/>
    <xf numFmtId="0" fontId="1" fillId="0" borderId="30" xfId="0" applyFont="1" applyBorder="1" applyAlignment="1">
      <alignment horizontal="center"/>
    </xf>
    <xf numFmtId="0" fontId="1" fillId="0" borderId="12" xfId="0" applyFont="1" applyBorder="1" applyAlignment="1">
      <alignment horizontal="center"/>
    </xf>
    <xf numFmtId="0" fontId="1" fillId="0" borderId="14" xfId="0" applyFont="1" applyBorder="1"/>
    <xf numFmtId="0" fontId="0" fillId="0" borderId="59" xfId="0" applyBorder="1" applyAlignment="1">
      <alignment horizontal="centerContinuous" vertical="center"/>
    </xf>
    <xf numFmtId="0" fontId="0" fillId="0" borderId="61" xfId="0" applyBorder="1" applyAlignment="1">
      <alignment horizontal="centerContinuous" vertical="center"/>
    </xf>
    <xf numFmtId="0" fontId="0" fillId="0" borderId="63" xfId="0" applyBorder="1" applyAlignment="1">
      <alignment horizontal="centerContinuous" vertical="center"/>
    </xf>
    <xf numFmtId="0" fontId="0" fillId="0" borderId="64" xfId="0" applyBorder="1" applyAlignment="1">
      <alignment horizontal="centerContinuous" vertical="center"/>
    </xf>
    <xf numFmtId="0" fontId="0" fillId="0" borderId="60" xfId="0" applyBorder="1" applyAlignment="1">
      <alignment horizontal="centerContinuous" vertical="center"/>
    </xf>
    <xf numFmtId="0" fontId="0" fillId="0" borderId="65" xfId="0" applyBorder="1" applyAlignment="1">
      <alignment horizontal="centerContinuous" vertical="center"/>
    </xf>
    <xf numFmtId="0" fontId="0" fillId="0" borderId="66" xfId="0" applyBorder="1" applyAlignment="1">
      <alignment horizontal="centerContinuous" vertical="center"/>
    </xf>
    <xf numFmtId="0" fontId="0" fillId="0" borderId="62" xfId="0" applyBorder="1" applyAlignment="1">
      <alignment horizontal="centerContinuous" vertical="center"/>
    </xf>
    <xf numFmtId="0" fontId="0" fillId="0" borderId="67" xfId="0" applyBorder="1" applyAlignment="1">
      <alignment horizontal="centerContinuous" vertical="center"/>
    </xf>
    <xf numFmtId="44" fontId="0" fillId="0" borderId="32" xfId="0" applyNumberFormat="1" applyBorder="1"/>
    <xf numFmtId="0" fontId="0" fillId="0" borderId="34" xfId="0" applyBorder="1"/>
    <xf numFmtId="44" fontId="0" fillId="0" borderId="34" xfId="0" applyNumberFormat="1" applyBorder="1"/>
    <xf numFmtId="0" fontId="0" fillId="0" borderId="34" xfId="0" applyBorder="1" applyAlignment="1">
      <alignment horizontal="center"/>
    </xf>
    <xf numFmtId="0" fontId="1" fillId="0" borderId="11" xfId="0" applyFont="1" applyBorder="1"/>
    <xf numFmtId="44" fontId="0" fillId="0" borderId="13" xfId="0" applyNumberFormat="1" applyBorder="1"/>
    <xf numFmtId="44" fontId="1" fillId="0" borderId="12" xfId="0" applyNumberFormat="1" applyFont="1" applyBorder="1" applyAlignment="1">
      <alignment horizontal="left"/>
    </xf>
    <xf numFmtId="0" fontId="0" fillId="2" borderId="34" xfId="0" applyFill="1" applyBorder="1" applyProtection="1">
      <protection locked="0"/>
    </xf>
    <xf numFmtId="0" fontId="0" fillId="2" borderId="13" xfId="0" applyFill="1" applyBorder="1" applyProtection="1">
      <protection locked="0"/>
    </xf>
    <xf numFmtId="44" fontId="18" fillId="3" borderId="12" xfId="4" applyFont="1" applyFill="1" applyBorder="1" applyAlignment="1">
      <alignment horizontal="left" vertical="center"/>
    </xf>
    <xf numFmtId="0" fontId="0" fillId="0" borderId="34" xfId="0" applyBorder="1" applyAlignment="1">
      <alignment vertical="center"/>
    </xf>
    <xf numFmtId="44" fontId="0" fillId="0" borderId="34" xfId="0" applyNumberFormat="1" applyBorder="1" applyAlignment="1">
      <alignment vertical="center"/>
    </xf>
    <xf numFmtId="44" fontId="0" fillId="0" borderId="12" xfId="0" applyNumberFormat="1" applyBorder="1"/>
    <xf numFmtId="0" fontId="18" fillId="3" borderId="11" xfId="3" applyFont="1" applyFill="1" applyBorder="1" applyAlignment="1">
      <alignment horizontal="left" vertical="top"/>
    </xf>
    <xf numFmtId="44" fontId="18" fillId="3" borderId="12" xfId="4" applyFont="1" applyFill="1" applyBorder="1" applyAlignment="1">
      <alignment horizontal="left" vertical="top"/>
    </xf>
    <xf numFmtId="44" fontId="1" fillId="0" borderId="12" xfId="0" applyNumberFormat="1" applyFont="1" applyBorder="1"/>
    <xf numFmtId="44" fontId="0" fillId="2" borderId="34" xfId="0" applyNumberFormat="1" applyFill="1" applyBorder="1" applyProtection="1">
      <protection locked="0"/>
    </xf>
    <xf numFmtId="14" fontId="0" fillId="2" borderId="34" xfId="0" applyNumberFormat="1" applyFill="1" applyBorder="1" applyProtection="1">
      <protection locked="0"/>
    </xf>
    <xf numFmtId="14" fontId="0" fillId="2" borderId="13" xfId="0" applyNumberFormat="1" applyFill="1" applyBorder="1" applyProtection="1">
      <protection locked="0"/>
    </xf>
    <xf numFmtId="0" fontId="0" fillId="0" borderId="14" xfId="0" applyBorder="1"/>
    <xf numFmtId="0" fontId="0" fillId="0" borderId="59" xfId="0" applyBorder="1"/>
    <xf numFmtId="0" fontId="0" fillId="0" borderId="61"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0" xfId="0"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62" xfId="0" applyBorder="1" applyAlignment="1">
      <alignment vertical="center"/>
    </xf>
    <xf numFmtId="0" fontId="0" fillId="0" borderId="67" xfId="0" applyBorder="1" applyAlignment="1">
      <alignment vertical="center"/>
    </xf>
    <xf numFmtId="0" fontId="0" fillId="0" borderId="13" xfId="0" applyBorder="1" applyAlignment="1">
      <alignment horizontal="center"/>
    </xf>
    <xf numFmtId="164" fontId="0" fillId="0" borderId="34" xfId="1" applyNumberFormat="1" applyFont="1" applyBorder="1"/>
    <xf numFmtId="1" fontId="0" fillId="2" borderId="1" xfId="0" applyNumberFormat="1" applyFill="1" applyBorder="1" applyProtection="1">
      <protection locked="0"/>
    </xf>
    <xf numFmtId="0" fontId="25" fillId="0" borderId="60" xfId="3" applyFont="1" applyBorder="1" applyAlignment="1">
      <alignment vertical="top" wrapText="1"/>
    </xf>
    <xf numFmtId="0" fontId="27" fillId="0" borderId="60" xfId="0" applyFont="1" applyBorder="1" applyAlignment="1">
      <alignment vertical="center" wrapText="1"/>
    </xf>
    <xf numFmtId="49" fontId="10" fillId="3" borderId="15" xfId="3" applyNumberFormat="1" applyFont="1" applyFill="1" applyBorder="1" applyAlignment="1">
      <alignment horizontal="center" vertical="center" wrapText="1"/>
    </xf>
    <xf numFmtId="49" fontId="10" fillId="3" borderId="7" xfId="3" applyNumberFormat="1" applyFont="1" applyFill="1" applyBorder="1" applyAlignment="1">
      <alignment horizontal="centerContinuous" vertical="center" wrapText="1"/>
    </xf>
    <xf numFmtId="49" fontId="10" fillId="3" borderId="6" xfId="3" applyNumberFormat="1" applyFont="1" applyFill="1" applyBorder="1" applyAlignment="1">
      <alignment horizontal="centerContinuous" vertical="center" wrapText="1"/>
    </xf>
    <xf numFmtId="49" fontId="10" fillId="3" borderId="7" xfId="3" applyNumberFormat="1" applyFont="1" applyFill="1" applyBorder="1" applyAlignment="1">
      <alignment horizontal="center" vertical="center" wrapText="1"/>
    </xf>
    <xf numFmtId="49" fontId="10" fillId="3" borderId="6" xfId="3" applyNumberFormat="1" applyFont="1" applyFill="1" applyBorder="1" applyAlignment="1">
      <alignment horizontal="center" vertical="center" wrapText="1"/>
    </xf>
    <xf numFmtId="0" fontId="3" fillId="0" borderId="0" xfId="3" applyFont="1" applyAlignment="1">
      <alignment horizontal="centerContinuous"/>
    </xf>
    <xf numFmtId="0" fontId="8" fillId="0" borderId="0" xfId="3" applyFont="1"/>
    <xf numFmtId="0" fontId="8" fillId="0" borderId="0" xfId="3" applyFont="1" applyAlignment="1">
      <alignment horizontal="centerContinuous"/>
    </xf>
    <xf numFmtId="0" fontId="7" fillId="3" borderId="8" xfId="3" applyFill="1" applyBorder="1" applyAlignment="1">
      <alignment horizontal="center" vertical="center" wrapText="1"/>
    </xf>
    <xf numFmtId="44" fontId="7" fillId="3" borderId="10" xfId="4" applyFont="1" applyFill="1" applyBorder="1" applyAlignment="1" applyProtection="1">
      <alignment vertical="center"/>
    </xf>
    <xf numFmtId="0" fontId="3" fillId="0" borderId="0" xfId="0" applyFont="1"/>
    <xf numFmtId="0" fontId="22" fillId="0" borderId="0" xfId="0" applyFont="1"/>
    <xf numFmtId="0" fontId="23" fillId="0" borderId="0" xfId="0" applyFont="1"/>
    <xf numFmtId="0" fontId="23" fillId="0" borderId="0" xfId="0" applyFont="1" applyAlignment="1">
      <alignment horizontal="centerContinuous" vertical="center"/>
    </xf>
    <xf numFmtId="0" fontId="24" fillId="0" borderId="0" xfId="0" applyFont="1" applyAlignment="1">
      <alignment horizontal="centerContinuous" vertical="center"/>
    </xf>
    <xf numFmtId="0" fontId="0" fillId="0" borderId="0" xfId="0" applyAlignment="1">
      <alignment horizontal="centerContinuous" vertical="center"/>
    </xf>
    <xf numFmtId="44" fontId="7" fillId="3" borderId="68" xfId="4" applyFont="1" applyFill="1" applyBorder="1" applyAlignment="1" applyProtection="1">
      <alignment vertical="center"/>
    </xf>
    <xf numFmtId="0" fontId="3" fillId="3" borderId="69" xfId="3" applyFont="1" applyFill="1" applyBorder="1" applyAlignment="1">
      <alignment horizontal="centerContinuous" vertical="center" wrapText="1"/>
    </xf>
    <xf numFmtId="0" fontId="3" fillId="3" borderId="70" xfId="3" applyFont="1" applyFill="1" applyBorder="1" applyAlignment="1">
      <alignment horizontal="centerContinuous" vertical="center" wrapText="1"/>
    </xf>
    <xf numFmtId="44" fontId="7" fillId="3" borderId="72" xfId="4" applyFont="1" applyFill="1" applyBorder="1" applyAlignment="1" applyProtection="1">
      <alignment horizontal="center" vertical="center"/>
    </xf>
    <xf numFmtId="44" fontId="30" fillId="5" borderId="71" xfId="4" applyFont="1" applyFill="1" applyBorder="1" applyAlignment="1" applyProtection="1">
      <alignment horizontal="center" vertical="center"/>
    </xf>
    <xf numFmtId="49" fontId="10" fillId="3" borderId="74" xfId="3" applyNumberFormat="1" applyFont="1" applyFill="1" applyBorder="1" applyAlignment="1">
      <alignment horizontal="center" vertical="center" wrapText="1"/>
    </xf>
    <xf numFmtId="0" fontId="3" fillId="3" borderId="75" xfId="3" applyFont="1" applyFill="1" applyBorder="1" applyAlignment="1">
      <alignment horizontal="centerContinuous" vertical="center" wrapText="1"/>
    </xf>
    <xf numFmtId="0" fontId="3" fillId="3" borderId="30" xfId="3" applyFont="1" applyFill="1" applyBorder="1" applyAlignment="1">
      <alignment horizontal="center" vertical="center" wrapText="1"/>
    </xf>
    <xf numFmtId="0" fontId="3" fillId="3" borderId="1" xfId="3" applyFont="1" applyFill="1" applyBorder="1" applyAlignment="1">
      <alignment horizontal="center" vertical="center" wrapText="1"/>
    </xf>
    <xf numFmtId="0" fontId="31" fillId="3" borderId="9" xfId="5" applyFont="1" applyFill="1" applyBorder="1" applyAlignment="1" applyProtection="1">
      <alignment horizontal="center" vertical="center" wrapText="1"/>
    </xf>
    <xf numFmtId="0" fontId="31" fillId="3" borderId="10" xfId="5" applyFont="1" applyFill="1" applyBorder="1" applyAlignment="1" applyProtection="1">
      <alignment horizontal="center" vertical="center" wrapText="1"/>
    </xf>
    <xf numFmtId="0" fontId="31" fillId="3" borderId="16" xfId="5" applyFont="1" applyFill="1" applyBorder="1" applyAlignment="1" applyProtection="1">
      <alignment horizontal="center" vertical="center" wrapText="1"/>
    </xf>
    <xf numFmtId="0" fontId="3" fillId="3" borderId="73" xfId="3" applyFont="1" applyFill="1" applyBorder="1" applyAlignment="1">
      <alignment horizontal="centerContinuous" vertical="center" wrapText="1"/>
    </xf>
    <xf numFmtId="49" fontId="10" fillId="3" borderId="77" xfId="3" applyNumberFormat="1" applyFont="1" applyFill="1" applyBorder="1" applyAlignment="1">
      <alignment horizontal="center" vertical="center" wrapText="1"/>
    </xf>
    <xf numFmtId="0" fontId="2" fillId="3" borderId="34" xfId="3" applyFont="1" applyFill="1" applyBorder="1" applyAlignment="1">
      <alignment horizontal="center" vertical="center" wrapText="1"/>
    </xf>
    <xf numFmtId="0" fontId="2" fillId="3" borderId="34" xfId="3" applyFont="1" applyFill="1" applyBorder="1" applyAlignment="1" applyProtection="1">
      <alignment horizontal="center" vertical="center" wrapText="1"/>
      <protection locked="0"/>
    </xf>
    <xf numFmtId="0" fontId="15" fillId="0" borderId="0" xfId="5"/>
    <xf numFmtId="0" fontId="1" fillId="0" borderId="0" xfId="0" applyFont="1" applyAlignment="1">
      <alignment horizontal="centerContinuous"/>
    </xf>
    <xf numFmtId="0" fontId="0" fillId="0" borderId="30"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44" fontId="0" fillId="0" borderId="10" xfId="0" applyNumberFormat="1" applyBorder="1"/>
    <xf numFmtId="44" fontId="0" fillId="0" borderId="79" xfId="0" applyNumberFormat="1" applyBorder="1"/>
    <xf numFmtId="44" fontId="1" fillId="0" borderId="32" xfId="0" applyNumberFormat="1" applyFont="1" applyBorder="1"/>
    <xf numFmtId="44" fontId="1" fillId="0" borderId="13" xfId="0" applyNumberFormat="1" applyFont="1" applyBorder="1"/>
    <xf numFmtId="44" fontId="1" fillId="0" borderId="78" xfId="0" applyNumberFormat="1" applyFont="1" applyBorder="1"/>
    <xf numFmtId="44" fontId="0" fillId="0" borderId="47" xfId="0" applyNumberFormat="1" applyBorder="1"/>
    <xf numFmtId="44" fontId="0" fillId="0" borderId="46" xfId="0" applyNumberFormat="1" applyBorder="1"/>
    <xf numFmtId="1" fontId="7" fillId="3" borderId="76" xfId="4" applyNumberFormat="1" applyFont="1" applyFill="1" applyBorder="1" applyAlignment="1" applyProtection="1">
      <alignment vertical="center"/>
    </xf>
    <xf numFmtId="0" fontId="0" fillId="0" borderId="12" xfId="0" applyBorder="1" applyAlignment="1">
      <alignment wrapText="1"/>
    </xf>
    <xf numFmtId="0" fontId="0" fillId="0" borderId="0" xfId="0" applyAlignment="1">
      <alignment horizontal="centerContinuous" wrapText="1"/>
    </xf>
    <xf numFmtId="0" fontId="6" fillId="0" borderId="54" xfId="3" applyFont="1" applyBorder="1" applyAlignment="1">
      <alignment horizontal="centerContinuous" vertical="center" wrapText="1"/>
    </xf>
    <xf numFmtId="44" fontId="32" fillId="3" borderId="0" xfId="3" applyNumberFormat="1" applyFont="1" applyFill="1" applyAlignment="1">
      <alignment vertical="center"/>
    </xf>
    <xf numFmtId="0" fontId="34" fillId="0" borderId="60" xfId="3" applyFont="1" applyBorder="1" applyAlignment="1">
      <alignment horizontal="left" wrapText="1"/>
    </xf>
    <xf numFmtId="0" fontId="13" fillId="0" borderId="0" xfId="0" applyFont="1" applyAlignment="1">
      <alignment horizontal="left" wrapText="1"/>
    </xf>
    <xf numFmtId="0" fontId="13" fillId="0" borderId="35" xfId="0" applyFont="1" applyBorder="1"/>
    <xf numFmtId="0" fontId="0" fillId="2" borderId="1" xfId="0" applyFill="1" applyBorder="1" applyAlignment="1" applyProtection="1">
      <alignment wrapText="1"/>
      <protection locked="0"/>
    </xf>
    <xf numFmtId="0" fontId="28" fillId="0" borderId="0" xfId="0" applyFont="1"/>
    <xf numFmtId="0" fontId="9" fillId="0" borderId="0" xfId="3" applyFont="1"/>
    <xf numFmtId="0" fontId="13" fillId="0" borderId="0" xfId="0" applyFont="1"/>
    <xf numFmtId="0" fontId="33" fillId="0" borderId="0" xfId="0" applyFont="1"/>
    <xf numFmtId="0" fontId="18" fillId="3" borderId="23" xfId="3" applyFont="1" applyFill="1" applyBorder="1" applyAlignment="1">
      <alignment horizontal="centerContinuous" vertical="center"/>
    </xf>
    <xf numFmtId="44" fontId="18" fillId="3" borderId="27" xfId="4" applyFont="1" applyFill="1" applyBorder="1" applyAlignment="1">
      <alignment horizontal="centerContinuous" vertical="center"/>
    </xf>
    <xf numFmtId="0" fontId="18" fillId="3" borderId="40" xfId="3" applyFont="1" applyFill="1" applyBorder="1" applyAlignment="1">
      <alignment horizontal="centerContinuous" vertical="center"/>
    </xf>
    <xf numFmtId="44" fontId="18" fillId="3" borderId="80" xfId="4" applyFont="1" applyFill="1" applyBorder="1" applyAlignment="1">
      <alignment horizontal="centerContinuous" vertical="center"/>
    </xf>
    <xf numFmtId="1" fontId="19" fillId="3" borderId="1" xfId="1" applyNumberFormat="1" applyFont="1" applyFill="1" applyBorder="1" applyProtection="1"/>
    <xf numFmtId="0" fontId="6" fillId="3" borderId="18" xfId="3" applyFont="1" applyFill="1" applyBorder="1" applyAlignment="1">
      <alignment horizontal="center"/>
    </xf>
    <xf numFmtId="0" fontId="19" fillId="2" borderId="14" xfId="3" applyFont="1" applyFill="1" applyBorder="1" applyAlignment="1" applyProtection="1">
      <alignment horizontal="left" vertical="center"/>
      <protection locked="0"/>
    </xf>
    <xf numFmtId="0" fontId="18" fillId="3" borderId="14" xfId="3" applyFont="1" applyFill="1" applyBorder="1" applyAlignment="1">
      <alignment horizontal="left" vertical="center" wrapText="1"/>
    </xf>
    <xf numFmtId="0" fontId="35" fillId="0" borderId="0" xfId="0" applyFont="1" applyAlignment="1">
      <alignment vertical="center"/>
    </xf>
    <xf numFmtId="0" fontId="7" fillId="0" borderId="0" xfId="0" applyFont="1" applyAlignment="1">
      <alignment vertical="center"/>
    </xf>
    <xf numFmtId="0" fontId="2" fillId="0" borderId="0" xfId="0" applyFont="1" applyAlignment="1">
      <alignment wrapText="1"/>
    </xf>
    <xf numFmtId="0" fontId="15" fillId="0" borderId="0" xfId="5" applyBorder="1" applyAlignment="1"/>
    <xf numFmtId="0" fontId="9" fillId="0" borderId="0" xfId="0" applyFont="1" applyAlignment="1">
      <alignment vertical="center"/>
    </xf>
    <xf numFmtId="0" fontId="1" fillId="0" borderId="14"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12" xfId="0" applyFont="1" applyBorder="1" applyAlignment="1">
      <alignment vertical="center" wrapText="1"/>
    </xf>
    <xf numFmtId="0" fontId="1" fillId="0" borderId="11" xfId="0" applyFont="1" applyBorder="1" applyAlignment="1">
      <alignment vertical="center" wrapText="1"/>
    </xf>
    <xf numFmtId="0" fontId="1" fillId="0" borderId="13" xfId="0" applyFont="1" applyBorder="1" applyAlignment="1">
      <alignment vertical="center"/>
    </xf>
    <xf numFmtId="0" fontId="1" fillId="0" borderId="17" xfId="0" applyFont="1" applyBorder="1" applyAlignment="1">
      <alignment vertical="center"/>
    </xf>
    <xf numFmtId="0" fontId="37" fillId="0" borderId="0" xfId="0" applyFont="1" applyAlignment="1">
      <alignment vertical="center"/>
    </xf>
    <xf numFmtId="0" fontId="38" fillId="0" borderId="0" xfId="3" applyFont="1" applyAlignment="1">
      <alignment vertical="top"/>
    </xf>
    <xf numFmtId="0" fontId="39" fillId="0" borderId="0" xfId="3" applyFont="1" applyAlignment="1">
      <alignment vertical="top"/>
    </xf>
    <xf numFmtId="0" fontId="19" fillId="6" borderId="33" xfId="3" applyFont="1" applyFill="1" applyBorder="1" applyAlignment="1" applyProtection="1">
      <alignment vertical="center"/>
      <protection locked="0"/>
    </xf>
    <xf numFmtId="0" fontId="2" fillId="0" borderId="5" xfId="0" applyFont="1" applyBorder="1" applyAlignment="1">
      <alignment horizontal="left" wrapText="1"/>
    </xf>
    <xf numFmtId="0" fontId="33" fillId="0" borderId="0" xfId="0" applyFont="1" applyAlignment="1">
      <alignment horizontal="left" wrapText="1"/>
    </xf>
    <xf numFmtId="0" fontId="33" fillId="0" borderId="0" xfId="0" applyFont="1" applyAlignment="1">
      <alignment horizontal="left"/>
    </xf>
    <xf numFmtId="0" fontId="13" fillId="0" borderId="0" xfId="0" applyFont="1" applyAlignment="1">
      <alignment horizontal="left" wrapText="1"/>
    </xf>
    <xf numFmtId="0" fontId="9" fillId="0" borderId="0" xfId="3" applyFont="1" applyAlignment="1">
      <alignment horizontal="left"/>
    </xf>
    <xf numFmtId="0" fontId="9" fillId="0" borderId="0" xfId="3" applyFont="1" applyAlignment="1">
      <alignment horizontal="center" vertical="center"/>
    </xf>
    <xf numFmtId="0" fontId="14" fillId="0" borderId="0" xfId="3" applyFont="1" applyAlignment="1">
      <alignment horizontal="center" vertical="center"/>
    </xf>
    <xf numFmtId="0" fontId="20" fillId="0" borderId="24" xfId="3" applyFont="1" applyBorder="1" applyAlignment="1">
      <alignment horizontal="center" vertical="center"/>
    </xf>
    <xf numFmtId="0" fontId="20" fillId="0" borderId="43" xfId="3" applyFont="1" applyBorder="1" applyAlignment="1">
      <alignment horizontal="center" vertical="center"/>
    </xf>
    <xf numFmtId="0" fontId="9" fillId="3" borderId="0" xfId="3" applyFont="1" applyFill="1" applyAlignment="1">
      <alignment horizontal="center"/>
    </xf>
    <xf numFmtId="0" fontId="9" fillId="0" borderId="0" xfId="3" applyFont="1" applyAlignment="1">
      <alignment horizontal="center"/>
    </xf>
    <xf numFmtId="0" fontId="9" fillId="0" borderId="43" xfId="3" applyFont="1" applyBorder="1" applyAlignment="1">
      <alignment horizontal="center"/>
    </xf>
    <xf numFmtId="0" fontId="9" fillId="3" borderId="0" xfId="3" applyFont="1" applyFill="1" applyAlignment="1">
      <alignment horizontal="left" vertical="top"/>
    </xf>
    <xf numFmtId="0" fontId="9" fillId="3" borderId="0" xfId="3" applyFont="1" applyFill="1" applyAlignment="1">
      <alignment horizontal="left"/>
    </xf>
    <xf numFmtId="0" fontId="9" fillId="0" borderId="49" xfId="3" applyFont="1" applyBorder="1" applyAlignment="1">
      <alignment horizontal="center"/>
    </xf>
    <xf numFmtId="0" fontId="9" fillId="0" borderId="24" xfId="3" applyFont="1" applyBorder="1" applyAlignment="1" applyProtection="1">
      <alignment horizontal="left" vertical="center"/>
      <protection locked="0"/>
    </xf>
    <xf numFmtId="0" fontId="9" fillId="0" borderId="0" xfId="3" applyFont="1" applyAlignment="1" applyProtection="1">
      <alignment horizontal="left" vertical="center"/>
      <protection locked="0"/>
    </xf>
    <xf numFmtId="0" fontId="33" fillId="0" borderId="0" xfId="0" applyFont="1" applyAlignment="1">
      <alignment horizontal="center"/>
    </xf>
    <xf numFmtId="0" fontId="35" fillId="0" borderId="0" xfId="0" applyFont="1" applyAlignment="1">
      <alignment horizontal="left"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35" fillId="0" borderId="0" xfId="0" applyFont="1" applyAlignment="1">
      <alignment horizontal="center" vertical="center"/>
    </xf>
  </cellXfs>
  <cellStyles count="7">
    <cellStyle name="Comma" xfId="1" builtinId="3"/>
    <cellStyle name="Currency" xfId="2" builtinId="4"/>
    <cellStyle name="Currency 2" xfId="4" xr:uid="{00000000-0005-0000-0000-000002000000}"/>
    <cellStyle name="Hyperlink" xfId="5" builtinId="8"/>
    <cellStyle name="Normal" xfId="0" builtinId="0"/>
    <cellStyle name="Normal 2" xfId="3" xr:uid="{00000000-0005-0000-0000-000005000000}"/>
    <cellStyle name="Percent 2" xfId="6" xr:uid="{00000000-0005-0000-0000-000006000000}"/>
  </cellStyles>
  <dxfs count="2632">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auto="1"/>
        </left>
        <right/>
        <top/>
        <bottom style="thin">
          <color auto="1"/>
        </bottom>
      </border>
    </dxf>
    <dxf>
      <alignment horizontal="general" vertical="bottom" textRotation="0" wrapText="1" indent="0" justifyLastLine="0" shrinkToFit="0" readingOrder="0"/>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bottom" textRotation="0" wrapText="1" indent="0" justifyLastLine="0" shrinkToFit="0" readingOrder="0"/>
      <border diagonalUp="0" diagonalDown="0" outline="0">
        <left style="thin">
          <color auto="1"/>
        </left>
        <right style="thin">
          <color auto="1"/>
        </right>
        <top/>
        <bottom/>
      </border>
    </dxf>
    <dxf>
      <border diagonalUp="0" diagonalDown="0" outline="0">
        <left style="thin">
          <color auto="1"/>
        </left>
        <right/>
        <top/>
        <bottom style="thin">
          <color auto="1"/>
        </bottom>
      </border>
    </dxf>
    <dxf>
      <alignment horizontal="general" vertical="bottom" textRotation="0" wrapText="1" indent="0" justifyLastLine="0" shrinkToFit="0" readingOrder="0"/>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bottom" textRotation="0" wrapText="1" indent="0" justifyLastLine="0" shrinkToFit="0" readingOrder="0"/>
      <border diagonalUp="0" diagonalDown="0" outline="0">
        <left style="thin">
          <color auto="1"/>
        </left>
        <right style="thin">
          <color auto="1"/>
        </right>
        <top/>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auto="1"/>
        </left>
        <right/>
        <top/>
        <bottom style="thin">
          <color auto="1"/>
        </bottom>
      </border>
    </dxf>
    <dxf>
      <alignment horizontal="general" vertical="bottom" textRotation="0" wrapText="1" indent="0" justifyLastLine="0" shrinkToFit="0" readingOrder="0"/>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bottom" textRotation="0" wrapText="1" indent="0" justifyLastLine="0" shrinkToFit="0" readingOrder="0"/>
      <border diagonalUp="0" diagonalDown="0" outline="0">
        <left style="thin">
          <color auto="1"/>
        </left>
        <right style="thin">
          <color auto="1"/>
        </right>
        <top/>
        <bottom/>
      </border>
    </dxf>
    <dxf>
      <border diagonalUp="0" diagonalDown="0" outline="0">
        <left style="thin">
          <color auto="1"/>
        </left>
        <right/>
        <top/>
        <bottom style="thin">
          <color auto="1"/>
        </bottom>
      </border>
    </dxf>
    <dxf>
      <alignment horizontal="general" vertical="bottom" textRotation="0" wrapText="1" indent="0" justifyLastLine="0" shrinkToFit="0" readingOrder="0"/>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bottom" textRotation="0" wrapText="1" indent="0" justifyLastLine="0" shrinkToFit="0" readingOrder="0"/>
      <border diagonalUp="0" diagonalDown="0" outline="0">
        <left style="thin">
          <color auto="1"/>
        </left>
        <right style="thin">
          <color auto="1"/>
        </right>
        <top/>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auto="1"/>
        </left>
        <right/>
        <top/>
        <bottom style="thin">
          <color auto="1"/>
        </bottom>
      </border>
    </dxf>
    <dxf>
      <alignment horizontal="general" vertical="bottom" textRotation="0" wrapText="1" indent="0" justifyLastLine="0" shrinkToFit="0" readingOrder="0"/>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bottom" textRotation="0" wrapText="1" indent="0" justifyLastLine="0" shrinkToFit="0" readingOrder="0"/>
      <border diagonalUp="0" diagonalDown="0" outline="0">
        <left style="thin">
          <color auto="1"/>
        </left>
        <right style="thin">
          <color auto="1"/>
        </right>
        <top/>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auto="1"/>
        </left>
        <right/>
        <top/>
        <bottom style="thin">
          <color auto="1"/>
        </bottom>
      </border>
    </dxf>
    <dxf>
      <alignment horizontal="general" vertical="bottom" textRotation="0" wrapText="1" indent="0" justifyLastLine="0" shrinkToFit="0" readingOrder="0"/>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bottom" textRotation="0" wrapText="1" indent="0" justifyLastLine="0" shrinkToFit="0" readingOrder="0"/>
      <border diagonalUp="0" diagonalDown="0" outline="0">
        <left style="thin">
          <color auto="1"/>
        </left>
        <right style="thin">
          <color auto="1"/>
        </right>
        <top/>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auto="1"/>
        </left>
        <right/>
        <top/>
        <bottom style="thin">
          <color auto="1"/>
        </bottom>
      </border>
    </dxf>
    <dxf>
      <alignment horizontal="general" vertical="bottom" textRotation="0" wrapText="1" indent="0" justifyLastLine="0" shrinkToFit="0" readingOrder="0"/>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bottom" textRotation="0" wrapText="1" indent="0" justifyLastLine="0" shrinkToFit="0" readingOrder="0"/>
      <border diagonalUp="0" diagonalDown="0" outline="0">
        <left style="thin">
          <color auto="1"/>
        </left>
        <right style="thin">
          <color auto="1"/>
        </right>
        <top/>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auto="1"/>
        </left>
        <right/>
        <top/>
        <bottom style="thin">
          <color auto="1"/>
        </bottom>
      </border>
    </dxf>
    <dxf>
      <alignment horizontal="general" vertical="bottom" textRotation="0" wrapText="1" indent="0" justifyLastLine="0" shrinkToFit="0" readingOrder="0"/>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bottom" textRotation="0" wrapText="1" indent="0" justifyLastLine="0" shrinkToFit="0" readingOrder="0"/>
      <border diagonalUp="0" diagonalDown="0" outline="0">
        <left style="thin">
          <color auto="1"/>
        </left>
        <right style="thin">
          <color auto="1"/>
        </right>
        <top/>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center" textRotation="0" wrapText="0"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alignment horizontal="general" vertical="center" textRotation="0" wrapText="0" indent="0" justifyLastLine="0" shrinkToFit="0" readingOrder="0"/>
      <border diagonalUp="0" diagonalDown="0">
        <left style="thin">
          <color auto="1"/>
        </left>
        <right style="thin">
          <color theme="0"/>
        </right>
        <top style="thin">
          <color theme="0"/>
        </top>
        <bottom style="thin">
          <color theme="0"/>
        </bottom>
        <vertical style="thin">
          <color theme="0"/>
        </vertical>
        <horizontal style="thin">
          <color theme="0"/>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left style="thin">
          <color indexed="64"/>
        </left>
        <right style="thin">
          <color auto="1"/>
        </right>
        <top style="thin">
          <color auto="1"/>
        </top>
        <bottom style="thin">
          <color indexed="64"/>
        </bottom>
      </border>
    </dxf>
    <dxf>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style="thin">
          <color auto="1"/>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style="thin">
          <color auto="1"/>
        </right>
        <top style="thin">
          <color auto="1"/>
        </top>
        <bottom/>
        <vertical style="thin">
          <color auto="1"/>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left style="thin">
          <color auto="1"/>
        </left>
        <right style="thin">
          <color auto="1"/>
        </right>
        <vertical style="thin">
          <color auto="1"/>
        </vertical>
      </border>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patternType="solid">
          <fgColor indexed="64"/>
          <bgColor theme="8" tint="0.79998168889431442"/>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thin">
          <color indexed="64"/>
        </top>
        <bottom style="medium">
          <color indexed="64"/>
        </bottom>
      </border>
    </dxf>
    <dxf>
      <border>
        <bottom style="thin">
          <color indexed="64"/>
        </bottom>
      </border>
    </dxf>
    <dxf>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alignment horizontal="left" vertical="center" textRotation="0" wrapText="0" indent="0" justifyLastLine="0" shrinkToFit="0" readingOrder="0"/>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patternType="solid">
          <fgColor indexed="64"/>
          <bgColor theme="8" tint="0.79998168889431442"/>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alignment horizontal="centerContinuous" vertical="center" textRotation="0" wrapText="0"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alignment horizontal="centerContinuous"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alignment horizontal="centerContinuous"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alignment horizontal="centerContinuous" vertical="center" textRotation="0" wrapText="0" indent="0" justifyLastLine="0" shrinkToFit="0" readingOrder="0"/>
      <border diagonalUp="0" diagonalDown="0">
        <left style="thin">
          <color indexed="64"/>
        </left>
        <right style="thin">
          <color theme="0"/>
        </right>
        <top style="thin">
          <color theme="0"/>
        </top>
        <bottom style="thin">
          <color theme="0"/>
        </bottom>
        <vertical style="thin">
          <color theme="0"/>
        </vertical>
        <horizontal style="thin">
          <color theme="0"/>
        </horizontal>
      </border>
    </dxf>
    <dxf>
      <font>
        <b/>
        <i val="0"/>
        <strike val="0"/>
        <condense val="0"/>
        <extend val="0"/>
        <outline val="0"/>
        <shadow val="0"/>
        <u val="none"/>
        <vertAlign val="baseline"/>
        <sz val="11"/>
        <color theme="1"/>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0" formatCode="General"/>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ck">
          <color auto="1"/>
        </right>
        <top style="thin">
          <color auto="1"/>
        </top>
        <bottom style="thin">
          <color auto="1"/>
        </bottom>
      </border>
      <protection locked="1" hidden="0"/>
    </dxf>
    <dxf>
      <font>
        <b val="0"/>
        <i val="0"/>
        <strike val="0"/>
        <condense val="0"/>
        <extend val="0"/>
        <outline val="0"/>
        <shadow val="0"/>
        <u val="none"/>
        <vertAlign val="baseline"/>
        <sz val="12"/>
        <color theme="1"/>
        <name val="Calibri"/>
        <family val="2"/>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ck">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family val="2"/>
        <scheme val="minor"/>
      </font>
      <numFmt numFmtId="0" formatCode="General"/>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ck">
          <color auto="1"/>
        </right>
        <top style="thin">
          <color auto="1"/>
        </top>
        <bottom style="thin">
          <color auto="1"/>
        </bottom>
      </border>
      <protection locked="1" hidden="0"/>
    </dxf>
    <dxf>
      <font>
        <b val="0"/>
        <i val="0"/>
        <strike val="0"/>
        <condense val="0"/>
        <extend val="0"/>
        <outline val="0"/>
        <shadow val="0"/>
        <u val="none"/>
        <vertAlign val="baseline"/>
        <sz val="12"/>
        <color theme="1"/>
        <name val="Calibri"/>
        <family val="2"/>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ck">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family val="2"/>
        <scheme val="minor"/>
      </font>
      <numFmt numFmtId="0" formatCode="General"/>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ck">
          <color auto="1"/>
        </right>
        <top style="thin">
          <color auto="1"/>
        </top>
        <bottom style="thin">
          <color auto="1"/>
        </bottom>
      </border>
      <protection locked="1" hidden="0"/>
    </dxf>
    <dxf>
      <font>
        <b val="0"/>
        <i val="0"/>
        <strike val="0"/>
        <condense val="0"/>
        <extend val="0"/>
        <outline val="0"/>
        <shadow val="0"/>
        <u val="none"/>
        <vertAlign val="baseline"/>
        <sz val="12"/>
        <color theme="1"/>
        <name val="Calibri"/>
        <family val="2"/>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ck">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family val="2"/>
        <scheme val="minor"/>
      </font>
      <numFmt numFmtId="0" formatCode="General"/>
      <fill>
        <patternFill patternType="solid">
          <fgColor indexed="64"/>
          <bgColor theme="6" tint="0.79998168889431442"/>
        </patternFill>
      </fill>
      <alignment horizontal="center" vertical="center" textRotation="0" wrapText="0" indent="0" justifyLastLine="0" shrinkToFit="0" readingOrder="0"/>
      <border diagonalUp="0" diagonalDown="0" outline="0">
        <left style="thin">
          <color auto="1"/>
        </left>
        <right style="thick">
          <color auto="1"/>
        </right>
        <top style="thin">
          <color auto="1"/>
        </top>
        <bottom style="thin">
          <color auto="1"/>
        </bottom>
      </border>
      <protection locked="1" hidden="0"/>
    </dxf>
    <dxf>
      <font>
        <b val="0"/>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ck">
          <color auto="1"/>
        </left>
        <right style="thin">
          <color auto="1"/>
        </right>
        <top style="thin">
          <color auto="1"/>
        </top>
        <bottom style="thin">
          <color auto="1"/>
        </bottom>
      </border>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ck">
          <color auto="1"/>
        </right>
        <top style="thin">
          <color auto="1"/>
        </top>
        <bottom style="thin">
          <color auto="1"/>
        </bottom>
        <vertical/>
        <horizontal/>
      </border>
      <protection locked="0" hidden="0"/>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right style="thick">
          <color auto="1"/>
        </right>
        <top style="thick">
          <color auto="1"/>
        </top>
        <bottom style="thick">
          <color auto="1"/>
        </bottom>
      </border>
      <protection locked="1" hidden="0"/>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thin">
          <color auto="1"/>
        </top>
        <bottom style="thin">
          <color auto="1"/>
        </bottom>
        <vertical/>
        <horizontal/>
      </border>
      <protection locked="1" hidden="0"/>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ck">
          <color auto="1"/>
        </left>
        <right style="thin">
          <color auto="1"/>
        </right>
        <top style="thin">
          <color auto="1"/>
        </top>
        <bottom style="thin">
          <color auto="1"/>
        </bottom>
      </border>
      <protection locked="1" hidden="0"/>
    </dxf>
    <dxf>
      <border>
        <top style="thin">
          <color auto="1"/>
        </top>
      </border>
    </dxf>
    <dxf>
      <border diagonalUp="0" diagonalDown="0">
        <left style="thick">
          <color auto="1"/>
        </left>
        <right style="thick">
          <color auto="1"/>
        </right>
        <top style="thick">
          <color auto="1"/>
        </top>
        <bottom style="thick">
          <color auto="1"/>
        </bottom>
      </border>
    </dxf>
    <dxf>
      <font>
        <b val="0"/>
        <i val="0"/>
        <strike val="0"/>
        <condense val="0"/>
        <extend val="0"/>
        <outline val="0"/>
        <shadow val="0"/>
        <u val="none"/>
        <vertAlign val="baseline"/>
        <sz val="12"/>
        <color theme="1"/>
        <name val="Calibri"/>
        <scheme val="minor"/>
      </font>
      <numFmt numFmtId="30" formatCode="@"/>
      <fill>
        <patternFill patternType="solid">
          <fgColor indexed="64"/>
          <bgColor theme="6" tint="0.79998168889431442"/>
        </patternFill>
      </fill>
      <alignment horizontal="general" vertical="center" textRotation="0" wrapText="0" indent="0" justifyLastLine="0" shrinkToFit="0" readingOrder="0"/>
      <protection locked="1" hidden="0"/>
    </dxf>
    <dxf>
      <border>
        <bottom style="thick">
          <color auto="1"/>
        </bottom>
      </border>
    </dxf>
    <dxf>
      <font>
        <b/>
        <i val="0"/>
        <strike val="0"/>
        <condense val="0"/>
        <extend val="0"/>
        <outline val="0"/>
        <shadow val="0"/>
        <u val="none"/>
        <vertAlign val="baseline"/>
        <sz val="14"/>
        <color auto="1"/>
        <name val="Calibri"/>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bottom/>
      </border>
      <protection locked="1" hidden="0"/>
    </dxf>
    <dxf>
      <fill>
        <patternFill patternType="solid">
          <fgColor indexed="64"/>
          <bgColor theme="8" tint="0.79998168889431442"/>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fill>
        <patternFill patternType="solid">
          <fgColor indexed="64"/>
          <bgColor theme="8"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numFmt numFmtId="34" formatCode="_(&quot;$&quot;* #,##0.00_);_(&quot;$&quot;* \(#,##0.00\);_(&quot;$&quot;* &quot;-&quot;??_);_(@_)"/>
      <fill>
        <patternFill patternType="solid">
          <fgColor indexed="64"/>
          <bgColor theme="8"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protection locked="0" hidden="0"/>
    </dxf>
    <dxf>
      <border outline="0">
        <right style="thin">
          <color indexed="64"/>
        </right>
      </border>
      <protection locked="0" hidden="0"/>
    </dxf>
    <dxf>
      <border outline="0">
        <right style="thin">
          <color indexed="64"/>
        </right>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numFmt numFmtId="164" formatCode="_(* #,##0_);_(* \(#,##0\);_(* &quot;-&quot;??_);_(@_)"/>
      <fill>
        <patternFill patternType="solid">
          <fgColor indexed="64"/>
          <bgColor theme="8" tint="0.79998168889431442"/>
        </patternFill>
      </fill>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solid">
          <fgColor indexed="64"/>
          <bgColor theme="8" tint="0.79998168889431442"/>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8" tint="0.79998168889431442"/>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outline="0">
        <left/>
        <right style="thin">
          <color indexed="64"/>
        </right>
        <top style="thin">
          <color auto="1"/>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ill>
        <patternFill patternType="solid">
          <fgColor indexed="64"/>
          <bgColor theme="8" tint="0.79998168889431442"/>
        </patternFill>
      </fill>
      <border diagonalUp="0" diagonalDown="0" outline="0">
        <left style="thin">
          <color indexed="64"/>
        </left>
        <right style="thin">
          <color indexed="64"/>
        </right>
        <top style="thin">
          <color indexed="64"/>
        </top>
        <bottom style="thin">
          <color indexed="64"/>
        </bottom>
      </border>
      <protection locked="0" hidden="0"/>
    </dxf>
    <dxf>
      <border outline="0">
        <right style="thin">
          <color indexed="64"/>
        </right>
      </border>
    </dxf>
    <dxf>
      <border outline="0">
        <top style="thin">
          <color auto="1"/>
        </top>
      </border>
    </dxf>
    <dxf>
      <border outline="0">
        <top style="medium">
          <color auto="1"/>
        </top>
        <bottom style="thin">
          <color indexed="64"/>
        </bottom>
      </border>
    </dxf>
    <dxf>
      <border outline="0">
        <bottom style="thin">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dxf>
  </dxfs>
  <tableStyles count="0" defaultTableStyle="TableStyleMedium2" defaultPivotStyle="PivotStyleLight16"/>
  <colors>
    <mruColors>
      <color rgb="FFD9E1F2"/>
      <color rgb="FF006100"/>
      <color rgb="FFC6EFCE"/>
      <color rgb="FFFFC7CE"/>
      <color rgb="FF9C0006"/>
      <color rgb="FF006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7448550</xdr:colOff>
      <xdr:row>0</xdr:row>
      <xdr:rowOff>1628775</xdr:rowOff>
    </xdr:from>
    <xdr:to>
      <xdr:col>0</xdr:col>
      <xdr:colOff>9025527</xdr:colOff>
      <xdr:row>0</xdr:row>
      <xdr:rowOff>2268855</xdr:rowOff>
    </xdr:to>
    <xdr:pic>
      <xdr:nvPicPr>
        <xdr:cNvPr id="3" name="Picture 2" descr="CIFR: Center for IDEA Fiscal Reporting" title="CIFR Logo">
          <a:extLst>
            <a:ext uri="{FF2B5EF4-FFF2-40B4-BE49-F238E27FC236}">
              <a16:creationId xmlns:a16="http://schemas.microsoft.com/office/drawing/2014/main" id="{E60E1248-5154-4D7A-9B61-A4F5C392BC88}"/>
            </a:ext>
          </a:extLst>
        </xdr:cNvPr>
        <xdr:cNvPicPr/>
      </xdr:nvPicPr>
      <xdr:blipFill>
        <a:blip xmlns:r="http://schemas.openxmlformats.org/officeDocument/2006/relationships" r:embed="rId1" cstate="print"/>
        <a:stretch>
          <a:fillRect/>
        </a:stretch>
      </xdr:blipFill>
      <xdr:spPr>
        <a:xfrm>
          <a:off x="7448550" y="1628775"/>
          <a:ext cx="1576977" cy="6400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ss_/Google%20Drive/Documents/Westat/LEA%20MOE%20Tools/Calculator%202.0%202016_2021%20Sample%20Draft%20vs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itle Page"/>
      <sheetName val="2. Getting Started"/>
      <sheetName val="3a. Intervening Years"/>
      <sheetName val="3b. High Cost Fund"/>
      <sheetName val="4. Multi-Year MOE Summary"/>
      <sheetName val="5. Year 1 Amounts"/>
      <sheetName val="6. Year 1 Exc &amp; Adj"/>
      <sheetName val="7. Year 1 Summary"/>
      <sheetName val="8. Year 2 Amounts"/>
      <sheetName val="9. Year 2 Exc &amp; Adj"/>
      <sheetName val="10. Year 2 Summary"/>
      <sheetName val="11. Year 3 Amounts"/>
      <sheetName val="12. Year 3 Exc &amp; Adj"/>
      <sheetName val="13. Year 3 Summary"/>
      <sheetName val="14. Year 4 Amounts"/>
      <sheetName val="15. Year 4 Exc &amp; Adj"/>
      <sheetName val="16. Year 4 Summary"/>
      <sheetName val="17. Year 5 Amounts"/>
      <sheetName val="18. Year 5 Exc &amp; Adj"/>
      <sheetName val="19. Year 5 Summary"/>
      <sheetName val="20. Year 6 Amounts"/>
      <sheetName val="21. Year 6 Exc &amp; Adj"/>
      <sheetName val="22. Year 6 Summary"/>
      <sheetName val="23. Year 7 Amounts"/>
      <sheetName val="24. Year 7 Exc &amp; Adj"/>
      <sheetName val="25. Year 7 Summary"/>
      <sheetName val="26. Year 8 Amounts"/>
      <sheetName val="27. Year 8 Exc &amp; Adj"/>
      <sheetName val="28. Year 8 Summary"/>
      <sheetName val="29. Year 9 Amounts"/>
      <sheetName val="30. Year 9 Exc &amp; Adj"/>
      <sheetName val="31. Year 9 Summary"/>
      <sheetName val="32. Year 10 Amounts"/>
      <sheetName val="33. Year 10 Exc &amp; Adj"/>
      <sheetName val="34. Year 10 Summary"/>
      <sheetName val="35. Year 11 Amounts"/>
      <sheetName val="36. Year 11 Exc &amp; Adj"/>
      <sheetName val="37. Year 11 Summary"/>
      <sheetName val="38. Total Local Funds"/>
      <sheetName val="39. Total State &amp; Local Funds"/>
      <sheetName val="40. Local Funds Per Capita"/>
      <sheetName val="41. State &amp; Local Funds Per Cap"/>
      <sheetName val="42. SEA or LEA Worksheet"/>
      <sheetName val="43. SEA Guidance"/>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2" t="str">
            <v>Moved</v>
          </cell>
        </row>
        <row r="3">
          <cell r="A3" t="str">
            <v>Aged out</v>
          </cell>
        </row>
        <row r="4">
          <cell r="A4" t="str">
            <v>Graduated with a regular diploma</v>
          </cell>
        </row>
        <row r="5">
          <cell r="A5" t="str">
            <v>No longer needs the program of special education</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2" xr:uid="{00000000-000C-0000-FFFF-FFFF00000000}" name="Background" displayName="Background" ref="A1:B6" totalsRowShown="0" headerRowDxfId="2631" headerRowBorderDxfId="2630" tableBorderDxfId="2629" totalsRowBorderDxfId="2628">
  <autoFilter ref="A1:B6" xr:uid="{00000000-0009-0000-0100-0000C0000000}">
    <filterColumn colId="0" hiddenButton="1"/>
    <filterColumn colId="1" hiddenButton="1"/>
  </autoFilter>
  <tableColumns count="2">
    <tableColumn id="1" xr3:uid="{00000000-0010-0000-0000-000001000000}" name="Enter the requested information below" dataDxfId="2627"/>
    <tableColumn id="2" xr3:uid="{00000000-0010-0000-0000-000002000000}" name="Information" dataDxfId="2626"/>
  </tableColumns>
  <tableStyleInfo name="TableStyleMedium2" showFirstColumn="0" showLastColumn="0" showRowStripes="0" showColumnStripes="0"/>
  <extLst>
    <ext xmlns:x14="http://schemas.microsoft.com/office/spreadsheetml/2009/9/main" uri="{504A1905-F514-4f6f-8877-14C23A59335A}">
      <x14:table altText="Background information" altTextSummary="Users should enter background information in this table. The fiscal year for Year 1 is essential for the workbook to function."/>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9000000}" name="ExcAReplaceDataYear1Budget" displayName="ExcAReplaceDataYear1Budget" ref="A15:F21" totalsRowShown="0" headerRowDxfId="2558" dataDxfId="2556" headerRowBorderDxfId="2557" tableBorderDxfId="2555">
  <tableColumns count="6">
    <tableColumn id="1" xr3:uid="{00000000-0010-0000-0900-000001000000}" name="Position Title" dataDxfId="2554"/>
    <tableColumn id="2" xr3:uid="{00000000-0010-0000-0900-000002000000}" name="Employee Name" dataDxfId="2553"/>
    <tableColumn id="3" xr3:uid="{00000000-0010-0000-0900-000003000000}" name="This column intentionally left blank" dataDxfId="2552"/>
    <tableColumn id="4" xr3:uid="{00000000-0010-0000-0900-000004000000}" name="Salary" dataDxfId="2551" dataCellStyle="Currency"/>
    <tableColumn id="5" xr3:uid="{00000000-0010-0000-0900-000005000000}" name="Benefits" dataDxfId="2550" dataCellStyle="Currency"/>
    <tableColumn id="8" xr3:uid="{00000000-0010-0000-0900-000008000000}" name="Total Budget" dataDxfId="2549"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1 Eligibility Standard" altTextSummary="Users can enter data in this table for any replacement personnel projected for Year 1. This table is for the eligiblity standard and is based on budget amounts."/>
    </ext>
  </extLst>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3" xr:uid="{00000000-000C-0000-FFFF-FFFF63000000}" name="ComplianceYear4" displayName="ComplianceYear4" ref="A13:E18" totalsRowShown="0" headerRowDxfId="1937" headerRowBorderDxfId="1936" tableBorderDxfId="1935" totalsRowBorderDxfId="1934">
  <autoFilter ref="A13:E18" xr:uid="{00000000-0009-0000-0100-0000D5000000}">
    <filterColumn colId="0" hiddenButton="1"/>
    <filterColumn colId="1" hiddenButton="1"/>
    <filterColumn colId="2" hiddenButton="1"/>
    <filterColumn colId="3" hiddenButton="1"/>
    <filterColumn colId="4" hiddenButton="1"/>
  </autoFilter>
  <tableColumns count="5">
    <tableColumn id="1" xr3:uid="{00000000-0010-0000-6300-000001000000}" name="MOE Information" dataDxfId="1933"/>
    <tableColumn id="2" xr3:uid="{00000000-0010-0000-6300-000002000000}" name="Total Local Funds" dataDxfId="1932"/>
    <tableColumn id="3" xr3:uid="{00000000-0010-0000-6300-000003000000}" name="Total State and Local Funds" dataDxfId="1931"/>
    <tableColumn id="4" xr3:uid="{00000000-0010-0000-6300-000004000000}" name="Local Funds Per Capita" dataDxfId="1930"/>
    <tableColumn id="5" xr3:uid="{00000000-0010-0000-6300-000005000000}" name="State and Local Funds Per Capita" dataDxfId="1929"/>
  </tableColumns>
  <tableStyleInfo name="TableStyleLight18" showFirstColumn="0" showLastColumn="0" showRowStripes="0" showColumnStripes="0"/>
  <extLst>
    <ext xmlns:x14="http://schemas.microsoft.com/office/spreadsheetml/2009/9/main" uri="{504A1905-F514-4f6f-8877-14C23A59335A}">
      <x14:table altText="Year 4 Compliance Standard" altTextSummary="This table displays MOE amounts and results for the compliance standard for Year 4."/>
    </ext>
  </extLst>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4" xr:uid="{00000000-000C-0000-FFFF-FFFF64000000}" name="RepaymentYear4" displayName="RepaymentYear4" ref="A21:B27" totalsRowShown="0" headerRowBorderDxfId="1928" tableBorderDxfId="1927" totalsRowBorderDxfId="1926">
  <autoFilter ref="A21:B27" xr:uid="{00000000-0009-0000-0100-0000D6000000}">
    <filterColumn colId="0" hiddenButton="1"/>
    <filterColumn colId="1" hiddenButton="1"/>
  </autoFilter>
  <tableColumns count="2">
    <tableColumn id="1" xr3:uid="{00000000-0010-0000-6400-000001000000}" name="Repayment data" dataDxfId="1925"/>
    <tableColumn id="2" xr3:uid="{00000000-0010-0000-6400-000002000000}" name="Data for Year 4"/>
  </tableColumns>
  <tableStyleInfo name="TableStyleLight18" showFirstColumn="0" showLastColumn="0" showRowStripes="0" showColumnStripes="0"/>
  <extLst>
    <ext xmlns:x14="http://schemas.microsoft.com/office/spreadsheetml/2009/9/main" uri="{504A1905-F514-4f6f-8877-14C23A59335A}">
      <x14:table altText="Year 4 Repayment" altTextSummary="This table calculates the repayment amount for Year 4 if the LEA fails MOE by all four methods for the compliance standard. Users must enter data for IDEA allocations."/>
    </ext>
  </extLst>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0" xr:uid="{00000000-000C-0000-FFFF-FFFF65000000}" name="ExcAdjSummaryYear4" displayName="ExcAdjSummaryYear4" ref="A33:E40" totalsRowShown="0" headerRowDxfId="1924" headerRowBorderDxfId="1923" tableBorderDxfId="1922" totalsRowBorderDxfId="1921">
  <autoFilter ref="A33:E40" xr:uid="{00000000-0009-0000-0100-000054010000}">
    <filterColumn colId="0" hiddenButton="1"/>
    <filterColumn colId="1" hiddenButton="1"/>
    <filterColumn colId="2" hiddenButton="1"/>
    <filterColumn colId="3" hiddenButton="1"/>
    <filterColumn colId="4" hiddenButton="1"/>
  </autoFilter>
  <tableColumns count="5">
    <tableColumn id="1" xr3:uid="{00000000-0010-0000-6500-000001000000}" name="Exception or Adjustment" dataDxfId="1920"/>
    <tableColumn id="2" xr3:uid="{00000000-0010-0000-6500-000002000000}" name="Projected Local Funds" dataDxfId="1919"/>
    <tableColumn id="3" xr3:uid="{00000000-0010-0000-6500-000003000000}" name="Projected State and Local Funds" dataDxfId="1918"/>
    <tableColumn id="4" xr3:uid="{00000000-0010-0000-6500-000004000000}" name="Local Funds" dataDxfId="1917"/>
    <tableColumn id="5" xr3:uid="{00000000-0010-0000-6500-000005000000}" name="State and Local Funds" dataDxfId="1916"/>
  </tableColumns>
  <tableStyleInfo name="TableStyleLight18" showFirstColumn="0" showLastColumn="0" showRowStripes="0" showColumnStripes="0"/>
  <extLst>
    <ext xmlns:x14="http://schemas.microsoft.com/office/spreadsheetml/2009/9/main" uri="{504A1905-F514-4f6f-8877-14C23A59335A}">
      <x14:table altText="Summary of Year 4 Exceptions and Adjustment" altTextSummary="This table presents a summary of all exceptions taken for Year 4. Detailed data on the exceptions are entered on the Exc &amp; Adj tab for Year 4."/>
    </ext>
  </extLst>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66000000}" name="BudgetYear5" displayName="BudgetYear5" ref="A4:F31" totalsRowShown="0" headerRowDxfId="1915" tableBorderDxfId="1914">
  <tableColumns count="6">
    <tableColumn id="1" xr3:uid="{00000000-0010-0000-6600-000001000000}" name="Object Description" dataDxfId="1913"/>
    <tableColumn id="2" xr3:uid="{00000000-0010-0000-6600-000002000000}" name="Code 1" dataDxfId="1912"/>
    <tableColumn id="7" xr3:uid="{00000000-0010-0000-6600-000007000000}" name="Code 2" dataDxfId="1911"/>
    <tableColumn id="3" xr3:uid="{00000000-0010-0000-6600-000003000000}" name="Local" dataDxfId="1910" dataCellStyle="Currency"/>
    <tableColumn id="4" xr3:uid="{00000000-0010-0000-6600-000004000000}" name="State" dataDxfId="1909" dataCellStyle="Currency"/>
    <tableColumn id="5" xr3:uid="{00000000-0010-0000-6600-000005000000}" name="State and Local" dataDxfId="1908"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5" altTextSummary="In this table, users will enter their budget amounts for Year 5. The column headers for the first three columns are unlocked and can be edited. If the LEA cannot separately budget for state and local funds, leave the Local column blank."/>
    </ext>
  </extLst>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67000000}" name="ExpendituresYear5" displayName="ExpendituresYear5" ref="H4:M31" totalsRowShown="0" headerRowDxfId="1907" tableBorderDxfId="1906">
  <tableColumns count="6">
    <tableColumn id="1" xr3:uid="{00000000-0010-0000-6700-000001000000}" name="Object Description" dataDxfId="1905"/>
    <tableColumn id="2" xr3:uid="{00000000-0010-0000-6700-000002000000}" name="Code" dataDxfId="1904"/>
    <tableColumn id="6" xr3:uid="{00000000-0010-0000-6700-000006000000}" name="Code 2" dataDxfId="1903"/>
    <tableColumn id="3" xr3:uid="{00000000-0010-0000-6700-000003000000}" name="Local" dataDxfId="1902" dataCellStyle="Currency"/>
    <tableColumn id="4" xr3:uid="{00000000-0010-0000-6700-000004000000}" name="State" dataDxfId="1901" dataCellStyle="Currency"/>
    <tableColumn id="5" xr3:uid="{00000000-0010-0000-6700-000005000000}" name="State and Local" dataDxfId="1900"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5" altTextSummary="In this table, users will enter the LEA's final expenditures for Year 5. The column headers for the first three columns are unlocked and can be edited. If the LEA cannot separately budget for state and local funds, leave the Local column blank."/>
    </ext>
  </extLst>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68000000}" name="ExcADepartingDataYear5Budget" displayName="ExcADepartingDataYear5Budget" ref="A7:F13" totalsRowShown="0" headerRowDxfId="1899" dataDxfId="1897" headerRowBorderDxfId="1898" tableBorderDxfId="1896">
  <tableColumns count="6">
    <tableColumn id="1" xr3:uid="{00000000-0010-0000-6800-000001000000}" name="Position Title" dataDxfId="1895"/>
    <tableColumn id="2" xr3:uid="{00000000-0010-0000-6800-000002000000}" name="Employee Name" dataDxfId="1894"/>
    <tableColumn id="3" xr3:uid="{00000000-0010-0000-6800-000003000000}" name="Reason for Leaving" dataDxfId="1893"/>
    <tableColumn id="4" xr3:uid="{00000000-0010-0000-6800-000004000000}" name="Salary" dataDxfId="1892" dataCellStyle="Currency"/>
    <tableColumn id="5" xr3:uid="{00000000-0010-0000-6800-000005000000}" name="Benefits" dataDxfId="1891" dataCellStyle="Currency"/>
    <tableColumn id="8" xr3:uid="{00000000-0010-0000-6800-000008000000}" name="Total Budget" dataDxfId="189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5 Eligiblity Standard" altTextSummary="Users can enter data in this table for any departing personnel projected for Year 5. This table is for the eligiblity standard and is based on budget amounts."/>
    </ext>
  </extLst>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69000000}" name="ExcAReplaceDataYear5Budget" displayName="ExcAReplaceDataYear5Budget" ref="A15:F21" totalsRowShown="0" headerRowDxfId="1889" dataDxfId="1887" headerRowBorderDxfId="1888" tableBorderDxfId="1886">
  <tableColumns count="6">
    <tableColumn id="1" xr3:uid="{00000000-0010-0000-6900-000001000000}" name="Position Title" dataDxfId="1885"/>
    <tableColumn id="2" xr3:uid="{00000000-0010-0000-6900-000002000000}" name="Employee Name" dataDxfId="1884"/>
    <tableColumn id="3" xr3:uid="{00000000-0010-0000-6900-000003000000}" name="This column intentionally left blank" dataDxfId="1883"/>
    <tableColumn id="4" xr3:uid="{00000000-0010-0000-6900-000004000000}" name="Salary" dataDxfId="1882" dataCellStyle="Currency"/>
    <tableColumn id="5" xr3:uid="{00000000-0010-0000-6900-000005000000}" name="Benefits" dataDxfId="1881" dataCellStyle="Currency"/>
    <tableColumn id="8" xr3:uid="{00000000-0010-0000-6900-000008000000}" name="Total Budget" dataDxfId="188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5 Eligibility Standard" altTextSummary="Users can enter data in this table for any replacement personnel projected for Year 5. This table is for the eligiblity standard and is based on budget amounts."/>
    </ext>
  </extLst>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6A000000}" name="ExcDDataYear5Budget" displayName="ExcDDataYear5Budget" ref="A47:B53" totalsRowShown="0" headerRowDxfId="1879" dataDxfId="1877" headerRowBorderDxfId="1878" tableBorderDxfId="1876">
  <tableColumns count="2">
    <tableColumn id="1" xr3:uid="{00000000-0010-0000-6A00-000001000000}" name="Description" dataDxfId="1875"/>
    <tableColumn id="2" xr3:uid="{00000000-0010-0000-6A00-000002000000}" name="Budgeted Cost in Final Year" dataDxfId="187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5 Eligiblity Standard" altTextSummary="Users can enter data in this table for the projected termination of costly expenditures for long-term purchases for Year 5. This table is for the eligiblity standard and is based on budget amounts."/>
    </ext>
  </extLst>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6B000000}" name="AdjDataYear5Budget" displayName="AdjDataYear5Budget" ref="A71:B72" totalsRowShown="0" headerRowDxfId="1873" dataDxfId="1871" headerRowBorderDxfId="1872" tableBorderDxfId="1870" totalsRowBorderDxfId="1869">
  <tableColumns count="2">
    <tableColumn id="1" xr3:uid="{00000000-0010-0000-6B00-000001000000}" name="Column1" dataDxfId="1868"/>
    <tableColumn id="2" xr3:uid="{00000000-0010-0000-6B00-000002000000}" name="Projected Adjustment" dataDxfId="1867"/>
  </tableColumns>
  <tableStyleInfo name="TableStyleMedium9" showFirstColumn="0" showLastColumn="0" showRowStripes="0" showColumnStripes="0"/>
  <extLst>
    <ext xmlns:x14="http://schemas.microsoft.com/office/spreadsheetml/2009/9/main" uri="{504A1905-F514-4f6f-8877-14C23A59335A}">
      <x14:table altText="MOE Adjustment Data Entry for Year 5 Eligiblity Standard" altTextSummary="Users can enter data in this table for the projected Adjustment to MOE for Year 5. This table is for the eligiblity standard and is based on budget amounts. Use IDC's MOE Reduction Decision Tree and Calculator to determine the adjustment amount."/>
    </ext>
  </extLst>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6C000000}" name="ExcCDataYear5Budget" displayName="ExcCDataYear5Budget" ref="A37:C43" totalsRowShown="0" headerRowDxfId="1866" dataDxfId="1865" tableBorderDxfId="1864">
  <tableColumns count="3">
    <tableColumn id="1" xr3:uid="{00000000-0010-0000-6C00-000001000000}" name="Student Identifier" dataDxfId="1863"/>
    <tableColumn id="2" xr3:uid="{00000000-0010-0000-6C00-000002000000}" name="Reason" dataDxfId="1862"/>
    <tableColumn id="3" xr3:uid="{00000000-0010-0000-6C00-000003000000}" name="Budgeted Cost" dataDxfId="186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5 Eligiblity Standard" altTextSummary="Users can enter data in this table for the projected termination of the obligation to provide special education to a particular student that is an exceptionally costly program projected for Year 5. This table is for the eligiblity standard and is based on budget amount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A000000}" name="ExcDDataYear1Budget" displayName="ExcDDataYear1Budget" ref="A47:B53" totalsRowShown="0" headerRowDxfId="2548" dataDxfId="2546" headerRowBorderDxfId="2547" tableBorderDxfId="2545">
  <tableColumns count="2">
    <tableColumn id="1" xr3:uid="{00000000-0010-0000-0A00-000001000000}" name="Description" dataDxfId="2544"/>
    <tableColumn id="2" xr3:uid="{00000000-0010-0000-0A00-000002000000}" name="Budgeted Cost in Final Year" dataDxfId="2543"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1 Eligiblity Standard" altTextSummary="Users can enter data in this table for the projected termination of costly expenditures for long-term purchases for Year 1. This table is for the eligiblity standard and is based on budget amounts."/>
    </ext>
  </extLst>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6D000000}" name="ExcEDataYear5Budget" displayName="ExcEDataYear5Budget" ref="A57:B63" totalsRowShown="0" headerRowDxfId="1860" tableBorderDxfId="1859">
  <tableColumns count="2">
    <tableColumn id="1" xr3:uid="{00000000-0010-0000-6D00-000001000000}" name="Student Identifier" dataDxfId="1858"/>
    <tableColumn id="2" xr3:uid="{00000000-0010-0000-6D00-000002000000}" name="Budgeted Cost Assumed by SEA" dataDxfId="1857"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5 Eligiblity Standard" altTextSummary="Users can enter data for the projected assumption of cost by the high cost fund operated by the SEA for Year 5. This table is for the eligibility standard and uses budget data. The table will not calculate a total if tab 3b indicates that the SEA does not have a high cost fund in Year 5."/>
    </ext>
  </extLst>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6E000000}" name="ExcBChildCountDataYear5Budget" displayName="ExcBChildCountDataYear5Budget" ref="A25:B29" totalsRowShown="0" headerRowDxfId="1856" dataDxfId="1855">
  <tableColumns count="2">
    <tableColumn id="1" xr3:uid="{00000000-0010-0000-6E00-000001000000}" name="Column1" dataDxfId="1854"/>
    <tableColumn id="2" xr3:uid="{00000000-0010-0000-6E00-000002000000}" name="Column2" dataDxfId="1853"/>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5 Eligibility Standard" altTextSummary="This table automatically calculates the change in enrollment for Year 5 to determine whether the LEA can apply exception (b). This table is for the eligibility standard."/>
    </ext>
  </extLst>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6F000000}" name="ExcBFundsDataYear5Budget" displayName="ExcBFundsDataYear5Budget" ref="A30:C32" totalsRowShown="0" headerRowDxfId="1852" dataDxfId="1850" headerRowBorderDxfId="1851" tableBorderDxfId="1849" totalsRowBorderDxfId="1848">
  <tableColumns count="3">
    <tableColumn id="1" xr3:uid="{00000000-0010-0000-6F00-000001000000}" name="Column1" dataDxfId="1847"/>
    <tableColumn id="2" xr3:uid="{00000000-0010-0000-6F00-000002000000}" name="Total Local Funds" dataDxfId="1846">
      <calculatedColumnFormula>'2. Getting Started'!C17</calculatedColumnFormula>
    </tableColumn>
    <tableColumn id="3" xr3:uid="{00000000-0010-0000-6F00-000003000000}" name="Total State and Local Funds" dataDxfId="1845">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5 Eligiblity Standard" altTextSummary="This table automatically calculates the projected reduction based on a decrease in enrollment for Year 5. This table is for the eligibility standard and uses budget data. The row for Projected Reduction will be blank if there is no decrease in child count."/>
    </ext>
  </extLst>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70000000}" name="ExcADepartingDataYear5Expenditures" displayName="ExcADepartingDataYear5Expenditures" ref="H7:M13" totalsRowShown="0" headerRowDxfId="1844" dataDxfId="1842" headerRowBorderDxfId="1843" tableBorderDxfId="1841">
  <tableColumns count="6">
    <tableColumn id="1" xr3:uid="{00000000-0010-0000-7000-000001000000}" name="Position Title" dataDxfId="1840"/>
    <tableColumn id="2" xr3:uid="{00000000-0010-0000-7000-000002000000}" name="Employee Name" dataDxfId="1839"/>
    <tableColumn id="3" xr3:uid="{00000000-0010-0000-7000-000003000000}" name="Reason for Leaving" dataDxfId="1838"/>
    <tableColumn id="4" xr3:uid="{00000000-0010-0000-7000-000004000000}" name="Salary" dataDxfId="1837" dataCellStyle="Currency"/>
    <tableColumn id="5" xr3:uid="{00000000-0010-0000-7000-000005000000}" name="Benefits" dataDxfId="1836" dataCellStyle="Currency"/>
    <tableColumn id="8" xr3:uid="{00000000-0010-0000-7000-000008000000}" name="Total Expenditures" dataDxfId="1835"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5 Compliance Standard" altTextSummary="Users can enter data in this table for any departing personnel for Year 5. This table is for the compliance standard and is based on final expenditures."/>
    </ext>
  </extLst>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71000000}" name="ExcAReplaceDataYear5Expenditures" displayName="ExcAReplaceDataYear5Expenditures" ref="H15:M21" totalsRowShown="0" headerRowDxfId="1834" dataDxfId="1832" headerRowBorderDxfId="1833" tableBorderDxfId="1831">
  <tableColumns count="6">
    <tableColumn id="1" xr3:uid="{00000000-0010-0000-7100-000001000000}" name="Position Title" dataDxfId="1830"/>
    <tableColumn id="2" xr3:uid="{00000000-0010-0000-7100-000002000000}" name="Employee Name" dataDxfId="1829"/>
    <tableColumn id="3" xr3:uid="{00000000-0010-0000-7100-000003000000}" name="This column intentionally left blank" dataDxfId="1828"/>
    <tableColumn id="4" xr3:uid="{00000000-0010-0000-7100-000004000000}" name="Salary" dataDxfId="1827" dataCellStyle="Currency"/>
    <tableColumn id="5" xr3:uid="{00000000-0010-0000-7100-000005000000}" name="Benefits" dataDxfId="1826" dataCellStyle="Currency"/>
    <tableColumn id="8" xr3:uid="{00000000-0010-0000-7100-000008000000}" name="Total Expenditures" dataDxfId="1825"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5 Compliance Standard" altTextSummary="Users can enter data in this table for any replacement personnel for Year 5. This table is for the compliance standard and is based on final expenditures."/>
    </ext>
  </extLst>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72000000}" name="ExcDDataYear5Expenditures" displayName="ExcDDataYear5Expenditures" ref="H47:I53" totalsRowShown="0" headerRowDxfId="1824" dataDxfId="1822" headerRowBorderDxfId="1823" tableBorderDxfId="1821">
  <tableColumns count="2">
    <tableColumn id="1" xr3:uid="{00000000-0010-0000-7200-000001000000}" name="Description" dataDxfId="1820"/>
    <tableColumn id="2" xr3:uid="{00000000-0010-0000-7200-000002000000}" name="Cost in Final Year of Expenditure" dataDxfId="1819"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5 Compliance Standard" altTextSummary="Users can enter data in this table for the termination of costly expenditures for long-term purchases for Year 5. This table is for the compliance standard and is based on final expenditures."/>
    </ext>
  </extLst>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73000000}" name="AdjDataYear5Expenditures" displayName="AdjDataYear5Expenditures" ref="H71:I72" totalsRowShown="0" headerRowDxfId="1818" dataDxfId="1816" headerRowBorderDxfId="1817" tableBorderDxfId="1815" totalsRowBorderDxfId="1814">
  <tableColumns count="2">
    <tableColumn id="1" xr3:uid="{00000000-0010-0000-7300-000001000000}" name="Column1" dataDxfId="1813"/>
    <tableColumn id="2" xr3:uid="{00000000-0010-0000-7300-000002000000}" name="Adjustment " dataDxfId="1812"/>
  </tableColumns>
  <tableStyleInfo name="TableStyleMedium9" showFirstColumn="0" showLastColumn="0" showRowStripes="0" showColumnStripes="0"/>
  <extLst>
    <ext xmlns:x14="http://schemas.microsoft.com/office/spreadsheetml/2009/9/main" uri="{504A1905-F514-4f6f-8877-14C23A59335A}">
      <x14:table altText="MOE Adjustment Data Entry for Year 5 Compliance Standard" altTextSummary="Users can enter data in this table for the Adjustment to MOE for Year 5. This table is for the compliance standard and is based on final expenditures. Use IDC's MOE Reduction Decision Tree and Calculator to determine the adjustment amount."/>
    </ext>
  </extLst>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74000000}" name="ExcCDataYear5Expenditures" displayName="ExcCDataYear5Expenditures" ref="H37:J43" totalsRowShown="0" headerRowDxfId="1811" dataDxfId="1810" tableBorderDxfId="1809">
  <tableColumns count="3">
    <tableColumn id="1" xr3:uid="{00000000-0010-0000-7400-000001000000}" name="Student Identifier" dataDxfId="1808"/>
    <tableColumn id="2" xr3:uid="{00000000-0010-0000-7400-000002000000}" name="Reason" dataDxfId="1807"/>
    <tableColumn id="3" xr3:uid="{00000000-0010-0000-7400-000003000000}" name="Expenditures" dataDxfId="1806"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5 Compliance Standard" altTextSummary="Users can enter data in this table for the termination of the obligation to provide special education to a particular student that is an exceptionally costly program projected for Year 5. This table is for the compliance standard and is based on final expenditures."/>
    </ext>
  </extLst>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75000000}" name="ExcEDataYear5Expenditures" displayName="ExcEDataYear5Expenditures" ref="H57:I63" totalsRowShown="0" headerRowDxfId="1805" tableBorderDxfId="1804">
  <tableColumns count="2">
    <tableColumn id="1" xr3:uid="{00000000-0010-0000-7500-000001000000}" name="Student Identifier" dataDxfId="1803"/>
    <tableColumn id="2" xr3:uid="{00000000-0010-0000-7500-000002000000}" name="Cost Assumed by SEA" dataDxfId="180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5 Compliance Standard" altTextSummary="Users can enter data for the assumption of cost by the high cost fund operated by the SEA for Year 5. This table is for the compliance standard and uses final expenditures. The table will not calculate a total if tab 3b indicates that the SEA does not have a high cost fund in Year 5."/>
    </ext>
  </extLst>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76000000}" name="ExcBChildCountDataYear5Expenditures" displayName="ExcBChildCountDataYear5Expenditures" ref="H25:I29" totalsRowShown="0" headerRowDxfId="1801" dataDxfId="1800">
  <tableColumns count="2">
    <tableColumn id="1" xr3:uid="{00000000-0010-0000-7600-000001000000}" name="Column1" dataDxfId="1799"/>
    <tableColumn id="2" xr3:uid="{00000000-0010-0000-7600-000002000000}" name="Column2" dataDxfId="179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5 Compliance Standard" altTextSummary="This table automatically calculates the change in enrollment for Year 5 to determine whether the LEA can apply exception (b). This table is for the compliance standar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B000000}" name="AdjDataYear1Budget" displayName="AdjDataYear1Budget" ref="A71:B72" totalsRowShown="0" headerRowDxfId="2542" dataDxfId="2540" headerRowBorderDxfId="2541" tableBorderDxfId="2539" totalsRowBorderDxfId="2538">
  <tableColumns count="2">
    <tableColumn id="1" xr3:uid="{00000000-0010-0000-0B00-000001000000}" name="Column1" dataDxfId="2537"/>
    <tableColumn id="2" xr3:uid="{00000000-0010-0000-0B00-000002000000}" name="Projected Adjustment" dataDxfId="2536"/>
  </tableColumns>
  <tableStyleInfo name="TableStyleMedium9" showFirstColumn="0" showLastColumn="0" showRowStripes="0" showColumnStripes="0"/>
  <extLst>
    <ext xmlns:x14="http://schemas.microsoft.com/office/spreadsheetml/2009/9/main" uri="{504A1905-F514-4f6f-8877-14C23A59335A}">
      <x14:table altText="MOE Adjustment Data Entry for Year 1 Eligiblity Standard" altTextSummary="Users can enter data in this table for the projected Adjustment to MOE for Year 1. This table is for the eligiblity standard and is based on budget amounts. Use IDC's MOE Reduction Decision Tree and Calculator to determine the adjustment amount."/>
    </ext>
  </extLst>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77000000}" name="ExcBFundsDataYear5Expenditures" displayName="ExcBFundsDataYear5Expenditures" ref="H30:J32" totalsRowShown="0" headerRowDxfId="1797" dataDxfId="1795" headerRowBorderDxfId="1796" tableBorderDxfId="1794" totalsRowBorderDxfId="1793">
  <tableColumns count="3">
    <tableColumn id="1" xr3:uid="{00000000-0010-0000-7700-000001000000}" name="Column1" dataDxfId="1792"/>
    <tableColumn id="2" xr3:uid="{00000000-0010-0000-7700-000002000000}" name="Local Total" dataDxfId="1791"/>
    <tableColumn id="3" xr3:uid="{00000000-0010-0000-7700-000003000000}" name="State and Local Total" dataDxfId="1790"/>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5 Compliance Standard" altTextSummary="This table automatically calculates the reduction based on a decrease in enrollment for Year 5. This table is for the compliance standard and uses final expenditures. The row for Allowed Reduction will be blank and blacked out if there is no decrease in child count."/>
    </ext>
  </extLst>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5" xr:uid="{00000000-000C-0000-FFFF-FFFF78000000}" name="TotalBudgetedExcYear5" displayName="TotalBudgetedExcYear5" ref="A66:B68" totalsRowShown="0" headerRowDxfId="1789" headerRowBorderDxfId="1788" tableBorderDxfId="1787" totalsRowBorderDxfId="1786">
  <autoFilter ref="A66:B68" xr:uid="{00000000-0009-0000-0100-0000D7000000}">
    <filterColumn colId="0" hiddenButton="1"/>
    <filterColumn colId="1" hiddenButton="1"/>
  </autoFilter>
  <tableColumns count="2">
    <tableColumn id="1" xr3:uid="{00000000-0010-0000-7800-000001000000}" name="Source" dataDxfId="1785" dataCellStyle="Normal 2"/>
    <tableColumn id="2" xr3:uid="{00000000-0010-0000-7800-000002000000}" name="Total" dataDxfId="1784" dataCellStyle="Currency 2">
      <calculatedColumnFormula>IF(B$28&gt;=0,(F$22+C$43+B$53+B$63),(F$22+C$43+B$53+B$63+C$32))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Projected Exceptions for Year 5 Eligibility Standard" altTextSummary="This table displays the total projected exceptions entered for the eligibility standard for Year 5."/>
    </ext>
  </extLst>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6" xr:uid="{00000000-000C-0000-FFFF-FFFF79000000}" name="TotalExpendituresExcYear5" displayName="TotalExpendituresExcYear5" ref="H66:I68" totalsRowShown="0" headerRowDxfId="1783" headerRowBorderDxfId="1782" tableBorderDxfId="1781" totalsRowBorderDxfId="1780">
  <autoFilter ref="H66:I68" xr:uid="{00000000-0009-0000-0100-0000D8000000}">
    <filterColumn colId="0" hiddenButton="1"/>
    <filterColumn colId="1" hiddenButton="1"/>
  </autoFilter>
  <tableColumns count="2">
    <tableColumn id="1" xr3:uid="{00000000-0010-0000-7900-000001000000}" name="Source" dataDxfId="1779" dataCellStyle="Normal 2"/>
    <tableColumn id="2" xr3:uid="{00000000-0010-0000-7900-000002000000}" name="Total" dataDxfId="1778" dataCellStyle="Currency 2">
      <calculatedColumnFormula>IF(I$28&gt;=0,(M$22+J$43+I$53+I$63),(M$22+J$43+I$53+I$63+J$32))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Exceptions for Year 5 Compliance Standard" altTextSummary="This table displays the total exceptions entered for the compliance standard for Year 5."/>
    </ext>
  </extLst>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7" xr:uid="{00000000-000C-0000-FFFF-FFFF7A000000}" name="EligibilityYear5" displayName="EligibilityYear5" ref="A5:E10" totalsRowShown="0" headerRowDxfId="1777" headerRowBorderDxfId="1776" tableBorderDxfId="1775" totalsRowBorderDxfId="1774">
  <autoFilter ref="A5:E10" xr:uid="{00000000-0009-0000-0100-0000D9000000}">
    <filterColumn colId="0" hiddenButton="1"/>
    <filterColumn colId="1" hiddenButton="1"/>
    <filterColumn colId="2" hiddenButton="1"/>
    <filterColumn colId="3" hiddenButton="1"/>
    <filterColumn colId="4" hiddenButton="1"/>
  </autoFilter>
  <tableColumns count="5">
    <tableColumn id="1" xr3:uid="{00000000-0010-0000-7A00-000001000000}" name="MOE Information" dataDxfId="1773"/>
    <tableColumn id="2" xr3:uid="{00000000-0010-0000-7A00-000002000000}" name="Total Local Funds"/>
    <tableColumn id="3" xr3:uid="{00000000-0010-0000-7A00-000003000000}" name="Total State and Local Funds"/>
    <tableColumn id="4" xr3:uid="{00000000-0010-0000-7A00-000004000000}" name="Local Funds Per Capita"/>
    <tableColumn id="5" xr3:uid="{00000000-0010-0000-7A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5 Eligibility Standard" altTextSummary="This table displays MOE amounts and results for the eligibility standard for Year 5."/>
    </ext>
  </extLst>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8" xr:uid="{00000000-000C-0000-FFFF-FFFF7B000000}" name="ComplianceYear5" displayName="ComplianceYear5" ref="A13:E18" totalsRowShown="0" headerRowDxfId="1772" headerRowBorderDxfId="1771" tableBorderDxfId="1770" totalsRowBorderDxfId="1769">
  <autoFilter ref="A13:E18" xr:uid="{00000000-0009-0000-0100-0000DA000000}">
    <filterColumn colId="0" hiddenButton="1"/>
    <filterColumn colId="1" hiddenButton="1"/>
    <filterColumn colId="2" hiddenButton="1"/>
    <filterColumn colId="3" hiddenButton="1"/>
    <filterColumn colId="4" hiddenButton="1"/>
  </autoFilter>
  <tableColumns count="5">
    <tableColumn id="1" xr3:uid="{00000000-0010-0000-7B00-000001000000}" name="MOE Information" dataDxfId="1768"/>
    <tableColumn id="2" xr3:uid="{00000000-0010-0000-7B00-000002000000}" name="Total Local Funds" dataDxfId="1767"/>
    <tableColumn id="3" xr3:uid="{00000000-0010-0000-7B00-000003000000}" name="Total State and Local Funds" dataDxfId="1766"/>
    <tableColumn id="4" xr3:uid="{00000000-0010-0000-7B00-000004000000}" name="Local Funds Per Capita" dataDxfId="1765"/>
    <tableColumn id="5" xr3:uid="{00000000-0010-0000-7B00-000005000000}" name="State and Local Funds Per Capita" dataDxfId="1764"/>
  </tableColumns>
  <tableStyleInfo name="TableStyleLight18" showFirstColumn="0" showLastColumn="0" showRowStripes="0" showColumnStripes="0"/>
  <extLst>
    <ext xmlns:x14="http://schemas.microsoft.com/office/spreadsheetml/2009/9/main" uri="{504A1905-F514-4f6f-8877-14C23A59335A}">
      <x14:table altText="Year 5 Compliance Standard" altTextSummary="This table displays MOE amounts and results for the compliance standard for Year 5."/>
    </ext>
  </extLst>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9" xr:uid="{00000000-000C-0000-FFFF-FFFF7C000000}" name="RepaymentYear5" displayName="RepaymentYear5" ref="A21:B27" totalsRowShown="0" headerRowBorderDxfId="1763" tableBorderDxfId="1762" totalsRowBorderDxfId="1761">
  <autoFilter ref="A21:B27" xr:uid="{00000000-0009-0000-0100-0000DB000000}">
    <filterColumn colId="0" hiddenButton="1"/>
    <filterColumn colId="1" hiddenButton="1"/>
  </autoFilter>
  <tableColumns count="2">
    <tableColumn id="1" xr3:uid="{00000000-0010-0000-7C00-000001000000}" name="Repayment data" dataDxfId="1760"/>
    <tableColumn id="2" xr3:uid="{00000000-0010-0000-7C00-000002000000}" name="Data for Year 5"/>
  </tableColumns>
  <tableStyleInfo name="TableStyleLight18" showFirstColumn="0" showLastColumn="0" showRowStripes="0" showColumnStripes="0"/>
  <extLst>
    <ext xmlns:x14="http://schemas.microsoft.com/office/spreadsheetml/2009/9/main" uri="{504A1905-F514-4f6f-8877-14C23A59335A}">
      <x14:table altText="Year 5 Repayment" altTextSummary="This table calculates the repayment amount for Year 5 if the LEA fails MOE by all four methods for the compliance standard. Users must enter data for IDEA allocations."/>
    </ext>
  </extLst>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1" xr:uid="{00000000-000C-0000-FFFF-FFFF7D000000}" name="ExcAdjSummaryYear5" displayName="ExcAdjSummaryYear5" ref="A33:E40" totalsRowShown="0" headerRowDxfId="1759" headerRowBorderDxfId="1758" tableBorderDxfId="1757" totalsRowBorderDxfId="1756">
  <autoFilter ref="A33:E40" xr:uid="{00000000-0009-0000-0100-000055010000}">
    <filterColumn colId="0" hiddenButton="1"/>
    <filterColumn colId="1" hiddenButton="1"/>
    <filterColumn colId="2" hiddenButton="1"/>
    <filterColumn colId="3" hiddenButton="1"/>
    <filterColumn colId="4" hiddenButton="1"/>
  </autoFilter>
  <tableColumns count="5">
    <tableColumn id="1" xr3:uid="{00000000-0010-0000-7D00-000001000000}" name="Exception or Adjustment" dataDxfId="1755"/>
    <tableColumn id="2" xr3:uid="{00000000-0010-0000-7D00-000002000000}" name="Projected Local Funds" dataDxfId="1754"/>
    <tableColumn id="3" xr3:uid="{00000000-0010-0000-7D00-000003000000}" name="Projected State and Local Funds" dataDxfId="1753"/>
    <tableColumn id="4" xr3:uid="{00000000-0010-0000-7D00-000004000000}" name="Local Funds" dataDxfId="1752"/>
    <tableColumn id="5" xr3:uid="{00000000-0010-0000-7D00-000005000000}" name="State and Local Funds" dataDxfId="1751"/>
  </tableColumns>
  <tableStyleInfo name="TableStyleLight18" showFirstColumn="0" showLastColumn="0" showRowStripes="0" showColumnStripes="0"/>
  <extLst>
    <ext xmlns:x14="http://schemas.microsoft.com/office/spreadsheetml/2009/9/main" uri="{504A1905-F514-4f6f-8877-14C23A59335A}">
      <x14:table altText="Exceptions and Adjustment Summary for Year 5" altTextSummary="This table presents a summary of all exceptions taken for Year 5. Detailed data on the exceptions are entered on the Exc &amp; Adj tab for Year 5."/>
    </ext>
  </extLst>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7E000000}" name="BudgetYear6" displayName="BudgetYear6" ref="A4:F31" totalsRowShown="0" headerRowDxfId="1750" tableBorderDxfId="1749">
  <tableColumns count="6">
    <tableColumn id="1" xr3:uid="{00000000-0010-0000-7E00-000001000000}" name="Object Description" dataDxfId="1748"/>
    <tableColumn id="2" xr3:uid="{00000000-0010-0000-7E00-000002000000}" name="Code 1" dataDxfId="1747"/>
    <tableColumn id="7" xr3:uid="{00000000-0010-0000-7E00-000007000000}" name="Code 2" dataDxfId="1746"/>
    <tableColumn id="3" xr3:uid="{00000000-0010-0000-7E00-000003000000}" name="Local" dataDxfId="1745" dataCellStyle="Currency"/>
    <tableColumn id="4" xr3:uid="{00000000-0010-0000-7E00-000004000000}" name="State" dataDxfId="1744" dataCellStyle="Currency"/>
    <tableColumn id="5" xr3:uid="{00000000-0010-0000-7E00-000005000000}" name="State and Local" dataDxfId="1743"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6" altTextSummary="In this table, users will enter their budget amounts for Year 6. The column headers for the first three columns are unlocked and can be edited. If the LEA cannot separately budget for state and local funds, leave the Local column blank."/>
    </ext>
  </extLst>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7F000000}" name="ExpendituresYear6" displayName="ExpendituresYear6" ref="H4:M31" totalsRowShown="0" headerRowDxfId="1742" tableBorderDxfId="1741">
  <tableColumns count="6">
    <tableColumn id="1" xr3:uid="{00000000-0010-0000-7F00-000001000000}" name="Object Description" dataDxfId="1740"/>
    <tableColumn id="2" xr3:uid="{00000000-0010-0000-7F00-000002000000}" name="Code" dataDxfId="1739"/>
    <tableColumn id="6" xr3:uid="{00000000-0010-0000-7F00-000006000000}" name="Code 2" dataDxfId="1738"/>
    <tableColumn id="3" xr3:uid="{00000000-0010-0000-7F00-000003000000}" name="Local" dataDxfId="1737" dataCellStyle="Currency"/>
    <tableColumn id="4" xr3:uid="{00000000-0010-0000-7F00-000004000000}" name="State" dataDxfId="1736" dataCellStyle="Currency"/>
    <tableColumn id="5" xr3:uid="{00000000-0010-0000-7F00-000005000000}" name="State and Local" dataDxfId="1735"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6" altTextSummary="In this table, users will enter the LEA's final expenditures for Year 6. The column headers for the first three columns are unlocked and can be edited. If the LEA cannot separately budget for state and local funds, leave the Local column blank."/>
    </ext>
  </extLst>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80000000}" name="ExcADepartingDataYear6Budget" displayName="ExcADepartingDataYear6Budget" ref="A7:F13" totalsRowShown="0" headerRowDxfId="1734" dataDxfId="1732" headerRowBorderDxfId="1733" tableBorderDxfId="1731">
  <tableColumns count="6">
    <tableColumn id="1" xr3:uid="{00000000-0010-0000-8000-000001000000}" name="Position Title" dataDxfId="1730"/>
    <tableColumn id="2" xr3:uid="{00000000-0010-0000-8000-000002000000}" name="Employee Name" dataDxfId="1729"/>
    <tableColumn id="3" xr3:uid="{00000000-0010-0000-8000-000003000000}" name="Reason for Leaving" dataDxfId="1728"/>
    <tableColumn id="4" xr3:uid="{00000000-0010-0000-8000-000004000000}" name="Salary" dataDxfId="1727" dataCellStyle="Currency"/>
    <tableColumn id="5" xr3:uid="{00000000-0010-0000-8000-000005000000}" name="Benefits" dataDxfId="1726" dataCellStyle="Currency"/>
    <tableColumn id="8" xr3:uid="{00000000-0010-0000-8000-000008000000}" name="Total Budget" dataDxfId="1725"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6 Eligiblity Standard" altTextSummary="Users can enter data in this table for any departing personnel projected for Year 6. This table is for the eligiblity standard and is based on budget amount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ExcCDataYear1Budget" displayName="ExcCDataYear1Budget" ref="A37:C43" totalsRowShown="0" headerRowDxfId="2535" dataDxfId="2534" tableBorderDxfId="2533">
  <tableColumns count="3">
    <tableColumn id="1" xr3:uid="{00000000-0010-0000-0C00-000001000000}" name="Student Identifier" dataDxfId="2532"/>
    <tableColumn id="2" xr3:uid="{00000000-0010-0000-0C00-000002000000}" name="Reason" dataDxfId="2531"/>
    <tableColumn id="3" xr3:uid="{00000000-0010-0000-0C00-000003000000}" name="Budgeted Cost" dataDxfId="2530"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1 Eligiblity Standard" altTextSummary="Users can enter data in this table for the projected termination of the obligation to provide special education to a particular student that is an exceptionally costly program projected for Year 1. This table is for the eligiblity standard and is based on budget amounts."/>
    </ext>
  </extLst>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81000000}" name="ExcAReplaceDataYear6Budget" displayName="ExcAReplaceDataYear6Budget" ref="A15:F21" totalsRowShown="0" headerRowDxfId="1724" dataDxfId="1722" headerRowBorderDxfId="1723" tableBorderDxfId="1721">
  <tableColumns count="6">
    <tableColumn id="1" xr3:uid="{00000000-0010-0000-8100-000001000000}" name="Position Title" dataDxfId="1720"/>
    <tableColumn id="2" xr3:uid="{00000000-0010-0000-8100-000002000000}" name="Employee Name" dataDxfId="1719"/>
    <tableColumn id="3" xr3:uid="{00000000-0010-0000-8100-000003000000}" name="This column intentionally left blank" dataDxfId="1718"/>
    <tableColumn id="4" xr3:uid="{00000000-0010-0000-8100-000004000000}" name="Salary" dataDxfId="1717" dataCellStyle="Currency"/>
    <tableColumn id="5" xr3:uid="{00000000-0010-0000-8100-000005000000}" name="Benefits" dataDxfId="1716" dataCellStyle="Currency"/>
    <tableColumn id="8" xr3:uid="{00000000-0010-0000-8100-000008000000}" name="Total Budget" dataDxfId="1715"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6 Eligibility Standard" altTextSummary="Users can enter data in this table for any replacement personnel projected for Year 6. This table is for the eligiblity standard and is based on budget amounts."/>
    </ext>
  </extLst>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82000000}" name="ExcDDataYear6Budget" displayName="ExcDDataYear6Budget" ref="A47:B53" totalsRowShown="0" headerRowDxfId="1714" dataDxfId="1712" headerRowBorderDxfId="1713" tableBorderDxfId="1711">
  <tableColumns count="2">
    <tableColumn id="1" xr3:uid="{00000000-0010-0000-8200-000001000000}" name="Description" dataDxfId="1710"/>
    <tableColumn id="2" xr3:uid="{00000000-0010-0000-8200-000002000000}" name="Budgeted Cost in Final Year" dataDxfId="1709"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6 Eligiblity Standard" altTextSummary="Users can enter data in this table for the projected termination of costly expenditures for long-term purchases for Year 6. This table is for the eligiblity standard and is based on budget amounts."/>
    </ext>
  </extLst>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83000000}" name="AdjDataYear6Budget" displayName="AdjDataYear6Budget" ref="A71:B72" totalsRowShown="0" headerRowDxfId="1708" dataDxfId="1706" headerRowBorderDxfId="1707" tableBorderDxfId="1705" totalsRowBorderDxfId="1704">
  <tableColumns count="2">
    <tableColumn id="1" xr3:uid="{00000000-0010-0000-8300-000001000000}" name="Column1" dataDxfId="1703"/>
    <tableColumn id="2" xr3:uid="{00000000-0010-0000-8300-000002000000}" name="Projected Adjustment" dataDxfId="1702"/>
  </tableColumns>
  <tableStyleInfo name="TableStyleMedium9" showFirstColumn="0" showLastColumn="0" showRowStripes="0" showColumnStripes="0"/>
  <extLst>
    <ext xmlns:x14="http://schemas.microsoft.com/office/spreadsheetml/2009/9/main" uri="{504A1905-F514-4f6f-8877-14C23A59335A}">
      <x14:table altText="MOE Adjustment Data Entry for Year 6 Eligiblity Standard" altTextSummary="Users can enter data in this table for the projected Adjustment to MOE for Year 6. This table is for the eligiblity standard and is based on budget amounts. Use IDC's MOE Reduction Decision Tree and Calculator to determine the adjustment amount."/>
    </ext>
  </extLst>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84000000}" name="ExcCDataYear6Budget" displayName="ExcCDataYear6Budget" ref="A37:C43" totalsRowShown="0" headerRowDxfId="1701" dataDxfId="1700" tableBorderDxfId="1699">
  <tableColumns count="3">
    <tableColumn id="1" xr3:uid="{00000000-0010-0000-8400-000001000000}" name="Student Identifier" dataDxfId="1698"/>
    <tableColumn id="2" xr3:uid="{00000000-0010-0000-8400-000002000000}" name="Reason" dataDxfId="1697"/>
    <tableColumn id="3" xr3:uid="{00000000-0010-0000-8400-000003000000}" name="Budgeted Cost" dataDxfId="1696"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6 Eligiblity Standard" altTextSummary="Users can enter data in this table for the projected termination of the obligation to provide special education to a particular student that is an exceptionally costly program projected for Year 6. This table is for the eligiblity standard and is based on budget amounts."/>
    </ext>
  </extLst>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85000000}" name="ExcEDataYear6Budget" displayName="ExcEDataYear6Budget" ref="A57:B63" totalsRowShown="0" headerRowDxfId="1695" tableBorderDxfId="1694">
  <tableColumns count="2">
    <tableColumn id="1" xr3:uid="{00000000-0010-0000-8500-000001000000}" name="Student Identifier" dataDxfId="1693"/>
    <tableColumn id="2" xr3:uid="{00000000-0010-0000-8500-000002000000}" name="Budgeted Cost Assumed by SEA" dataDxfId="169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6 Eligiblity Standard" altTextSummary="Users can enter data for the projected assumption of cost by the high cost fund operated by the SEA for Year 6. This table is for the eligibility standard and uses budget data. The table will not calculate a total if tab 3b indicates that the SEA does not have a high cost fund in Year 6."/>
    </ext>
  </extLst>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86000000}" name="ExcBChildCountDataYear6Budget" displayName="ExcBChildCountDataYear6Budget" ref="A25:B29" totalsRowShown="0" headerRowDxfId="1691" dataDxfId="1690">
  <tableColumns count="2">
    <tableColumn id="1" xr3:uid="{00000000-0010-0000-8600-000001000000}" name="Column1" dataDxfId="1689"/>
    <tableColumn id="2" xr3:uid="{00000000-0010-0000-8600-000002000000}" name="Column2" dataDxfId="168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6 Eligibility Standard" altTextSummary="This table automatically calculates the change in enrollment for Year 6 to determine whether the LEA can apply exception (b). This table is for the eligibility standard."/>
    </ext>
  </extLst>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87000000}" name="ExcBFundsDataYear6Budget" displayName="ExcBFundsDataYear6Budget" ref="A30:C32" totalsRowShown="0" headerRowDxfId="1687" dataDxfId="1685" headerRowBorderDxfId="1686" tableBorderDxfId="1684" totalsRowBorderDxfId="1683">
  <tableColumns count="3">
    <tableColumn id="1" xr3:uid="{00000000-0010-0000-8700-000001000000}" name="Column1" dataDxfId="1682"/>
    <tableColumn id="2" xr3:uid="{00000000-0010-0000-8700-000002000000}" name="Total Local Funds" dataDxfId="1681">
      <calculatedColumnFormula>'2. Getting Started'!C17</calculatedColumnFormula>
    </tableColumn>
    <tableColumn id="3" xr3:uid="{00000000-0010-0000-8700-000003000000}" name="Total State and Local Funds" dataDxfId="1680">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6 Eligiblity Standard" altTextSummary="This table automatically calculates the projected reduction based on a decrease in enrollment for Year 6. This table is for the eligibility standard and uses budget data. The row for Projected Reduction will be blank if there is no decrease in child count."/>
    </ext>
  </extLst>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88000000}" name="ExcADepartingDataYear6Expenditures" displayName="ExcADepartingDataYear6Expenditures" ref="H7:M13" totalsRowShown="0" headerRowDxfId="1679" dataDxfId="1677" headerRowBorderDxfId="1678" tableBorderDxfId="1676">
  <tableColumns count="6">
    <tableColumn id="1" xr3:uid="{00000000-0010-0000-8800-000001000000}" name="Position Title" dataDxfId="1675"/>
    <tableColumn id="2" xr3:uid="{00000000-0010-0000-8800-000002000000}" name="Employee Name" dataDxfId="1674"/>
    <tableColumn id="3" xr3:uid="{00000000-0010-0000-8800-000003000000}" name="Reason for Leaving" dataDxfId="1673"/>
    <tableColumn id="4" xr3:uid="{00000000-0010-0000-8800-000004000000}" name="Salary" dataDxfId="1672" dataCellStyle="Currency"/>
    <tableColumn id="5" xr3:uid="{00000000-0010-0000-8800-000005000000}" name="Benefits" dataDxfId="1671" dataCellStyle="Currency"/>
    <tableColumn id="8" xr3:uid="{00000000-0010-0000-8800-000008000000}" name="Total Expenditures" dataDxfId="167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6 Compliance Standard" altTextSummary="Users can enter data in this table for any departing personnel for Year 6. This table is for the compliance standard and is based on final expenditures."/>
    </ext>
  </extLst>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89000000}" name="ExcAReplaceDataYear6Expenditures" displayName="ExcAReplaceDataYear6Expenditures" ref="H15:M21" totalsRowShown="0" headerRowDxfId="1669" dataDxfId="1667" headerRowBorderDxfId="1668" tableBorderDxfId="1666">
  <tableColumns count="6">
    <tableColumn id="1" xr3:uid="{00000000-0010-0000-8900-000001000000}" name="Position Title" dataDxfId="1665"/>
    <tableColumn id="2" xr3:uid="{00000000-0010-0000-8900-000002000000}" name="Employee Name" dataDxfId="1664"/>
    <tableColumn id="3" xr3:uid="{00000000-0010-0000-8900-000003000000}" name="This column intentionally left blank" dataDxfId="1663"/>
    <tableColumn id="4" xr3:uid="{00000000-0010-0000-8900-000004000000}" name="Salary" dataDxfId="1662" dataCellStyle="Currency"/>
    <tableColumn id="5" xr3:uid="{00000000-0010-0000-8900-000005000000}" name="Benefits" dataDxfId="1661" dataCellStyle="Currency"/>
    <tableColumn id="8" xr3:uid="{00000000-0010-0000-8900-000008000000}" name="Total Expenditures" dataDxfId="166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6 Compliance Standard" altTextSummary="Users can enter data in this table for any replacement personnel for Year 6. This table is for the compliance standard and is based on final expenditures."/>
    </ext>
  </extLst>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8A000000}" name="ExcDDataYear6Expenditures" displayName="ExcDDataYear6Expenditures" ref="H47:I53" totalsRowShown="0" headerRowDxfId="1659" dataDxfId="1657" headerRowBorderDxfId="1658" tableBorderDxfId="1656">
  <tableColumns count="2">
    <tableColumn id="1" xr3:uid="{00000000-0010-0000-8A00-000001000000}" name="Description" dataDxfId="1655"/>
    <tableColumn id="2" xr3:uid="{00000000-0010-0000-8A00-000002000000}" name="Cost in Final Year of Expenditure" dataDxfId="165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6 Compliance Standard" altTextSummary="Users can enter data in this table for the termination of costly expenditures for long-term purchases for Year 6. This table is for the compliance standard and is based on final expenditure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D000000}" name="ExcEDataYear1Budget" displayName="ExcEDataYear1Budget" ref="A57:B63" totalsRowShown="0" headerRowDxfId="2529" tableBorderDxfId="2528">
  <tableColumns count="2">
    <tableColumn id="1" xr3:uid="{00000000-0010-0000-0D00-000001000000}" name="Student Identifier" dataDxfId="2527"/>
    <tableColumn id="2" xr3:uid="{00000000-0010-0000-0D00-000002000000}" name="Budgeted Cost Assumed by SEA" dataDxfId="2526"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1 Eligiblity Standard" altTextSummary="Users can enter data for the projected assumption of cost by the high cost fund operated by the SEA for Year 1. This table is for the eligibility standard and uses budget data. The table will not calculate a total if tab 3b indicates that the SEA does not have a high cost fund in Year 1."/>
    </ext>
  </extLst>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8B000000}" name="AdjDataYear6Expenditures" displayName="AdjDataYear6Expenditures" ref="H71:I72" totalsRowShown="0" headerRowDxfId="1653" dataDxfId="1651" headerRowBorderDxfId="1652" tableBorderDxfId="1650" totalsRowBorderDxfId="1649">
  <tableColumns count="2">
    <tableColumn id="1" xr3:uid="{00000000-0010-0000-8B00-000001000000}" name="Column1" dataDxfId="1648"/>
    <tableColumn id="2" xr3:uid="{00000000-0010-0000-8B00-000002000000}" name="Adjustment " dataDxfId="1647"/>
  </tableColumns>
  <tableStyleInfo name="TableStyleMedium9" showFirstColumn="0" showLastColumn="0" showRowStripes="0" showColumnStripes="0"/>
  <extLst>
    <ext xmlns:x14="http://schemas.microsoft.com/office/spreadsheetml/2009/9/main" uri="{504A1905-F514-4f6f-8877-14C23A59335A}">
      <x14:table altText="MOE Adjustment Data Entry for Year 6 Compliance Standard" altTextSummary="Users can enter data in this table for the Adjustment to MOE for Year 6. This table is for the compliance standard and is based on final expenditures. Use IDC's MOE Reduction Decision Tree and Calculator to determine the adjustment amount."/>
    </ext>
  </extLst>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8C000000}" name="ExcCDataYear6Expenditures" displayName="ExcCDataYear6Expenditures" ref="H37:J43" totalsRowShown="0" headerRowDxfId="1646" dataDxfId="1645" tableBorderDxfId="1644">
  <tableColumns count="3">
    <tableColumn id="1" xr3:uid="{00000000-0010-0000-8C00-000001000000}" name="Student Identifier" dataDxfId="1643"/>
    <tableColumn id="2" xr3:uid="{00000000-0010-0000-8C00-000002000000}" name="Reason" dataDxfId="1642"/>
    <tableColumn id="3" xr3:uid="{00000000-0010-0000-8C00-000003000000}" name="Expenditures" dataDxfId="164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6 Compliance Standard" altTextSummary="Users can enter data in this table for the termination of the obligation to provide special education to a particular student that is an exceptionally costly program projected for Year 6. This table is for the compliance standard and is based on final expenditures."/>
    </ext>
  </extLst>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8D000000}" name="ExcEDataYear6Expenditures" displayName="ExcEDataYear6Expenditures" ref="H57:I63" totalsRowShown="0" headerRowDxfId="1640" tableBorderDxfId="1639">
  <tableColumns count="2">
    <tableColumn id="1" xr3:uid="{00000000-0010-0000-8D00-000001000000}" name="Student Identifier" dataDxfId="1638"/>
    <tableColumn id="2" xr3:uid="{00000000-0010-0000-8D00-000002000000}" name="Cost Assumed by SEA" dataDxfId="1637"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6 Compliance Standard" altTextSummary="Users can enter data for the assumption of cost by the high cost fund operated by the SEA for Year 6. This table is for the compliance standard and uses final expenditures. The table will not calculate a total if tab 3b indicates that the SEA does not have a high cost fund in Year 6."/>
    </ext>
  </extLst>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8E000000}" name="ExcBChildCountDataYear6Expenditures" displayName="ExcBChildCountDataYear6Expenditures" ref="H25:I29" totalsRowShown="0" headerRowDxfId="1636" dataDxfId="1635">
  <tableColumns count="2">
    <tableColumn id="1" xr3:uid="{00000000-0010-0000-8E00-000001000000}" name="Column1" dataDxfId="1634"/>
    <tableColumn id="2" xr3:uid="{00000000-0010-0000-8E00-000002000000}" name="Column2" dataDxfId="1633"/>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6 Compliance Standard" altTextSummary="This table automatically calculates the change in enrollment for Year 6 to determine whether the LEA can apply exception (b). This table is for the compliance standard."/>
    </ext>
  </extLst>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8F000000}" name="ExcBFundsDataYear6Expenditures" displayName="ExcBFundsDataYear6Expenditures" ref="H30:J32" totalsRowShown="0" headerRowDxfId="1632" dataDxfId="1630" headerRowBorderDxfId="1631" tableBorderDxfId="1629" totalsRowBorderDxfId="1628">
  <tableColumns count="3">
    <tableColumn id="1" xr3:uid="{00000000-0010-0000-8F00-000001000000}" name="Column1" dataDxfId="1627"/>
    <tableColumn id="2" xr3:uid="{00000000-0010-0000-8F00-000002000000}" name="Local Total" dataDxfId="1626"/>
    <tableColumn id="3" xr3:uid="{00000000-0010-0000-8F00-000003000000}" name="State and Local Total" dataDxfId="1625"/>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6 Compliance Standard" altTextSummary="This table automatically calculates the reduction based on a decrease in enrollment for Year 6. This table is for the compliance standard and uses final expenditures. The row for Allowed Reduction will be blank and blacked out if there is no decrease in child count."/>
    </ext>
  </extLst>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0" xr:uid="{00000000-000C-0000-FFFF-FFFF90000000}" name="TotalBudgetedExcYear6" displayName="TotalBudgetedExcYear6" ref="A66:B68" totalsRowShown="0" headerRowDxfId="1624" headerRowBorderDxfId="1623" tableBorderDxfId="1622" totalsRowBorderDxfId="1621">
  <autoFilter ref="A66:B68" xr:uid="{00000000-0009-0000-0100-0000DC000000}">
    <filterColumn colId="0" hiddenButton="1"/>
    <filterColumn colId="1" hiddenButton="1"/>
  </autoFilter>
  <tableColumns count="2">
    <tableColumn id="1" xr3:uid="{00000000-0010-0000-9000-000001000000}" name="Source" dataDxfId="1620" dataCellStyle="Normal 2"/>
    <tableColumn id="2" xr3:uid="{00000000-0010-0000-9000-000002000000}" name="Total" dataDxfId="1619" dataCellStyle="Currency 2">
      <calculatedColumnFormula>IF(B$28&gt;=0,(F$22+C$43+B$53+B$63),(F$22+C$43+B$53+B$63+C$32))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Projected Exceptions for Year 6 Eligibility Standard" altTextSummary="This table displays the total projected exceptions entered for the eligibility standard for Year 6."/>
    </ext>
  </extLst>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1" xr:uid="{00000000-000C-0000-FFFF-FFFF91000000}" name="TotalExpendituresExcYear6" displayName="TotalExpendituresExcYear6" ref="H66:I68" totalsRowShown="0" headerRowDxfId="1618" headerRowBorderDxfId="1617" tableBorderDxfId="1616" totalsRowBorderDxfId="1615">
  <autoFilter ref="H66:I68" xr:uid="{00000000-0009-0000-0100-0000DD000000}">
    <filterColumn colId="0" hiddenButton="1"/>
    <filterColumn colId="1" hiddenButton="1"/>
  </autoFilter>
  <tableColumns count="2">
    <tableColumn id="1" xr3:uid="{00000000-0010-0000-9100-000001000000}" name="Source" dataDxfId="1614" dataCellStyle="Normal 2"/>
    <tableColumn id="2" xr3:uid="{00000000-0010-0000-9100-000002000000}" name="Total" dataDxfId="1613" dataCellStyle="Currency 2">
      <calculatedColumnFormula>IF(I$28&gt;=0,(M$22+J$43+I$53+I$63),(M$22+J$43+I$53+I$63+J$32))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Exceptions for Year 6 Compliance Standard" altTextSummary="This table displays the total exceptions entered for the compliance standard for Year 6."/>
    </ext>
  </extLst>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2" xr:uid="{00000000-000C-0000-FFFF-FFFF92000000}" name="EligibilityYear6" displayName="EligibilityYear6" ref="A5:E10" totalsRowShown="0" headerRowDxfId="1612" headerRowBorderDxfId="1611" tableBorderDxfId="1610" totalsRowBorderDxfId="1609">
  <autoFilter ref="A5:E10" xr:uid="{00000000-0009-0000-0100-0000DE000000}">
    <filterColumn colId="0" hiddenButton="1"/>
    <filterColumn colId="1" hiddenButton="1"/>
    <filterColumn colId="2" hiddenButton="1"/>
    <filterColumn colId="3" hiddenButton="1"/>
    <filterColumn colId="4" hiddenButton="1"/>
  </autoFilter>
  <tableColumns count="5">
    <tableColumn id="1" xr3:uid="{00000000-0010-0000-9200-000001000000}" name="MOE Information" dataDxfId="1608"/>
    <tableColumn id="2" xr3:uid="{00000000-0010-0000-9200-000002000000}" name="Total Local Funds"/>
    <tableColumn id="3" xr3:uid="{00000000-0010-0000-9200-000003000000}" name="Total State and Local Funds"/>
    <tableColumn id="4" xr3:uid="{00000000-0010-0000-9200-000004000000}" name="Local Funds Per Capita"/>
    <tableColumn id="5" xr3:uid="{00000000-0010-0000-92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6 Eligibility Standard" altTextSummary="This table displays MOE amounts and results for the eligibility standard for Year 6."/>
    </ext>
  </extLst>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3" xr:uid="{00000000-000C-0000-FFFF-FFFF93000000}" name="ComplianceYear6" displayName="ComplianceYear6" ref="A13:E18" totalsRowShown="0" headerRowDxfId="1607" headerRowBorderDxfId="1606" tableBorderDxfId="1605" totalsRowBorderDxfId="1604">
  <autoFilter ref="A13:E18" xr:uid="{00000000-0009-0000-0100-0000DF000000}">
    <filterColumn colId="0" hiddenButton="1"/>
    <filterColumn colId="1" hiddenButton="1"/>
    <filterColumn colId="2" hiddenButton="1"/>
    <filterColumn colId="3" hiddenButton="1"/>
    <filterColumn colId="4" hiddenButton="1"/>
  </autoFilter>
  <tableColumns count="5">
    <tableColumn id="1" xr3:uid="{00000000-0010-0000-9300-000001000000}" name="MOE Information" dataDxfId="1603"/>
    <tableColumn id="2" xr3:uid="{00000000-0010-0000-9300-000002000000}" name="Total Local Funds" dataDxfId="1602"/>
    <tableColumn id="3" xr3:uid="{00000000-0010-0000-9300-000003000000}" name="Total State and Local Funds" dataDxfId="1601"/>
    <tableColumn id="4" xr3:uid="{00000000-0010-0000-9300-000004000000}" name="Local Funds Per Capita" dataDxfId="1600"/>
    <tableColumn id="5" xr3:uid="{00000000-0010-0000-9300-000005000000}" name="State and Local Funds Per Capita" dataDxfId="1599"/>
  </tableColumns>
  <tableStyleInfo name="TableStyleLight18" showFirstColumn="0" showLastColumn="0" showRowStripes="0" showColumnStripes="0"/>
  <extLst>
    <ext xmlns:x14="http://schemas.microsoft.com/office/spreadsheetml/2009/9/main" uri="{504A1905-F514-4f6f-8877-14C23A59335A}">
      <x14:table altText="Year 6 Compliance Standard" altTextSummary="This table displays MOE amounts and results for the compliance standard for Year 6."/>
    </ext>
  </extLst>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4" xr:uid="{00000000-000C-0000-FFFF-FFFF94000000}" name="RepaymentYear6" displayName="RepaymentYear6" ref="A21:B27" totalsRowShown="0" headerRowBorderDxfId="1598" tableBorderDxfId="1597" totalsRowBorderDxfId="1596">
  <autoFilter ref="A21:B27" xr:uid="{00000000-0009-0000-0100-0000E0000000}">
    <filterColumn colId="0" hiddenButton="1"/>
    <filterColumn colId="1" hiddenButton="1"/>
  </autoFilter>
  <tableColumns count="2">
    <tableColumn id="1" xr3:uid="{00000000-0010-0000-9400-000001000000}" name="Repayment data" dataDxfId="1595"/>
    <tableColumn id="2" xr3:uid="{00000000-0010-0000-9400-000002000000}" name="Data for Year 6"/>
  </tableColumns>
  <tableStyleInfo name="TableStyleLight18" showFirstColumn="0" showLastColumn="0" showRowStripes="0" showColumnStripes="0"/>
  <extLst>
    <ext xmlns:x14="http://schemas.microsoft.com/office/spreadsheetml/2009/9/main" uri="{504A1905-F514-4f6f-8877-14C23A59335A}">
      <x14:table altText="Year 6 Repayment Information" altTextSummary="This table calculates the repayment amount for Year 6 if the LEA fails MOE by all four methods for the compliance standard. Users must enter data for IDEA allocation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E000000}" name="ExcBChildCountDataYear1Budget" displayName="ExcBChildCountDataYear1Budget" ref="A25:B29" totalsRowShown="0" headerRowDxfId="2525" dataDxfId="2524">
  <tableColumns count="2">
    <tableColumn id="1" xr3:uid="{00000000-0010-0000-0E00-000001000000}" name="Column1" dataDxfId="2523"/>
    <tableColumn id="2" xr3:uid="{00000000-0010-0000-0E00-000002000000}" name="Column2" dataDxfId="2522"/>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1 Eligibility Standard" altTextSummary="This table automatically calculates the change in enrollment for Year 1 to determine whether the LEA can apply exception (b). This table is for the eligibility standard."/>
    </ext>
  </extLst>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2" xr:uid="{00000000-000C-0000-FFFF-FFFF95000000}" name="ExcAdjSummaryYear6" displayName="ExcAdjSummaryYear6" ref="A33:E40" totalsRowShown="0" headerRowDxfId="1594" headerRowBorderDxfId="1593" tableBorderDxfId="1592" totalsRowBorderDxfId="1591">
  <autoFilter ref="A33:E40" xr:uid="{00000000-0009-0000-0100-000056010000}">
    <filterColumn colId="0" hiddenButton="1"/>
    <filterColumn colId="1" hiddenButton="1"/>
    <filterColumn colId="2" hiddenButton="1"/>
    <filterColumn colId="3" hiddenButton="1"/>
    <filterColumn colId="4" hiddenButton="1"/>
  </autoFilter>
  <tableColumns count="5">
    <tableColumn id="1" xr3:uid="{00000000-0010-0000-9500-000001000000}" name="Exception or Adjustment" dataDxfId="1590"/>
    <tableColumn id="2" xr3:uid="{00000000-0010-0000-9500-000002000000}" name="Projected Local Funds" dataDxfId="1589"/>
    <tableColumn id="3" xr3:uid="{00000000-0010-0000-9500-000003000000}" name="Projected State and Local Funds" dataDxfId="1588"/>
    <tableColumn id="4" xr3:uid="{00000000-0010-0000-9500-000004000000}" name="Local Funds" dataDxfId="1587"/>
    <tableColumn id="5" xr3:uid="{00000000-0010-0000-9500-000005000000}" name="State and Local Funds" dataDxfId="1586"/>
  </tableColumns>
  <tableStyleInfo name="TableStyleLight18" showFirstColumn="0" showLastColumn="0" showRowStripes="0" showColumnStripes="0"/>
  <extLst>
    <ext xmlns:x14="http://schemas.microsoft.com/office/spreadsheetml/2009/9/main" uri="{504A1905-F514-4f6f-8877-14C23A59335A}">
      <x14:table altText="Year 6 Exceptions and Adjustment Summary" altTextSummary="This table presents a summary of all exceptions taken for Year 6. Detailed data on the exceptions are entered on the Exc &amp; Adj tab for Year 6."/>
    </ext>
  </extLst>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96000000}" name="BudgetYear7" displayName="BudgetYear7" ref="A4:F31" totalsRowShown="0" headerRowDxfId="1585" tableBorderDxfId="1584">
  <tableColumns count="6">
    <tableColumn id="1" xr3:uid="{00000000-0010-0000-9600-000001000000}" name="Object Description" dataDxfId="1583"/>
    <tableColumn id="2" xr3:uid="{00000000-0010-0000-9600-000002000000}" name="Code 1" dataDxfId="1582"/>
    <tableColumn id="7" xr3:uid="{00000000-0010-0000-9600-000007000000}" name="Code 2" dataDxfId="1581"/>
    <tableColumn id="3" xr3:uid="{00000000-0010-0000-9600-000003000000}" name="Local" dataDxfId="1580" dataCellStyle="Currency"/>
    <tableColumn id="4" xr3:uid="{00000000-0010-0000-9600-000004000000}" name="State" dataDxfId="1579" dataCellStyle="Currency"/>
    <tableColumn id="5" xr3:uid="{00000000-0010-0000-9600-000005000000}" name="State and Local" dataDxfId="1578"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7" altTextSummary="In this table, users will enter their budget amounts for Year 7. The column headers for the first three columns are unlocked and can be edited. If the LEA cannot separately budget for state and local funds, leave the Local column blank."/>
    </ext>
  </extLst>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97000000}" name="ExpendituresYear7" displayName="ExpendituresYear7" ref="H4:M31" totalsRowShown="0" headerRowDxfId="1577" tableBorderDxfId="1576">
  <tableColumns count="6">
    <tableColumn id="1" xr3:uid="{00000000-0010-0000-9700-000001000000}" name="Object Description" dataDxfId="1575"/>
    <tableColumn id="2" xr3:uid="{00000000-0010-0000-9700-000002000000}" name="Code" dataDxfId="1574"/>
    <tableColumn id="6" xr3:uid="{00000000-0010-0000-9700-000006000000}" name="Code 2" dataDxfId="1573"/>
    <tableColumn id="3" xr3:uid="{00000000-0010-0000-9700-000003000000}" name="Local" dataDxfId="1572" dataCellStyle="Currency"/>
    <tableColumn id="4" xr3:uid="{00000000-0010-0000-9700-000004000000}" name="State" dataDxfId="1571" dataCellStyle="Currency"/>
    <tableColumn id="5" xr3:uid="{00000000-0010-0000-9700-000005000000}" name="State and Local" dataDxfId="1570"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7" altTextSummary="In this table, users will enter the LEA's final expenditures for Year 7. The column headers for the first three columns are unlocked and can be edited. If the LEA cannot separately budget for state and local funds, leave the Local column blank."/>
    </ext>
  </extLst>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98000000}" name="ExcADepartingDataYear7Budget" displayName="ExcADepartingDataYear7Budget" ref="A7:F13" totalsRowShown="0" headerRowDxfId="1569" dataDxfId="1567" headerRowBorderDxfId="1568" tableBorderDxfId="1566">
  <tableColumns count="6">
    <tableColumn id="1" xr3:uid="{00000000-0010-0000-9800-000001000000}" name="Position Title" dataDxfId="1565"/>
    <tableColumn id="2" xr3:uid="{00000000-0010-0000-9800-000002000000}" name="Employee Name" dataDxfId="1564"/>
    <tableColumn id="3" xr3:uid="{00000000-0010-0000-9800-000003000000}" name="Reason for Leaving" dataDxfId="1563"/>
    <tableColumn id="4" xr3:uid="{00000000-0010-0000-9800-000004000000}" name="Salary" dataDxfId="1562" dataCellStyle="Currency"/>
    <tableColumn id="5" xr3:uid="{00000000-0010-0000-9800-000005000000}" name="Benefits" dataDxfId="1561" dataCellStyle="Currency"/>
    <tableColumn id="8" xr3:uid="{00000000-0010-0000-9800-000008000000}" name="Total Budget" dataDxfId="156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7 Eligiblity Standard" altTextSummary="Users can enter data in this table for any departing personnel projected for Year 7. This table is for the eligiblity standard and is based on budget amounts."/>
    </ext>
  </extLst>
</table>
</file>

<file path=xl/tables/table1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99000000}" name="ExcAReplaceDataYear7Budget" displayName="ExcAReplaceDataYear7Budget" ref="A15:F21" totalsRowShown="0" headerRowDxfId="1559" dataDxfId="1557" headerRowBorderDxfId="1558" tableBorderDxfId="1556">
  <tableColumns count="6">
    <tableColumn id="1" xr3:uid="{00000000-0010-0000-9900-000001000000}" name="Position Title" dataDxfId="1555"/>
    <tableColumn id="2" xr3:uid="{00000000-0010-0000-9900-000002000000}" name="Employee Name" dataDxfId="1554"/>
    <tableColumn id="3" xr3:uid="{00000000-0010-0000-9900-000003000000}" name="This column intentionally left blank" dataDxfId="1553"/>
    <tableColumn id="4" xr3:uid="{00000000-0010-0000-9900-000004000000}" name="Salary" dataDxfId="1552" dataCellStyle="Currency"/>
    <tableColumn id="5" xr3:uid="{00000000-0010-0000-9900-000005000000}" name="Benefits" dataDxfId="1551" dataCellStyle="Currency"/>
    <tableColumn id="8" xr3:uid="{00000000-0010-0000-9900-000008000000}" name="Total Budget" dataDxfId="155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7 Eligibility Standard" altTextSummary="Users can enter data in this table for any replacement personnel projected for Year 7. This table is for the eligiblity standard and is based on budget amounts."/>
    </ext>
  </extLst>
</table>
</file>

<file path=xl/tables/table1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9A000000}" name="ExcDDataYear7Budget" displayName="ExcDDataYear7Budget" ref="A47:B53" totalsRowShown="0" headerRowDxfId="1549" dataDxfId="1547" headerRowBorderDxfId="1548" tableBorderDxfId="1546">
  <tableColumns count="2">
    <tableColumn id="1" xr3:uid="{00000000-0010-0000-9A00-000001000000}" name="Description" dataDxfId="1545"/>
    <tableColumn id="2" xr3:uid="{00000000-0010-0000-9A00-000002000000}" name="Budgeted Cost in Final Year" dataDxfId="154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7 Eligiblity Standard" altTextSummary="Users can enter data in this table for the projected termination of costly expenditures for long-term purchases for Year 7. This table is for the eligiblity standard and is based on budget amounts."/>
    </ext>
  </extLst>
</table>
</file>

<file path=xl/tables/table1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9B000000}" name="AdjDataYear7Budget" displayName="AdjDataYear7Budget" ref="A71:B72" totalsRowShown="0" headerRowDxfId="1543" dataDxfId="1541" headerRowBorderDxfId="1542" tableBorderDxfId="1540" totalsRowBorderDxfId="1539">
  <tableColumns count="2">
    <tableColumn id="1" xr3:uid="{00000000-0010-0000-9B00-000001000000}" name="Column1" dataDxfId="1538"/>
    <tableColumn id="2" xr3:uid="{00000000-0010-0000-9B00-000002000000}" name="Projected Adjustment" dataDxfId="1537"/>
  </tableColumns>
  <tableStyleInfo name="TableStyleMedium9" showFirstColumn="0" showLastColumn="0" showRowStripes="0" showColumnStripes="0"/>
  <extLst>
    <ext xmlns:x14="http://schemas.microsoft.com/office/spreadsheetml/2009/9/main" uri="{504A1905-F514-4f6f-8877-14C23A59335A}">
      <x14:table altText="MOE Adjustment Data Entry for Year 7 Eligiblity Standard" altTextSummary="Users can enter data in this table for the projected Adjustment to MOE for Year 7. This table is for the eligiblity standard and is based on budget amounts. Use IDC's MOE Reduction Decision Tree and Calculator to determine the adjustment amount."/>
    </ext>
  </extLst>
</table>
</file>

<file path=xl/tables/table1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9C000000}" name="ExcCDataYear7Budget" displayName="ExcCDataYear7Budget" ref="A37:C43" totalsRowShown="0" headerRowDxfId="1536" dataDxfId="1535" tableBorderDxfId="1534">
  <tableColumns count="3">
    <tableColumn id="1" xr3:uid="{00000000-0010-0000-9C00-000001000000}" name="Student Identifier" dataDxfId="1533"/>
    <tableColumn id="2" xr3:uid="{00000000-0010-0000-9C00-000002000000}" name="Reason" dataDxfId="1532"/>
    <tableColumn id="3" xr3:uid="{00000000-0010-0000-9C00-000003000000}" name="Budgeted Cost" dataDxfId="153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7 Eligiblity Standard" altTextSummary="Users can enter data in this table for the projected termination of the obligation to provide special education to a particular student that is an exceptionally costly program projected for Yera 7. This table is for the eligiblity standard and is based on budget amounts."/>
    </ext>
  </extLst>
</table>
</file>

<file path=xl/tables/table1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9D000000}" name="ExcEDataYear7Budget" displayName="ExcEDataYear7Budget" ref="A57:B63" totalsRowShown="0" headerRowDxfId="1530" tableBorderDxfId="1529">
  <tableColumns count="2">
    <tableColumn id="1" xr3:uid="{00000000-0010-0000-9D00-000001000000}" name="Student Identifier" dataDxfId="1528"/>
    <tableColumn id="2" xr3:uid="{00000000-0010-0000-9D00-000002000000}" name="Budgeted Cost Assumed by SEA" dataDxfId="1527"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7 Eligiblity Standard" altTextSummary="Users can enter data for the projected assumption of cost by the high cost fund operated by the SEA for Year 7. This table is for the eligibility standard and uses budget data. The table will not calculate a total if tab 3b indicates that the SEA does not have a high cost fund in Year 7."/>
    </ext>
  </extLst>
</table>
</file>

<file path=xl/tables/table1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9E000000}" name="ExcBChildCountDataYear7Budget" displayName="ExcBChildCountDataYear7Budget" ref="A25:B29" totalsRowShown="0" headerRowDxfId="1526" dataDxfId="1525">
  <tableColumns count="2">
    <tableColumn id="1" xr3:uid="{00000000-0010-0000-9E00-000001000000}" name="Column1" dataDxfId="1524"/>
    <tableColumn id="2" xr3:uid="{00000000-0010-0000-9E00-000002000000}" name="Column2" dataDxfId="1523"/>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7 Eligibility Standard" altTextSummary="This table automatically calculates the change in enrollment for Year 7 to determine whether the LEA can apply exception (b). This table is for the eligibility standard."/>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F000000}" name="ExcBFundsDataYear1Budget" displayName="ExcBFundsDataYear1Budget" ref="A30:C32" totalsRowShown="0" headerRowDxfId="2521" dataDxfId="2519" headerRowBorderDxfId="2520" tableBorderDxfId="2518" totalsRowBorderDxfId="2517">
  <tableColumns count="3">
    <tableColumn id="1" xr3:uid="{00000000-0010-0000-0F00-000001000000}" name="Column1" dataDxfId="2516"/>
    <tableColumn id="2" xr3:uid="{00000000-0010-0000-0F00-000002000000}" name="Total Local Funds" dataDxfId="2515">
      <calculatedColumnFormula>'2. Getting Started'!C17</calculatedColumnFormula>
    </tableColumn>
    <tableColumn id="3" xr3:uid="{00000000-0010-0000-0F00-000003000000}" name="Total State and Local Funds" dataDxfId="2514">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1 Eligiblity Standard" altTextSummary="This table automatically calculates the projected reduction based on a decrease in enrollment for Year 1. This table is for the eligibility standard and uses budget data. The row for Projected Reduction will be blank if there is no decrease in child count."/>
    </ext>
  </extLst>
</table>
</file>

<file path=xl/tables/table1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9F000000}" name="ExcBFundsDataYear7Budget" displayName="ExcBFundsDataYear7Budget" ref="A30:C32" totalsRowShown="0" headerRowDxfId="1522" dataDxfId="1520" headerRowBorderDxfId="1521" tableBorderDxfId="1519" totalsRowBorderDxfId="1518">
  <tableColumns count="3">
    <tableColumn id="1" xr3:uid="{00000000-0010-0000-9F00-000001000000}" name="Column1" dataDxfId="1517"/>
    <tableColumn id="2" xr3:uid="{00000000-0010-0000-9F00-000002000000}" name="Total Local Funds" dataDxfId="1516">
      <calculatedColumnFormula>'2. Getting Started'!C17</calculatedColumnFormula>
    </tableColumn>
    <tableColumn id="3" xr3:uid="{00000000-0010-0000-9F00-000003000000}" name="Total State and Local Funds" dataDxfId="1515">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7 Eligiblity Standard" altTextSummary="This table automatically calculates the projected reduction based on a decrease in enrollment for Year 7. This table is for the eligibility standard and uses budget data. The row for Projected Reduction will be blank if there is no decrease in child count."/>
    </ext>
  </extLst>
</table>
</file>

<file path=xl/tables/table1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A0000000}" name="ExcADepartingDataYear7Expenditures" displayName="ExcADepartingDataYear7Expenditures" ref="H7:M13" totalsRowShown="0" headerRowDxfId="1514" dataDxfId="1512" headerRowBorderDxfId="1513" tableBorderDxfId="1511">
  <tableColumns count="6">
    <tableColumn id="1" xr3:uid="{00000000-0010-0000-A000-000001000000}" name="Position Title" dataDxfId="1510"/>
    <tableColumn id="2" xr3:uid="{00000000-0010-0000-A000-000002000000}" name="Employee Name" dataDxfId="1509"/>
    <tableColumn id="3" xr3:uid="{00000000-0010-0000-A000-000003000000}" name="Reason for Leaving" dataDxfId="1508"/>
    <tableColumn id="4" xr3:uid="{00000000-0010-0000-A000-000004000000}" name="Salary" dataDxfId="1507" dataCellStyle="Currency"/>
    <tableColumn id="5" xr3:uid="{00000000-0010-0000-A000-000005000000}" name="Benefits" dataDxfId="1506" dataCellStyle="Currency"/>
    <tableColumn id="8" xr3:uid="{00000000-0010-0000-A000-000008000000}" name="Total Expenditures" dataDxfId="1505"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7 Compliance Standard" altTextSummary="Users can enter data in this table for any departing personnel for Year 7. This table is for the compliance standard and is based on final expenditures."/>
    </ext>
  </extLst>
</table>
</file>

<file path=xl/tables/table1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A1000000}" name="ExcAReplaceDataYear7Expenditures" displayName="ExcAReplaceDataYear7Expenditures" ref="H15:M21" totalsRowShown="0" headerRowDxfId="1504" dataDxfId="1502" headerRowBorderDxfId="1503" tableBorderDxfId="1501">
  <tableColumns count="6">
    <tableColumn id="1" xr3:uid="{00000000-0010-0000-A100-000001000000}" name="Position Title" dataDxfId="1500"/>
    <tableColumn id="2" xr3:uid="{00000000-0010-0000-A100-000002000000}" name="Employee Name" dataDxfId="1499"/>
    <tableColumn id="3" xr3:uid="{00000000-0010-0000-A100-000003000000}" name="This column intentionally left blank" dataDxfId="1498"/>
    <tableColumn id="4" xr3:uid="{00000000-0010-0000-A100-000004000000}" name="Salary" dataDxfId="1497" dataCellStyle="Currency"/>
    <tableColumn id="5" xr3:uid="{00000000-0010-0000-A100-000005000000}" name="Benefits" dataDxfId="1496" dataCellStyle="Currency"/>
    <tableColumn id="8" xr3:uid="{00000000-0010-0000-A100-000008000000}" name="Total Expenditures" dataDxfId="1495"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7 Compliance Standard" altTextSummary="Users can enter data in this table for any replacement personnel for Year 7. This table is for the compliance standard and is based on final expenditures."/>
    </ext>
  </extLst>
</table>
</file>

<file path=xl/tables/table1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A2000000}" name="ExcDDataYear7Expenditures" displayName="ExcDDataYear7Expenditures" ref="H47:I53" totalsRowShown="0" headerRowDxfId="1494" dataDxfId="1492" headerRowBorderDxfId="1493" tableBorderDxfId="1491">
  <tableColumns count="2">
    <tableColumn id="1" xr3:uid="{00000000-0010-0000-A200-000001000000}" name="Description" dataDxfId="1490"/>
    <tableColumn id="2" xr3:uid="{00000000-0010-0000-A200-000002000000}" name="Cost in Final Year of Expenditure" dataDxfId="1489"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7 Compliance Standard" altTextSummary="Users can enter data in this table for the termination of costly expenditures for long-term purchases for Year 7. This table is for the compliance standard and is based on final expenditures."/>
    </ext>
  </extLst>
</table>
</file>

<file path=xl/tables/table1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A3000000}" name="AdjDataYear7Expenditures" displayName="AdjDataYear7Expenditures" ref="H71:I72" totalsRowShown="0" headerRowDxfId="1488" dataDxfId="1486" headerRowBorderDxfId="1487" tableBorderDxfId="1485" totalsRowBorderDxfId="1484">
  <tableColumns count="2">
    <tableColumn id="1" xr3:uid="{00000000-0010-0000-A300-000001000000}" name="Column1" dataDxfId="1483"/>
    <tableColumn id="2" xr3:uid="{00000000-0010-0000-A300-000002000000}" name="Adjustment " dataDxfId="1482"/>
  </tableColumns>
  <tableStyleInfo name="TableStyleMedium9" showFirstColumn="0" showLastColumn="0" showRowStripes="0" showColumnStripes="0"/>
  <extLst>
    <ext xmlns:x14="http://schemas.microsoft.com/office/spreadsheetml/2009/9/main" uri="{504A1905-F514-4f6f-8877-14C23A59335A}">
      <x14:table altText="MOE Adjustment Data Entry for Year 7 Compliance Standard" altTextSummary="Users can enter data in this table for the Adjustment to MOE for Year 7. This table is for the compliance standard and is based on final expenditures. Use IDC's MOE Reduction Decision Tree and Calculator to determine the adjustment amount."/>
    </ext>
  </extLst>
</table>
</file>

<file path=xl/tables/table1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A4000000}" name="ExcCDataYear7Expenditures" displayName="ExcCDataYear7Expenditures" ref="H37:J43" totalsRowShown="0" headerRowDxfId="1481" dataDxfId="1480" tableBorderDxfId="1479">
  <tableColumns count="3">
    <tableColumn id="1" xr3:uid="{00000000-0010-0000-A400-000001000000}" name="Student Identifier" dataDxfId="1478"/>
    <tableColumn id="2" xr3:uid="{00000000-0010-0000-A400-000002000000}" name="Reason" dataDxfId="1477"/>
    <tableColumn id="3" xr3:uid="{00000000-0010-0000-A400-000003000000}" name="Expenditures" dataDxfId="1476"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7 Compliance Standard" altTextSummary="Users can enter data in this table for the termination of the obligation to provide special education to a particular student that is an exceptionally costly program projected for Year 7. This table is for the compliance standard and is based on final expenditures."/>
    </ext>
  </extLst>
</table>
</file>

<file path=xl/tables/table1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A5000000}" name="ExcEDataYear7Expenditures" displayName="ExcEDataYear7Expenditures" ref="H57:I63" totalsRowShown="0" headerRowDxfId="1475" tableBorderDxfId="1474">
  <tableColumns count="2">
    <tableColumn id="1" xr3:uid="{00000000-0010-0000-A500-000001000000}" name="Student Identifier" dataDxfId="1473"/>
    <tableColumn id="2" xr3:uid="{00000000-0010-0000-A500-000002000000}" name="Cost Assumed by SEA" dataDxfId="147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7 Compliance Standard" altTextSummary="Users can enter data for the assumption of cost by the high cost fund operated by the SEA for Year 7. This table is for the compliance standard and uses final expenditures. The table will not calculate a total if tab 3b indicates that the SEA does not have a high cost fund in Year 7."/>
    </ext>
  </extLst>
</table>
</file>

<file path=xl/tables/table1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A6000000}" name="ExcBChildCountDataYear7Expenditures" displayName="ExcBChildCountDataYear7Expenditures" ref="H25:I29" totalsRowShown="0" headerRowDxfId="1471" dataDxfId="1470">
  <tableColumns count="2">
    <tableColumn id="1" xr3:uid="{00000000-0010-0000-A600-000001000000}" name="Column1" dataDxfId="1469"/>
    <tableColumn id="2" xr3:uid="{00000000-0010-0000-A600-000002000000}" name="Column2" dataDxfId="146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7 Compliance Standard" altTextSummary="This table automatically calculates the change in enrollment for Year 7 to determine whether the LEA can apply exception (b). This table is for the compliance standard."/>
    </ext>
  </extLst>
</table>
</file>

<file path=xl/tables/table1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A7000000}" name="ExcBFundsDataYear7Expenditures" displayName="ExcBFundsDataYear7Expenditures" ref="H30:J32" totalsRowShown="0" headerRowDxfId="1467" dataDxfId="1465" headerRowBorderDxfId="1466" tableBorderDxfId="1464" totalsRowBorderDxfId="1463">
  <tableColumns count="3">
    <tableColumn id="1" xr3:uid="{00000000-0010-0000-A700-000001000000}" name="Column1" dataDxfId="1462"/>
    <tableColumn id="2" xr3:uid="{00000000-0010-0000-A700-000002000000}" name="Local Total" dataDxfId="1461"/>
    <tableColumn id="3" xr3:uid="{00000000-0010-0000-A700-000003000000}" name="State and Local Total" dataDxfId="1460"/>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7 Compliance Standard" altTextSummary="This table automatically calculates the reduction based on a decrease in enrollment for Year 7. This table is for the compliance standard and uses final expenditures. The row for Allowed Reduction will be blank and blacked out if there is no decrease in child count."/>
    </ext>
  </extLst>
</table>
</file>

<file path=xl/tables/table1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5" xr:uid="{00000000-000C-0000-FFFF-FFFFA8000000}" name="TotalBudgetedExcYear7" displayName="TotalBudgetedExcYear7" ref="A66:B68" totalsRowShown="0" headerRowDxfId="1459" headerRowBorderDxfId="1458" tableBorderDxfId="1457" totalsRowBorderDxfId="1456">
  <autoFilter ref="A66:B68" xr:uid="{00000000-0009-0000-0100-0000E1000000}">
    <filterColumn colId="0" hiddenButton="1"/>
    <filterColumn colId="1" hiddenButton="1"/>
  </autoFilter>
  <tableColumns count="2">
    <tableColumn id="1" xr3:uid="{00000000-0010-0000-A800-000001000000}" name="Source" dataDxfId="1455" dataCellStyle="Normal 2"/>
    <tableColumn id="2" xr3:uid="{00000000-0010-0000-A800-000002000000}" name="Total" dataDxfId="1454" dataCellStyle="Currency 2">
      <calculatedColumnFormula>IF(B$28&gt;=0,(F$22+C$43+B$53+B$63),(F$22+C$43+B$53+B$63+C$32))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Projected Exceptions for Year 7 Eligibility Standard" altTextSummary="This table displays the total projected exceptions entered for the eligibility standard for Year 7."/>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0000000}" name="ExcADepartingDataYear1Expenditures" displayName="ExcADepartingDataYear1Expenditures" ref="H7:M13" totalsRowShown="0" headerRowDxfId="2513" dataDxfId="2511" headerRowBorderDxfId="2512" tableBorderDxfId="2510">
  <tableColumns count="6">
    <tableColumn id="1" xr3:uid="{00000000-0010-0000-1000-000001000000}" name="Position Title" dataDxfId="2509"/>
    <tableColumn id="2" xr3:uid="{00000000-0010-0000-1000-000002000000}" name="Employee Name" dataDxfId="2508"/>
    <tableColumn id="3" xr3:uid="{00000000-0010-0000-1000-000003000000}" name="Reason for Leaving" dataDxfId="2507"/>
    <tableColumn id="4" xr3:uid="{00000000-0010-0000-1000-000004000000}" name="Salary" dataDxfId="2506" dataCellStyle="Currency"/>
    <tableColumn id="5" xr3:uid="{00000000-0010-0000-1000-000005000000}" name="Benefits" dataDxfId="2505" dataCellStyle="Currency"/>
    <tableColumn id="8" xr3:uid="{00000000-0010-0000-1000-000008000000}" name="Total Expenditures" dataDxfId="2504"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1 Compliance Standard" altTextSummary="Users can enter data in this table for any departing personnel for Year 1. This table is for the compliance standard and is based on final expenditures."/>
    </ext>
  </extLst>
</table>
</file>

<file path=xl/tables/table1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6" xr:uid="{00000000-000C-0000-FFFF-FFFFA9000000}" name="TotalExpendituresExcYear7" displayName="TotalExpendituresExcYear7" ref="H66:I68" totalsRowShown="0" headerRowDxfId="1453" headerRowBorderDxfId="1452" tableBorderDxfId="1451" totalsRowBorderDxfId="1450">
  <autoFilter ref="H66:I68" xr:uid="{00000000-0009-0000-0100-0000E2000000}">
    <filterColumn colId="0" hiddenButton="1"/>
    <filterColumn colId="1" hiddenButton="1"/>
  </autoFilter>
  <tableColumns count="2">
    <tableColumn id="1" xr3:uid="{00000000-0010-0000-A900-000001000000}" name="Source" dataDxfId="1449" dataCellStyle="Normal 2"/>
    <tableColumn id="2" xr3:uid="{00000000-0010-0000-A900-000002000000}" name="Total" dataDxfId="1448" dataCellStyle="Currency 2">
      <calculatedColumnFormula>IF(I$28&gt;=0,(M$22+J$43+I$53+I$63),(M$22+J$43+I$53+I$63+J$32))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Exceptions for Year 7 Compliance Standard" altTextSummary="This table displays the total exceptions entered for the compliance standard for Year 7."/>
    </ext>
  </extLst>
</table>
</file>

<file path=xl/tables/table1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7" xr:uid="{00000000-000C-0000-FFFF-FFFFAA000000}" name="EligibilityYear7" displayName="EligibilityYear7" ref="A5:E10" totalsRowShown="0" headerRowDxfId="1447" headerRowBorderDxfId="1446" tableBorderDxfId="1445" totalsRowBorderDxfId="1444">
  <autoFilter ref="A5:E10" xr:uid="{00000000-0009-0000-0100-0000E3000000}">
    <filterColumn colId="0" hiddenButton="1"/>
    <filterColumn colId="1" hiddenButton="1"/>
    <filterColumn colId="2" hiddenButton="1"/>
    <filterColumn colId="3" hiddenButton="1"/>
    <filterColumn colId="4" hiddenButton="1"/>
  </autoFilter>
  <tableColumns count="5">
    <tableColumn id="1" xr3:uid="{00000000-0010-0000-AA00-000001000000}" name="MOE Information" dataDxfId="1443"/>
    <tableColumn id="2" xr3:uid="{00000000-0010-0000-AA00-000002000000}" name="Total Local Funds"/>
    <tableColumn id="3" xr3:uid="{00000000-0010-0000-AA00-000003000000}" name="Total State and Local Funds"/>
    <tableColumn id="4" xr3:uid="{00000000-0010-0000-AA00-000004000000}" name="Local Funds Per Capita"/>
    <tableColumn id="5" xr3:uid="{00000000-0010-0000-AA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7 Eligibility Standard" altTextSummary="This table displays MOE amounts and results for the eligibility standard for Year 7."/>
    </ext>
  </extLst>
</table>
</file>

<file path=xl/tables/table1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8" xr:uid="{00000000-000C-0000-FFFF-FFFFAB000000}" name="ComplianceYear7" displayName="ComplianceYear7" ref="A13:E18" totalsRowShown="0" headerRowDxfId="1442" headerRowBorderDxfId="1441" tableBorderDxfId="1440" totalsRowBorderDxfId="1439">
  <autoFilter ref="A13:E18" xr:uid="{00000000-0009-0000-0100-0000E4000000}">
    <filterColumn colId="0" hiddenButton="1"/>
    <filterColumn colId="1" hiddenButton="1"/>
    <filterColumn colId="2" hiddenButton="1"/>
    <filterColumn colId="3" hiddenButton="1"/>
    <filterColumn colId="4" hiddenButton="1"/>
  </autoFilter>
  <tableColumns count="5">
    <tableColumn id="1" xr3:uid="{00000000-0010-0000-AB00-000001000000}" name="MOE Information" dataDxfId="1438"/>
    <tableColumn id="2" xr3:uid="{00000000-0010-0000-AB00-000002000000}" name="Total Local Funds" dataDxfId="1437"/>
    <tableColumn id="3" xr3:uid="{00000000-0010-0000-AB00-000003000000}" name="Total State and Local Funds" dataDxfId="1436"/>
    <tableColumn id="4" xr3:uid="{00000000-0010-0000-AB00-000004000000}" name="Local Funds Per Capita" dataDxfId="1435"/>
    <tableColumn id="5" xr3:uid="{00000000-0010-0000-AB00-000005000000}" name="State and Local Funds Per Capita" dataDxfId="1434"/>
  </tableColumns>
  <tableStyleInfo name="TableStyleLight18" showFirstColumn="0" showLastColumn="0" showRowStripes="0" showColumnStripes="0"/>
  <extLst>
    <ext xmlns:x14="http://schemas.microsoft.com/office/spreadsheetml/2009/9/main" uri="{504A1905-F514-4f6f-8877-14C23A59335A}">
      <x14:table altText="Year 7 Compliance Standard" altTextSummary="This table displays MOE amounts and results for the compliance standard for Year 7."/>
    </ext>
  </extLst>
</table>
</file>

<file path=xl/tables/table1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0" xr:uid="{00000000-000C-0000-FFFF-FFFFAC000000}" name="RepaymentYear7" displayName="RepaymentYear7" ref="A21:B27" totalsRowShown="0" headerRowBorderDxfId="1433" tableBorderDxfId="1432" totalsRowBorderDxfId="1431">
  <autoFilter ref="A21:B27" xr:uid="{00000000-0009-0000-0100-0000E6000000}">
    <filterColumn colId="0" hiddenButton="1"/>
    <filterColumn colId="1" hiddenButton="1"/>
  </autoFilter>
  <tableColumns count="2">
    <tableColumn id="1" xr3:uid="{00000000-0010-0000-AC00-000001000000}" name="Repayment data" dataDxfId="1430"/>
    <tableColumn id="2" xr3:uid="{00000000-0010-0000-AC00-000002000000}" name="Data for Year 7"/>
  </tableColumns>
  <tableStyleInfo name="TableStyleLight18" showFirstColumn="0" showLastColumn="0" showRowStripes="0" showColumnStripes="0"/>
  <extLst>
    <ext xmlns:x14="http://schemas.microsoft.com/office/spreadsheetml/2009/9/main" uri="{504A1905-F514-4f6f-8877-14C23A59335A}">
      <x14:table altText="Year 7 Repayment Information" altTextSummary="This table calculates the repayment amount for Year 7 if the LEA fails MOE by all four methods for the compliance standard. Users must enter data for IDEA allocations."/>
    </ext>
  </extLst>
</table>
</file>

<file path=xl/tables/table1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3" xr:uid="{00000000-000C-0000-FFFF-FFFFAD000000}" name="ExcAdjSummaryYear7" displayName="ExcAdjSummaryYear7" ref="A33:E40" totalsRowShown="0" headerRowDxfId="1429" headerRowBorderDxfId="1428" tableBorderDxfId="1427" totalsRowBorderDxfId="1426">
  <autoFilter ref="A33:E40" xr:uid="{00000000-0009-0000-0100-000057010000}">
    <filterColumn colId="0" hiddenButton="1"/>
    <filterColumn colId="1" hiddenButton="1"/>
    <filterColumn colId="2" hiddenButton="1"/>
    <filterColumn colId="3" hiddenButton="1"/>
    <filterColumn colId="4" hiddenButton="1"/>
  </autoFilter>
  <tableColumns count="5">
    <tableColumn id="1" xr3:uid="{00000000-0010-0000-AD00-000001000000}" name="Exception or Adjustment" dataDxfId="1425"/>
    <tableColumn id="2" xr3:uid="{00000000-0010-0000-AD00-000002000000}" name="Projected Local Funds" dataDxfId="1424"/>
    <tableColumn id="3" xr3:uid="{00000000-0010-0000-AD00-000003000000}" name="Projected State and Local Funds" dataDxfId="1423"/>
    <tableColumn id="4" xr3:uid="{00000000-0010-0000-AD00-000004000000}" name="Local Funds" dataDxfId="1422"/>
    <tableColumn id="5" xr3:uid="{00000000-0010-0000-AD00-000005000000}" name="State and Local Funds" dataDxfId="1421"/>
  </tableColumns>
  <tableStyleInfo name="TableStyleLight18" showFirstColumn="0" showLastColumn="0" showRowStripes="0" showColumnStripes="0"/>
  <extLst>
    <ext xmlns:x14="http://schemas.microsoft.com/office/spreadsheetml/2009/9/main" uri="{504A1905-F514-4f6f-8877-14C23A59335A}">
      <x14:table altText="Year 7 Exceptions &amp; Adjustment Summary" altTextSummary="This table presents a summary of all exceptions taken for Year 7. Detailed data on the exceptions are entered on the Exc &amp; Adj tab for Year 7."/>
    </ext>
  </extLst>
</table>
</file>

<file path=xl/tables/table1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AE000000}" name="BudgetYear8" displayName="BudgetYear8" ref="A4:F31" totalsRowShown="0" headerRowDxfId="1420" tableBorderDxfId="1419">
  <tableColumns count="6">
    <tableColumn id="1" xr3:uid="{00000000-0010-0000-AE00-000001000000}" name="Object Description" dataDxfId="1418"/>
    <tableColumn id="2" xr3:uid="{00000000-0010-0000-AE00-000002000000}" name="Code 1" dataDxfId="1417"/>
    <tableColumn id="7" xr3:uid="{00000000-0010-0000-AE00-000007000000}" name="Code 2" dataDxfId="1416"/>
    <tableColumn id="3" xr3:uid="{00000000-0010-0000-AE00-000003000000}" name="Local" dataDxfId="1415" dataCellStyle="Currency"/>
    <tableColumn id="4" xr3:uid="{00000000-0010-0000-AE00-000004000000}" name="State" dataDxfId="1414" dataCellStyle="Currency"/>
    <tableColumn id="5" xr3:uid="{00000000-0010-0000-AE00-000005000000}" name="State and Local" dataDxfId="1413"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8" altTextSummary="In this table, users will enter their budget amounts for Year 8. The column headers for the first three columns are unlocked and can be edited. If the LEA cannot separately budget for state and local funds, leave the Local column blank."/>
    </ext>
  </extLst>
</table>
</file>

<file path=xl/tables/table1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AF000000}" name="ExpendituresYear8" displayName="ExpendituresYear8" ref="H4:M31" totalsRowShown="0" headerRowDxfId="1412" tableBorderDxfId="1411">
  <tableColumns count="6">
    <tableColumn id="1" xr3:uid="{00000000-0010-0000-AF00-000001000000}" name="Object Description" dataDxfId="1410"/>
    <tableColumn id="2" xr3:uid="{00000000-0010-0000-AF00-000002000000}" name="Code" dataDxfId="1409"/>
    <tableColumn id="6" xr3:uid="{00000000-0010-0000-AF00-000006000000}" name="Code 2" dataDxfId="1408"/>
    <tableColumn id="3" xr3:uid="{00000000-0010-0000-AF00-000003000000}" name="Local" dataDxfId="1407" dataCellStyle="Currency"/>
    <tableColumn id="4" xr3:uid="{00000000-0010-0000-AF00-000004000000}" name="State" dataDxfId="1406" dataCellStyle="Currency"/>
    <tableColumn id="5" xr3:uid="{00000000-0010-0000-AF00-000005000000}" name="State and Local" dataDxfId="1405"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8" altTextSummary="In this table, users will enter the LEA's final expenditures for Year 8. The column headers for the first three columns are unlocked and can be edited. If the LEA cannot separately budget for state and local funds, leave the Local column blank."/>
    </ext>
  </extLst>
</table>
</file>

<file path=xl/tables/table1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B0000000}" name="ExcADepartingDataYear8Budget" displayName="ExcADepartingDataYear8Budget" ref="A7:F13" totalsRowShown="0" headerRowDxfId="1404" dataDxfId="1402" headerRowBorderDxfId="1403" tableBorderDxfId="1401">
  <tableColumns count="6">
    <tableColumn id="1" xr3:uid="{00000000-0010-0000-B000-000001000000}" name="Position Title" dataDxfId="1400"/>
    <tableColumn id="2" xr3:uid="{00000000-0010-0000-B000-000002000000}" name="Employee Name" dataDxfId="1399"/>
    <tableColumn id="3" xr3:uid="{00000000-0010-0000-B000-000003000000}" name="Reason for Leaving" dataDxfId="1398"/>
    <tableColumn id="4" xr3:uid="{00000000-0010-0000-B000-000004000000}" name="Salary" dataDxfId="1397" dataCellStyle="Currency"/>
    <tableColumn id="5" xr3:uid="{00000000-0010-0000-B000-000005000000}" name="Benefits" dataDxfId="1396" dataCellStyle="Currency"/>
    <tableColumn id="8" xr3:uid="{00000000-0010-0000-B000-000008000000}" name="Total Budget" dataDxfId="1395"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8 Eligiblity Standard" altTextSummary="Users can enter data in this table for any departing personnel projected for Year 8. This table is for the eligiblity standard and is based on budget amounts."/>
    </ext>
  </extLst>
</table>
</file>

<file path=xl/tables/table1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B1000000}" name="ExcAReplaceDataYear8Budget" displayName="ExcAReplaceDataYear8Budget" ref="A15:F21" totalsRowShown="0" headerRowDxfId="1394" dataDxfId="1392" headerRowBorderDxfId="1393" tableBorderDxfId="1391">
  <tableColumns count="6">
    <tableColumn id="1" xr3:uid="{00000000-0010-0000-B100-000001000000}" name="Position Title" dataDxfId="1390"/>
    <tableColumn id="2" xr3:uid="{00000000-0010-0000-B100-000002000000}" name="Employee Name" dataDxfId="1389"/>
    <tableColumn id="3" xr3:uid="{00000000-0010-0000-B100-000003000000}" name="This column intentionally left blank" dataDxfId="1388"/>
    <tableColumn id="4" xr3:uid="{00000000-0010-0000-B100-000004000000}" name="Salary" dataDxfId="1387" dataCellStyle="Currency"/>
    <tableColumn id="5" xr3:uid="{00000000-0010-0000-B100-000005000000}" name="Benefits" dataDxfId="1386" dataCellStyle="Currency"/>
    <tableColumn id="8" xr3:uid="{00000000-0010-0000-B100-000008000000}" name="Total Budget" dataDxfId="1385"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8 Eligibility Standard" altTextSummary="Users can enter data in this table for any replacement personnel projected for Year 8. This table is for the eligiblity standard and is based on budget amounts."/>
    </ext>
  </extLst>
</table>
</file>

<file path=xl/tables/table1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B2000000}" name="ExcDDataYear8Budget" displayName="ExcDDataYear8Budget" ref="A47:B53" totalsRowShown="0" headerRowDxfId="1384" dataDxfId="1382" headerRowBorderDxfId="1383" tableBorderDxfId="1381">
  <tableColumns count="2">
    <tableColumn id="1" xr3:uid="{00000000-0010-0000-B200-000001000000}" name="Description" dataDxfId="1380"/>
    <tableColumn id="2" xr3:uid="{00000000-0010-0000-B200-000002000000}" name="Budgeted Cost in Final Year" dataDxfId="1379"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8 Eligiblity Standard" altTextSummary="Users can enter data in this table for the projected termination of costly expenditures for long-term purchases for Year 8. This table is for the eligiblity standard and is based on budget amounts."/>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1000000}" name="ExcAReplaceDataYear1Expenditures" displayName="ExcAReplaceDataYear1Expenditures" ref="H15:M21" totalsRowShown="0" headerRowDxfId="2503" dataDxfId="2501" headerRowBorderDxfId="2502" tableBorderDxfId="2500">
  <tableColumns count="6">
    <tableColumn id="1" xr3:uid="{00000000-0010-0000-1100-000001000000}" name="Position Title" dataDxfId="2499"/>
    <tableColumn id="2" xr3:uid="{00000000-0010-0000-1100-000002000000}" name="Employee Name" dataDxfId="2498"/>
    <tableColumn id="3" xr3:uid="{00000000-0010-0000-1100-000003000000}" name="This column intentionally left blank" dataDxfId="2497"/>
    <tableColumn id="4" xr3:uid="{00000000-0010-0000-1100-000004000000}" name="Salary" dataDxfId="2496" dataCellStyle="Currency"/>
    <tableColumn id="5" xr3:uid="{00000000-0010-0000-1100-000005000000}" name="Benefits" dataDxfId="2495" dataCellStyle="Currency"/>
    <tableColumn id="8" xr3:uid="{00000000-0010-0000-1100-000008000000}" name="Total Expenditures" dataDxfId="2494"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1 Compliance Standard" altTextSummary="Users can enter data in this table for any replacement personnel for Year 1. This table is for the compliance standard and is based on final expenditures."/>
    </ext>
  </extLst>
</table>
</file>

<file path=xl/tables/table1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B3000000}" name="AdjDataYear8Budget" displayName="AdjDataYear8Budget" ref="A71:B72" totalsRowShown="0" headerRowDxfId="1378" dataDxfId="1376" headerRowBorderDxfId="1377" tableBorderDxfId="1375" totalsRowBorderDxfId="1374">
  <tableColumns count="2">
    <tableColumn id="1" xr3:uid="{00000000-0010-0000-B300-000001000000}" name="Column1" dataDxfId="1373"/>
    <tableColumn id="2" xr3:uid="{00000000-0010-0000-B300-000002000000}" name="Projected Adjustment" dataDxfId="1372"/>
  </tableColumns>
  <tableStyleInfo name="TableStyleMedium9" showFirstColumn="0" showLastColumn="0" showRowStripes="0" showColumnStripes="0"/>
  <extLst>
    <ext xmlns:x14="http://schemas.microsoft.com/office/spreadsheetml/2009/9/main" uri="{504A1905-F514-4f6f-8877-14C23A59335A}">
      <x14:table altText="MOE Adjustment Data Entry for Year 8 Eligiblity Standard" altTextSummary="Users can enter data in this table for the projected Adjustment to MOE for Year 8. This table is for the eligiblity standard and is based on budget amounts. Use IDC's MOE Reduction Decision Tree and Calculator to determine the adjustment amount."/>
    </ext>
  </extLst>
</table>
</file>

<file path=xl/tables/table1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0000000-000C-0000-FFFF-FFFFB4000000}" name="ExcCDataYear8Budget" displayName="ExcCDataYear8Budget" ref="A37:C43" totalsRowShown="0" headerRowDxfId="1371" dataDxfId="1370" tableBorderDxfId="1369">
  <tableColumns count="3">
    <tableColumn id="1" xr3:uid="{00000000-0010-0000-B400-000001000000}" name="Student Identifier" dataDxfId="1368"/>
    <tableColumn id="2" xr3:uid="{00000000-0010-0000-B400-000002000000}" name="Reason" dataDxfId="1367"/>
    <tableColumn id="3" xr3:uid="{00000000-0010-0000-B400-000003000000}" name="Budgeted Cost" dataDxfId="1366"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8 Eligiblity Standard" altTextSummary="Users can enter data in this table for the projected termination of the obligation to provide special education to a particular student that is an exceptionally costly program projected for Year 8. This table is for the eligiblity standard and is based on budget amounts."/>
    </ext>
  </extLst>
</table>
</file>

<file path=xl/tables/table1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B5000000}" name="ExcEDataYear8Budget" displayName="ExcEDataYear8Budget" ref="A57:B63" totalsRowShown="0" headerRowDxfId="1365" tableBorderDxfId="1364">
  <tableColumns count="2">
    <tableColumn id="1" xr3:uid="{00000000-0010-0000-B500-000001000000}" name="Student Identifier" dataDxfId="1363"/>
    <tableColumn id="2" xr3:uid="{00000000-0010-0000-B500-000002000000}" name="Budgeted Cost Assumed by SEA" dataDxfId="136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8 Eligiblity Standard" altTextSummary="Users can enter data for the projected assumption of cost by the high cost fund operated by the SEA for Year 8. This table is for the eligibility standard and uses budget data. The table will not calculate a total if tab 3b indicates that the SEA does not have a high cost fund in Year 8."/>
    </ext>
  </extLst>
</table>
</file>

<file path=xl/tables/table1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B6000000}" name="ExcBChildCountDataYear8Budget" displayName="ExcBChildCountDataYear8Budget" ref="A25:B29" totalsRowShown="0" headerRowDxfId="1361" dataDxfId="1360">
  <tableColumns count="2">
    <tableColumn id="1" xr3:uid="{00000000-0010-0000-B600-000001000000}" name="Column1" dataDxfId="1359"/>
    <tableColumn id="2" xr3:uid="{00000000-0010-0000-B600-000002000000}" name="Column2" dataDxfId="135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8 Eligibility Standard" altTextSummary="This table automatically calculates the change in enrollment for Year 8 to determine whether the LEA can apply exception (b). This table is for the eligibility standard."/>
    </ext>
  </extLst>
</table>
</file>

<file path=xl/tables/table1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B7000000}" name="ExcBFundsDataYear8Budget" displayName="ExcBFundsDataYear8Budget" ref="A30:C32" totalsRowShown="0" headerRowDxfId="1357" dataDxfId="1355" headerRowBorderDxfId="1356" tableBorderDxfId="1354" totalsRowBorderDxfId="1353">
  <tableColumns count="3">
    <tableColumn id="1" xr3:uid="{00000000-0010-0000-B700-000001000000}" name="Column1" dataDxfId="1352"/>
    <tableColumn id="2" xr3:uid="{00000000-0010-0000-B700-000002000000}" name="Total Local Funds" dataDxfId="1351">
      <calculatedColumnFormula>'2. Getting Started'!C17</calculatedColumnFormula>
    </tableColumn>
    <tableColumn id="3" xr3:uid="{00000000-0010-0000-B700-000003000000}" name="Total State and Local Funds" dataDxfId="1350">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8 Eligiblity Standard" altTextSummary="This table automatically calculates the projected reduction based on a decrease in enrollment for Year 8. This table is for the eligibility standard and uses budget data. The row for Projected Reduction will be blank if there is no decrease in child count."/>
    </ext>
  </extLst>
</table>
</file>

<file path=xl/tables/table1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B8000000}" name="ExcADepartingDataYear8Expenditures" displayName="ExcADepartingDataYear8Expenditures" ref="H7:M13" totalsRowShown="0" headerRowDxfId="1349" dataDxfId="1347" headerRowBorderDxfId="1348" tableBorderDxfId="1346">
  <tableColumns count="6">
    <tableColumn id="1" xr3:uid="{00000000-0010-0000-B800-000001000000}" name="Position Title" dataDxfId="1345"/>
    <tableColumn id="2" xr3:uid="{00000000-0010-0000-B800-000002000000}" name="Employee Name" dataDxfId="1344"/>
    <tableColumn id="3" xr3:uid="{00000000-0010-0000-B800-000003000000}" name="Reason for Leaving" dataDxfId="1343"/>
    <tableColumn id="4" xr3:uid="{00000000-0010-0000-B800-000004000000}" name="Salary" dataDxfId="1342" dataCellStyle="Currency"/>
    <tableColumn id="5" xr3:uid="{00000000-0010-0000-B800-000005000000}" name="Benefits" dataDxfId="1341" dataCellStyle="Currency"/>
    <tableColumn id="8" xr3:uid="{00000000-0010-0000-B800-000008000000}" name="Total Expenditures" dataDxfId="134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8 Compliance Standard" altTextSummary="Users can enter data in this table for any departing personnel for Year 8. This table is for the compliance standard and is based on final expenditures."/>
    </ext>
  </extLst>
</table>
</file>

<file path=xl/tables/table1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B9000000}" name="ExcAReplaceDataYear8Expenditures" displayName="ExcAReplaceDataYear8Expenditures" ref="H15:M21" totalsRowShown="0" headerRowDxfId="1339" dataDxfId="1337" headerRowBorderDxfId="1338" tableBorderDxfId="1336">
  <tableColumns count="6">
    <tableColumn id="1" xr3:uid="{00000000-0010-0000-B900-000001000000}" name="Position Title" dataDxfId="1335"/>
    <tableColumn id="2" xr3:uid="{00000000-0010-0000-B900-000002000000}" name="Employee Name" dataDxfId="1334"/>
    <tableColumn id="3" xr3:uid="{00000000-0010-0000-B900-000003000000}" name="This column intentionally left blank" dataDxfId="1333"/>
    <tableColumn id="4" xr3:uid="{00000000-0010-0000-B900-000004000000}" name="Salary" dataDxfId="1332" dataCellStyle="Currency"/>
    <tableColumn id="5" xr3:uid="{00000000-0010-0000-B900-000005000000}" name="Benefits" dataDxfId="1331" dataCellStyle="Currency"/>
    <tableColumn id="8" xr3:uid="{00000000-0010-0000-B900-000008000000}" name="Total Expenditures" dataDxfId="133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8 Compliance Standard" altTextSummary="Users can enter data in this table for any replacement personnel for Year 8. This table is for the compliance standard and is based on final expenditures."/>
    </ext>
  </extLst>
</table>
</file>

<file path=xl/tables/table1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BA000000}" name="ExcDDataYear8Expenditures" displayName="ExcDDataYear8Expenditures" ref="H47:I53" totalsRowShown="0" headerRowDxfId="1329" dataDxfId="1327" headerRowBorderDxfId="1328" tableBorderDxfId="1326">
  <tableColumns count="2">
    <tableColumn id="1" xr3:uid="{00000000-0010-0000-BA00-000001000000}" name="Description" dataDxfId="1325"/>
    <tableColumn id="2" xr3:uid="{00000000-0010-0000-BA00-000002000000}" name="Cost in Final Year of Expenditure" dataDxfId="132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8 Compliance Standard" altTextSummary="Users can enter data in this table for the termination of costly expenditures for long-term purchases for Year 8. This table is for the compliance standard and is based on final expenditures."/>
    </ext>
  </extLst>
</table>
</file>

<file path=xl/tables/table1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00000000-000C-0000-FFFF-FFFFBB000000}" name="AdjDataYear8Expenditures" displayName="AdjDataYear8Expenditures" ref="H71:I72" totalsRowShown="0" headerRowDxfId="1323" dataDxfId="1321" headerRowBorderDxfId="1322" tableBorderDxfId="1320" totalsRowBorderDxfId="1319">
  <tableColumns count="2">
    <tableColumn id="1" xr3:uid="{00000000-0010-0000-BB00-000001000000}" name="Column1" dataDxfId="1318"/>
    <tableColumn id="2" xr3:uid="{00000000-0010-0000-BB00-000002000000}" name="Adjustment " dataDxfId="1317"/>
  </tableColumns>
  <tableStyleInfo name="TableStyleMedium9" showFirstColumn="0" showLastColumn="0" showRowStripes="0" showColumnStripes="0"/>
  <extLst>
    <ext xmlns:x14="http://schemas.microsoft.com/office/spreadsheetml/2009/9/main" uri="{504A1905-F514-4f6f-8877-14C23A59335A}">
      <x14:table altText="MOE Adjustment Data Entry for Year 8 Compliance Standard" altTextSummary="Users can enter data in this table for the Adjustment to MOE for Year 8. This table is for the compliance standard and is based on final expenditures. Use IDC's MOE Reduction Decision Tree and Calculator to determine the adjustment amount."/>
    </ext>
  </extLst>
</table>
</file>

<file path=xl/tables/table1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00000000-000C-0000-FFFF-FFFFBC000000}" name="ExcCDataYear8Expenditures" displayName="ExcCDataYear8Expenditures" ref="H37:J43" totalsRowShown="0" headerRowDxfId="1316" dataDxfId="1315" tableBorderDxfId="1314">
  <tableColumns count="3">
    <tableColumn id="1" xr3:uid="{00000000-0010-0000-BC00-000001000000}" name="Student Identifier" dataDxfId="1313"/>
    <tableColumn id="2" xr3:uid="{00000000-0010-0000-BC00-000002000000}" name="Reason" dataDxfId="1312"/>
    <tableColumn id="3" xr3:uid="{00000000-0010-0000-BC00-000003000000}" name="Expenditures" dataDxfId="131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8 Compliance Standard" altTextSummary="Users can enter data in this table for the termination of the obligation to provide special education to a particular student that is an exceptionally costly program projected for Year 8. This table is for the compliance standard and is based on final expenditures."/>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2000000}" name="ExcDDataYear1Expenditures" displayName="ExcDDataYear1Expenditures" ref="H47:I53" totalsRowShown="0" headerRowDxfId="2493" dataDxfId="2491" headerRowBorderDxfId="2492" tableBorderDxfId="2490">
  <tableColumns count="2">
    <tableColumn id="1" xr3:uid="{00000000-0010-0000-1200-000001000000}" name="Description" dataDxfId="2489"/>
    <tableColumn id="2" xr3:uid="{00000000-0010-0000-1200-000002000000}" name="Cost in Final Year of Expenditure" dataDxfId="2488"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1 Compliance Standard" altTextSummary="Users can enter data in this table for the termination of costly expenditures for long-term purchases for Year 1. This table is for the compliance standard and is based on final expenditures."/>
    </ext>
  </extLst>
</table>
</file>

<file path=xl/tables/table1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BD000000}" name="ExcEDataYear8Expenditures" displayName="ExcEDataYear8Expenditures" ref="H57:I63" totalsRowShown="0" headerRowDxfId="1310" tableBorderDxfId="1309">
  <tableColumns count="2">
    <tableColumn id="1" xr3:uid="{00000000-0010-0000-BD00-000001000000}" name="Student Identifier" dataDxfId="1308"/>
    <tableColumn id="2" xr3:uid="{00000000-0010-0000-BD00-000002000000}" name="Cost Assumed by SEA" dataDxfId="1307"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8 Compliance Standard" altTextSummary="Users can enter data for the assumption of cost by the high cost fund operated by the SEA for Year 8. This table is for the compliance standard and uses final expenditures. The table will not calculate a total if tab 3b indicates that the SEA does not have a high cost fund in Year 8."/>
    </ext>
  </extLst>
</table>
</file>

<file path=xl/tables/table1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BE000000}" name="ExcBChildCountDataYear8Expenditures" displayName="ExcBChildCountDataYear8Expenditures" ref="H25:I29" totalsRowShown="0" headerRowDxfId="1306" dataDxfId="1305">
  <tableColumns count="2">
    <tableColumn id="1" xr3:uid="{00000000-0010-0000-BE00-000001000000}" name="Column1" dataDxfId="1304"/>
    <tableColumn id="2" xr3:uid="{00000000-0010-0000-BE00-000002000000}" name="Column2" dataDxfId="1303"/>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8 Compliance Standard" altTextSummary="This table automatically calculates the change in enrollment for Year 8 to determine whether the LEA can apply exception (b). This table is for the compliance standard."/>
    </ext>
  </extLst>
</table>
</file>

<file path=xl/tables/table1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BF000000}" name="ExcBFundsDataYear8Expenditures" displayName="ExcBFundsDataYear8Expenditures" ref="H30:J32" totalsRowShown="0" headerRowDxfId="1302" dataDxfId="1300" headerRowBorderDxfId="1301" tableBorderDxfId="1299" totalsRowBorderDxfId="1298">
  <tableColumns count="3">
    <tableColumn id="1" xr3:uid="{00000000-0010-0000-BF00-000001000000}" name="Column1" dataDxfId="1297"/>
    <tableColumn id="2" xr3:uid="{00000000-0010-0000-BF00-000002000000}" name="Local Total" dataDxfId="1296"/>
    <tableColumn id="3" xr3:uid="{00000000-0010-0000-BF00-000003000000}" name="State and Local Total" dataDxfId="1295"/>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8 Compliance Standard" altTextSummary="This table automatically calculates the reduction based on a decrease in enrollment for Year 8. This table is for the compliance standard and uses final expenditures. The row for Allowed Reduction will be blank and blacked out if there is no decrease in child count."/>
    </ext>
  </extLst>
</table>
</file>

<file path=xl/tables/table1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1" xr:uid="{00000000-000C-0000-FFFF-FFFFC0000000}" name="TotalBudgetedExcYear8" displayName="TotalBudgetedExcYear8" ref="A66:B68" totalsRowShown="0" headerRowDxfId="1294" headerRowBorderDxfId="1293" tableBorderDxfId="1292" totalsRowBorderDxfId="1291">
  <autoFilter ref="A66:B68" xr:uid="{00000000-0009-0000-0100-0000E7000000}">
    <filterColumn colId="0" hiddenButton="1"/>
    <filterColumn colId="1" hiddenButton="1"/>
  </autoFilter>
  <tableColumns count="2">
    <tableColumn id="1" xr3:uid="{00000000-0010-0000-C000-000001000000}" name="Source" dataDxfId="1290" dataCellStyle="Normal 2"/>
    <tableColumn id="2" xr3:uid="{00000000-0010-0000-C000-000002000000}" name="Total" dataDxfId="1289" dataCellStyle="Currency 2">
      <calculatedColumnFormula>IF(B$28&gt;=0,(F$22+C$43+B$53+B$63),(F$22+C$43+B$53+B$63+C$32))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Projected Exceptions for Year 8 Eligibility Standard" altTextSummary="This table displays the total projected exceptions entered for the eligibility standard for Year 8."/>
    </ext>
  </extLst>
</table>
</file>

<file path=xl/tables/table1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00000000-000C-0000-FFFF-FFFFC1000000}" name="TotalExpendituresExcYear8" displayName="TotalExpendituresExcYear8" ref="H66:I68" totalsRowShown="0" headerRowDxfId="1288" headerRowBorderDxfId="1287" tableBorderDxfId="1286" totalsRowBorderDxfId="1285">
  <autoFilter ref="H66:I68" xr:uid="{00000000-0009-0000-0100-0000E8000000}">
    <filterColumn colId="0" hiddenButton="1"/>
    <filterColumn colId="1" hiddenButton="1"/>
  </autoFilter>
  <tableColumns count="2">
    <tableColumn id="1" xr3:uid="{00000000-0010-0000-C100-000001000000}" name="Source" dataDxfId="1284" dataCellStyle="Normal 2"/>
    <tableColumn id="2" xr3:uid="{00000000-0010-0000-C100-000002000000}" name="Total" dataDxfId="1283" dataCellStyle="Currency 2">
      <calculatedColumnFormula>IF(I$28&gt;=0,(M$22+J$43+I$53+I$63),(M$22+J$43+I$53+I$63+J$32))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Exceptions for Year 8 Compliance Standard" altTextSummary="This table displays the total exceptions entered for the compliance standard for Year 8."/>
    </ext>
  </extLst>
</table>
</file>

<file path=xl/tables/table1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3" xr:uid="{00000000-000C-0000-FFFF-FFFFC2000000}" name="EligibilityYear8" displayName="EligibilityYear8" ref="A5:E10" totalsRowShown="0" headerRowDxfId="1282" headerRowBorderDxfId="1281" tableBorderDxfId="1280" totalsRowBorderDxfId="1279">
  <autoFilter ref="A5:E10" xr:uid="{00000000-0009-0000-0100-0000E9000000}">
    <filterColumn colId="0" hiddenButton="1"/>
    <filterColumn colId="1" hiddenButton="1"/>
    <filterColumn colId="2" hiddenButton="1"/>
    <filterColumn colId="3" hiddenButton="1"/>
    <filterColumn colId="4" hiddenButton="1"/>
  </autoFilter>
  <tableColumns count="5">
    <tableColumn id="1" xr3:uid="{00000000-0010-0000-C200-000001000000}" name="MOE Information" dataDxfId="1278"/>
    <tableColumn id="2" xr3:uid="{00000000-0010-0000-C200-000002000000}" name="Total Local Funds"/>
    <tableColumn id="3" xr3:uid="{00000000-0010-0000-C200-000003000000}" name="Total State and Local Funds"/>
    <tableColumn id="4" xr3:uid="{00000000-0010-0000-C200-000004000000}" name="Local Funds Per Capita"/>
    <tableColumn id="5" xr3:uid="{00000000-0010-0000-C2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8 Eligibility Standard" altTextSummary="This table displays MOE amounts and results for the eligibility standard for Year 8."/>
    </ext>
  </extLst>
</table>
</file>

<file path=xl/tables/table1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4" xr:uid="{00000000-000C-0000-FFFF-FFFFC3000000}" name="ComplianceYear8" displayName="ComplianceYear8" ref="A13:E18" totalsRowShown="0" headerRowDxfId="1277" headerRowBorderDxfId="1276" tableBorderDxfId="1275" totalsRowBorderDxfId="1274">
  <autoFilter ref="A13:E18" xr:uid="{00000000-0009-0000-0100-0000EA000000}">
    <filterColumn colId="0" hiddenButton="1"/>
    <filterColumn colId="1" hiddenButton="1"/>
    <filterColumn colId="2" hiddenButton="1"/>
    <filterColumn colId="3" hiddenButton="1"/>
    <filterColumn colId="4" hiddenButton="1"/>
  </autoFilter>
  <tableColumns count="5">
    <tableColumn id="1" xr3:uid="{00000000-0010-0000-C300-000001000000}" name="MOE Information" dataDxfId="1273"/>
    <tableColumn id="2" xr3:uid="{00000000-0010-0000-C300-000002000000}" name="Total Local Funds" dataDxfId="1272"/>
    <tableColumn id="3" xr3:uid="{00000000-0010-0000-C300-000003000000}" name="Total State and Local Funds" dataDxfId="1271"/>
    <tableColumn id="4" xr3:uid="{00000000-0010-0000-C300-000004000000}" name="Local Funds Per Capita" dataDxfId="1270"/>
    <tableColumn id="5" xr3:uid="{00000000-0010-0000-C300-000005000000}" name="State and Local Funds Per Capita" dataDxfId="1269"/>
  </tableColumns>
  <tableStyleInfo name="TableStyleLight18" showFirstColumn="0" showLastColumn="0" showRowStripes="0" showColumnStripes="0"/>
  <extLst>
    <ext xmlns:x14="http://schemas.microsoft.com/office/spreadsheetml/2009/9/main" uri="{504A1905-F514-4f6f-8877-14C23A59335A}">
      <x14:table altText="Year 8 Compliance Standard" altTextSummary="This table displays MOE amounts and results for the compliance standard for Year 8."/>
    </ext>
  </extLst>
</table>
</file>

<file path=xl/tables/table1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5" xr:uid="{00000000-000C-0000-FFFF-FFFFC4000000}" name="RepaymentYear8" displayName="RepaymentYear8" ref="A21:B27" totalsRowShown="0" headerRowBorderDxfId="1268" tableBorderDxfId="1267" totalsRowBorderDxfId="1266">
  <autoFilter ref="A21:B27" xr:uid="{00000000-0009-0000-0100-0000EB000000}">
    <filterColumn colId="0" hiddenButton="1"/>
    <filterColumn colId="1" hiddenButton="1"/>
  </autoFilter>
  <tableColumns count="2">
    <tableColumn id="1" xr3:uid="{00000000-0010-0000-C400-000001000000}" name="Repayment data" dataDxfId="1265"/>
    <tableColumn id="2" xr3:uid="{00000000-0010-0000-C400-000002000000}" name="Data for Year 8"/>
  </tableColumns>
  <tableStyleInfo name="TableStyleLight18" showFirstColumn="0" showLastColumn="0" showRowStripes="0" showColumnStripes="0"/>
  <extLst>
    <ext xmlns:x14="http://schemas.microsoft.com/office/spreadsheetml/2009/9/main" uri="{504A1905-F514-4f6f-8877-14C23A59335A}">
      <x14:table altText="Year 8 Repayment Information" altTextSummary="This table calculates the repayment amount for Year 8 if the LEA fails MOE by all four methods for the compliance standard. Users must enter data for IDEA allocations."/>
    </ext>
  </extLst>
</table>
</file>

<file path=xl/tables/table1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4" xr:uid="{00000000-000C-0000-FFFF-FFFFC5000000}" name="ExcAdjSummaryYear8" displayName="ExcAdjSummaryYear8" ref="A33:E40" totalsRowShown="0" headerRowDxfId="1264" headerRowBorderDxfId="1263" tableBorderDxfId="1262" totalsRowBorderDxfId="1261">
  <autoFilter ref="A33:E40" xr:uid="{00000000-0009-0000-0100-000058010000}">
    <filterColumn colId="0" hiddenButton="1"/>
    <filterColumn colId="1" hiddenButton="1"/>
    <filterColumn colId="2" hiddenButton="1"/>
    <filterColumn colId="3" hiddenButton="1"/>
    <filterColumn colId="4" hiddenButton="1"/>
  </autoFilter>
  <tableColumns count="5">
    <tableColumn id="1" xr3:uid="{00000000-0010-0000-C500-000001000000}" name="Exception or Adjustment" dataDxfId="1260"/>
    <tableColumn id="2" xr3:uid="{00000000-0010-0000-C500-000002000000}" name="Projected Local Funds" dataDxfId="1259"/>
    <tableColumn id="3" xr3:uid="{00000000-0010-0000-C500-000003000000}" name="Projected State and Local Funds" dataDxfId="1258"/>
    <tableColumn id="4" xr3:uid="{00000000-0010-0000-C500-000004000000}" name="Local Funds" dataDxfId="1257"/>
    <tableColumn id="5" xr3:uid="{00000000-0010-0000-C500-000005000000}" name="State and Local Funds" dataDxfId="1256"/>
  </tableColumns>
  <tableStyleInfo name="TableStyleLight18" showFirstColumn="0" showLastColumn="0" showRowStripes="0" showColumnStripes="0"/>
  <extLst>
    <ext xmlns:x14="http://schemas.microsoft.com/office/spreadsheetml/2009/9/main" uri="{504A1905-F514-4f6f-8877-14C23A59335A}">
      <x14:table altText="Summary of Exceptions and Adjustment for Year 8" altTextSummary="This table presents a summary of all exceptions taken for Year 8. Detailed data on the exceptions are entered on the Exc &amp; Adj tab for Year 8."/>
    </ext>
  </extLst>
</table>
</file>

<file path=xl/tables/table1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00000000-000C-0000-FFFF-FFFFC6000000}" name="BudgetYear9" displayName="BudgetYear9" ref="A4:F31" totalsRowShown="0" headerRowDxfId="1255" tableBorderDxfId="1254">
  <tableColumns count="6">
    <tableColumn id="1" xr3:uid="{00000000-0010-0000-C600-000001000000}" name="Object Description" dataDxfId="1253"/>
    <tableColumn id="2" xr3:uid="{00000000-0010-0000-C600-000002000000}" name="Code 1" dataDxfId="1252"/>
    <tableColumn id="7" xr3:uid="{00000000-0010-0000-C600-000007000000}" name="Code 2" dataDxfId="1251"/>
    <tableColumn id="3" xr3:uid="{00000000-0010-0000-C600-000003000000}" name="Local" dataDxfId="1250" dataCellStyle="Currency"/>
    <tableColumn id="4" xr3:uid="{00000000-0010-0000-C600-000004000000}" name="State" dataDxfId="1249" dataCellStyle="Currency"/>
    <tableColumn id="5" xr3:uid="{00000000-0010-0000-C600-000005000000}" name="State and Local" dataDxfId="1248"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9" altTextSummary="In this table, users will enter their budget amounts for Year 9. The column headers for the first three columns are unlocked and can be edited. If the LEA cannot separately budget for state and local funds, leave the Local column blank."/>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4" xr:uid="{00000000-000C-0000-FFFF-FFFF01000000}" name="LastYearMet" displayName="LastYearMet" ref="A9:D13" totalsRowShown="0" headerRowBorderDxfId="2625" tableBorderDxfId="2624" totalsRowBorderDxfId="2623">
  <autoFilter ref="A9:D13" xr:uid="{00000000-0009-0000-0100-0000C2000000}">
    <filterColumn colId="0" hiddenButton="1"/>
    <filterColumn colId="1" hiddenButton="1"/>
    <filterColumn colId="2" hiddenButton="1"/>
    <filterColumn colId="3" hiddenButton="1"/>
  </autoFilter>
  <tableColumns count="4">
    <tableColumn id="1" xr3:uid="{00000000-0010-0000-0100-000001000000}" name="Method" dataDxfId="2622"/>
    <tableColumn id="2" xr3:uid="{00000000-0010-0000-0100-000002000000}" name="Last year met (four-digit year)" dataDxfId="2621"/>
    <tableColumn id="3" xr3:uid="{00000000-0010-0000-0100-000003000000}" name="Expenditures last year met" dataDxfId="2620" dataCellStyle="Currency"/>
    <tableColumn id="4" xr3:uid="{00000000-0010-0000-0100-000004000000}" name="Child count last year met" dataDxfId="2619" dataCellStyle="Comma"/>
  </tableColumns>
  <tableStyleInfo name="TableStyleLight18" showFirstColumn="0" showLastColumn="0" showRowStripes="0" showColumnStripes="0"/>
  <extLst>
    <ext xmlns:x14="http://schemas.microsoft.com/office/spreadsheetml/2009/9/main" uri="{504A1905-F514-4f6f-8877-14C23A59335A}">
      <x14:table altText="Last Year Met" altTextSummary="Enter information in this table for the last year the comparison standard was met for each of the four methods. Required information is the last year met, the expenditures for that year, and the child count for that year._x000d__x000a_"/>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3000000}" name="AdjDataYear1Expenditures" displayName="AdjDataYear1Expenditures" ref="H71:I72" totalsRowShown="0" headerRowDxfId="2487" dataDxfId="2485" headerRowBorderDxfId="2486" tableBorderDxfId="2484" totalsRowBorderDxfId="2483">
  <tableColumns count="2">
    <tableColumn id="1" xr3:uid="{00000000-0010-0000-1300-000001000000}" name="Column1" dataDxfId="2482"/>
    <tableColumn id="2" xr3:uid="{00000000-0010-0000-1300-000002000000}" name="Adjustment " dataDxfId="2481"/>
  </tableColumns>
  <tableStyleInfo name="TableStyleMedium9" showFirstColumn="0" showLastColumn="0" showRowStripes="0" showColumnStripes="0"/>
  <extLst>
    <ext xmlns:x14="http://schemas.microsoft.com/office/spreadsheetml/2009/9/main" uri="{504A1905-F514-4f6f-8877-14C23A59335A}">
      <x14:table altText="MOE Adjustment Data Entry for Year 1 Compliance Standard" altTextSummary="Users can enter data in this table for the Adjustment to MOE for Year 1. This table is for the compliance standard and is based on final expenditures. Use IDC's MOE Reduction Decision Tree and Calculator to determine the adjustment amount."/>
    </ext>
  </extLst>
</table>
</file>

<file path=xl/tables/table2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00000000-000C-0000-FFFF-FFFFC7000000}" name="ExpendituresYear9" displayName="ExpendituresYear9" ref="H4:M31" totalsRowShown="0" headerRowDxfId="1247" tableBorderDxfId="1246">
  <tableColumns count="6">
    <tableColumn id="1" xr3:uid="{00000000-0010-0000-C700-000001000000}" name="Object Description" dataDxfId="1245"/>
    <tableColumn id="2" xr3:uid="{00000000-0010-0000-C700-000002000000}" name="Code" dataDxfId="1244"/>
    <tableColumn id="6" xr3:uid="{00000000-0010-0000-C700-000006000000}" name="Code 2" dataDxfId="1243"/>
    <tableColumn id="3" xr3:uid="{00000000-0010-0000-C700-000003000000}" name="Local" dataDxfId="1242" dataCellStyle="Currency"/>
    <tableColumn id="4" xr3:uid="{00000000-0010-0000-C700-000004000000}" name="State" dataDxfId="1241" dataCellStyle="Currency"/>
    <tableColumn id="5" xr3:uid="{00000000-0010-0000-C700-000005000000}" name="State and Local" dataDxfId="1240"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9" altTextSummary="In this table, users will enter the LEA's final expenditures for Year 9. The column headers for the first three columns are unlocked and can be edited. If the LEA cannot separately budget for state and local funds, leave the Local column blank."/>
    </ext>
  </extLst>
</table>
</file>

<file path=xl/tables/table2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00000000-000C-0000-FFFF-FFFFC8000000}" name="ExcADepartingDataYear9Budget" displayName="ExcADepartingDataYear9Budget" ref="A7:F13" totalsRowShown="0" headerRowDxfId="1239" dataDxfId="1237" headerRowBorderDxfId="1238" tableBorderDxfId="1236">
  <tableColumns count="6">
    <tableColumn id="1" xr3:uid="{00000000-0010-0000-C800-000001000000}" name="Position Title" dataDxfId="1235"/>
    <tableColumn id="2" xr3:uid="{00000000-0010-0000-C800-000002000000}" name="Employee Name" dataDxfId="1234"/>
    <tableColumn id="3" xr3:uid="{00000000-0010-0000-C800-000003000000}" name="Reason for Leaving" dataDxfId="1233"/>
    <tableColumn id="4" xr3:uid="{00000000-0010-0000-C800-000004000000}" name="Salary" dataDxfId="1232" dataCellStyle="Currency"/>
    <tableColumn id="5" xr3:uid="{00000000-0010-0000-C800-000005000000}" name="Benefits" dataDxfId="1231" dataCellStyle="Currency"/>
    <tableColumn id="8" xr3:uid="{00000000-0010-0000-C800-000008000000}" name="Total Budget" dataDxfId="123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9 Eligiblity Standard" altTextSummary="Users can enter data in this table for any departing personnel projected for Year 9. This table is for the eligiblity standard and is based on budget amounts."/>
    </ext>
  </extLst>
</table>
</file>

<file path=xl/tables/table2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00000000-000C-0000-FFFF-FFFFC9000000}" name="ExcAReplaceDataYear9Budget" displayName="ExcAReplaceDataYear9Budget" ref="A15:F21" totalsRowShown="0" headerRowDxfId="1229" dataDxfId="1227" headerRowBorderDxfId="1228" tableBorderDxfId="1226">
  <tableColumns count="6">
    <tableColumn id="1" xr3:uid="{00000000-0010-0000-C900-000001000000}" name="Position Title" dataDxfId="1225"/>
    <tableColumn id="2" xr3:uid="{00000000-0010-0000-C900-000002000000}" name="Employee Name" dataDxfId="1224"/>
    <tableColumn id="3" xr3:uid="{00000000-0010-0000-C900-000003000000}" name="This column intentionally left blank" dataDxfId="1223"/>
    <tableColumn id="4" xr3:uid="{00000000-0010-0000-C900-000004000000}" name="Salary" dataDxfId="1222" dataCellStyle="Currency"/>
    <tableColumn id="5" xr3:uid="{00000000-0010-0000-C900-000005000000}" name="Benefits" dataDxfId="1221" dataCellStyle="Currency"/>
    <tableColumn id="8" xr3:uid="{00000000-0010-0000-C900-000008000000}" name="Total Budget" dataDxfId="122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9 Eligibility Standard" altTextSummary="Users can enter data in this table for any replacement personnel projected for Year 9. This table is for the eligiblity standard and is based on budget amounts."/>
    </ext>
  </extLst>
</table>
</file>

<file path=xl/tables/table2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00000000-000C-0000-FFFF-FFFFCA000000}" name="ExcDDataYear9Budget" displayName="ExcDDataYear9Budget" ref="A47:B53" totalsRowShown="0" headerRowDxfId="1219" dataDxfId="1217" headerRowBorderDxfId="1218" tableBorderDxfId="1216">
  <tableColumns count="2">
    <tableColumn id="1" xr3:uid="{00000000-0010-0000-CA00-000001000000}" name="Description" dataDxfId="1215"/>
    <tableColumn id="2" xr3:uid="{00000000-0010-0000-CA00-000002000000}" name="Budgeted Cost in Final Year" dataDxfId="121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9 Eligiblity Standard" altTextSummary="Users can enter data in this table for the projected termination of costly expenditures for long-term purchases for Year 9. This table is for the eligiblity standard and is based on budget amounts."/>
    </ext>
  </extLst>
</table>
</file>

<file path=xl/tables/table2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00000000-000C-0000-FFFF-FFFFCB000000}" name="AdjDataYear9Budget" displayName="AdjDataYear9Budget" ref="A71:B72" totalsRowShown="0" headerRowDxfId="1213" dataDxfId="1211" headerRowBorderDxfId="1212" tableBorderDxfId="1210" totalsRowBorderDxfId="1209">
  <tableColumns count="2">
    <tableColumn id="1" xr3:uid="{00000000-0010-0000-CB00-000001000000}" name="Column1" dataDxfId="1208"/>
    <tableColumn id="2" xr3:uid="{00000000-0010-0000-CB00-000002000000}" name="Projected Adjustment" dataDxfId="1207"/>
  </tableColumns>
  <tableStyleInfo name="TableStyleMedium9" showFirstColumn="0" showLastColumn="0" showRowStripes="0" showColumnStripes="0"/>
  <extLst>
    <ext xmlns:x14="http://schemas.microsoft.com/office/spreadsheetml/2009/9/main" uri="{504A1905-F514-4f6f-8877-14C23A59335A}">
      <x14:table altText="MOE Adjustment Data Entry for Year 9 Eligiblity Standard" altTextSummary="Users can enter data in this table for the projected Adjustment to MOE for Year 9. This table is for the eligiblity standard and is based on budget amounts. Use IDC's MOE Reduction Decision Tree and Calculator to determine the adjustment amount."/>
    </ext>
  </extLst>
</table>
</file>

<file path=xl/tables/table2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00000000-000C-0000-FFFF-FFFFCC000000}" name="ExcCDataYear9Budget" displayName="ExcCDataYear9Budget" ref="A37:C43" totalsRowShown="0" headerRowDxfId="1206" dataDxfId="1205" tableBorderDxfId="1204">
  <tableColumns count="3">
    <tableColumn id="1" xr3:uid="{00000000-0010-0000-CC00-000001000000}" name="Student Identifier" dataDxfId="1203"/>
    <tableColumn id="2" xr3:uid="{00000000-0010-0000-CC00-000002000000}" name="Reason" dataDxfId="1202"/>
    <tableColumn id="3" xr3:uid="{00000000-0010-0000-CC00-000003000000}" name="Budgeted Cost" dataDxfId="120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9 Eligiblity Standard" altTextSummary="Users can enter data in this table for the projected termination of the obligation to provide special education to a particular student that is an exceptionally costly program projected for Year 9. This table is for the eligiblity standard and is based on budget amounts."/>
    </ext>
  </extLst>
</table>
</file>

<file path=xl/tables/table2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00000000-000C-0000-FFFF-FFFFCD000000}" name="ExcEDataYear9Budget" displayName="ExcEDataYear9Budget" ref="A57:B63" totalsRowShown="0" headerRowDxfId="1200" tableBorderDxfId="1199">
  <tableColumns count="2">
    <tableColumn id="1" xr3:uid="{00000000-0010-0000-CD00-000001000000}" name="Student Identifier" dataDxfId="1198"/>
    <tableColumn id="2" xr3:uid="{00000000-0010-0000-CD00-000002000000}" name="Budgeted Cost Assumed by SEA" dataDxfId="1197"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9 Eligiblity Standard" altTextSummary="Users can enter data for the projected assumption of cost by the high cost fund operated by the SEA for Year 9. This table is for the eligibility standard and uses budget data. The table will not calculate a total if tab 3b indicates that the SEA does not have a high cost fund in Year 9."/>
    </ext>
  </extLst>
</table>
</file>

<file path=xl/tables/table2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00000000-000C-0000-FFFF-FFFFCE000000}" name="ExcBChildCountDataYear9Budget" displayName="ExcBChildCountDataYear9Budget" ref="A25:B29" totalsRowShown="0" headerRowDxfId="1196" dataDxfId="1195">
  <tableColumns count="2">
    <tableColumn id="1" xr3:uid="{00000000-0010-0000-CE00-000001000000}" name="Column1" dataDxfId="1194"/>
    <tableColumn id="2" xr3:uid="{00000000-0010-0000-CE00-000002000000}" name="Column2" dataDxfId="1193"/>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9 Eligibility Standard" altTextSummary="This table automatically calculates the change in enrollment for Year 9 to determine whether the LEA can apply exception (b). This table is for the eligibility standard."/>
    </ext>
  </extLst>
</table>
</file>

<file path=xl/tables/table2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00000000-000C-0000-FFFF-FFFFCF000000}" name="ExcBFundsDataYear9Budget" displayName="ExcBFundsDataYear9Budget" ref="A30:C32" totalsRowShown="0" headerRowDxfId="1192" dataDxfId="1190" headerRowBorderDxfId="1191" tableBorderDxfId="1189" totalsRowBorderDxfId="1188">
  <tableColumns count="3">
    <tableColumn id="1" xr3:uid="{00000000-0010-0000-CF00-000001000000}" name="Column1" dataDxfId="1187"/>
    <tableColumn id="2" xr3:uid="{00000000-0010-0000-CF00-000002000000}" name="Total Local Funds" dataDxfId="1186">
      <calculatedColumnFormula>'2. Getting Started'!C17</calculatedColumnFormula>
    </tableColumn>
    <tableColumn id="3" xr3:uid="{00000000-0010-0000-CF00-000003000000}" name="Total State and Local Funds" dataDxfId="1185">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9 Eligiblity Standard" altTextSummary="This table automatically calculates the projected reduction based on a decrease in enrollment for Year 9. This table is for the eligibility standard and uses budget data. The row for Projected Reduction will be blank if there is no decrease in child count."/>
    </ext>
  </extLst>
</table>
</file>

<file path=xl/tables/table2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00000000-000C-0000-FFFF-FFFFD0000000}" name="ExcADepartingDataYear9Expenditures" displayName="ExcADepartingDataYear9Expenditures" ref="H7:M13" totalsRowShown="0" headerRowDxfId="1184" dataDxfId="1182" headerRowBorderDxfId="1183" tableBorderDxfId="1181">
  <tableColumns count="6">
    <tableColumn id="1" xr3:uid="{00000000-0010-0000-D000-000001000000}" name="Position Title" dataDxfId="1180"/>
    <tableColumn id="2" xr3:uid="{00000000-0010-0000-D000-000002000000}" name="Employee Name" dataDxfId="1179"/>
    <tableColumn id="3" xr3:uid="{00000000-0010-0000-D000-000003000000}" name="Reason for Leaving" dataDxfId="1178"/>
    <tableColumn id="4" xr3:uid="{00000000-0010-0000-D000-000004000000}" name="Salary" dataDxfId="1177" dataCellStyle="Currency"/>
    <tableColumn id="5" xr3:uid="{00000000-0010-0000-D000-000005000000}" name="Benefits" dataDxfId="1176" dataCellStyle="Currency"/>
    <tableColumn id="8" xr3:uid="{00000000-0010-0000-D000-000008000000}" name="Total Expenditures" dataDxfId="1175"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9 Compliance Standard" altTextSummary="Users can enter data in this table for any departing personnel for Year 9. This table is for the compliance standard and is based on final expenditures."/>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4000000}" name="ExcCDataYear1Expenditures" displayName="ExcCDataYear1Expenditures" ref="H37:J43" totalsRowShown="0" headerRowDxfId="2480" dataDxfId="2479" tableBorderDxfId="2478">
  <tableColumns count="3">
    <tableColumn id="1" xr3:uid="{00000000-0010-0000-1400-000001000000}" name="Student Identifier" dataDxfId="2477"/>
    <tableColumn id="2" xr3:uid="{00000000-0010-0000-1400-000002000000}" name="Reason" dataDxfId="2476"/>
    <tableColumn id="3" xr3:uid="{00000000-0010-0000-1400-000003000000}" name="Expenditures" dataDxfId="2475"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1 Compliance Standard" altTextSummary="Users can enter data in this table for the termination of the obligation to provide special education to a particular student that is an exceptionally costly program projected for Year 1. This table is for the compliance standard and is based on final expenditures."/>
    </ext>
  </extLst>
</table>
</file>

<file path=xl/tables/table2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00000000-000C-0000-FFFF-FFFFD1000000}" name="ExcAReplaceDataYear9Expenditures" displayName="ExcAReplaceDataYear9Expenditures" ref="H15:M21" totalsRowShown="0" headerRowDxfId="1174" dataDxfId="1172" headerRowBorderDxfId="1173" tableBorderDxfId="1171">
  <tableColumns count="6">
    <tableColumn id="1" xr3:uid="{00000000-0010-0000-D100-000001000000}" name="Position Title" dataDxfId="1170"/>
    <tableColumn id="2" xr3:uid="{00000000-0010-0000-D100-000002000000}" name="Employee Name" dataDxfId="1169"/>
    <tableColumn id="3" xr3:uid="{00000000-0010-0000-D100-000003000000}" name="This column intentionally left blank" dataDxfId="1168"/>
    <tableColumn id="4" xr3:uid="{00000000-0010-0000-D100-000004000000}" name="Salary" dataDxfId="1167" dataCellStyle="Currency"/>
    <tableColumn id="5" xr3:uid="{00000000-0010-0000-D100-000005000000}" name="Benefits" dataDxfId="1166" dataCellStyle="Currency"/>
    <tableColumn id="8" xr3:uid="{00000000-0010-0000-D100-000008000000}" name="Total Expenditures" dataDxfId="1165"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9 Compliance Standard" altTextSummary="Users can enter data in this table for any replacement personnel for Year 9. This table is for the compliance standard and is based on final expenditures."/>
    </ext>
  </extLst>
</table>
</file>

<file path=xl/tables/table2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00000000-000C-0000-FFFF-FFFFD2000000}" name="ExcDDataYear9Expenditures" displayName="ExcDDataYear9Expenditures" ref="H47:I53" totalsRowShown="0" headerRowDxfId="1164" dataDxfId="1162" headerRowBorderDxfId="1163" tableBorderDxfId="1161">
  <tableColumns count="2">
    <tableColumn id="1" xr3:uid="{00000000-0010-0000-D200-000001000000}" name="Description" dataDxfId="1160"/>
    <tableColumn id="2" xr3:uid="{00000000-0010-0000-D200-000002000000}" name="Cost in Final Year of Expenditure" dataDxfId="1159"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9 Compliance Standard" altTextSummary="Users can enter data in this table for the termination of costly expenditures for long-term purchases for Year 9. This table is for the compliance standard and is based on final expenditures."/>
    </ext>
  </extLst>
</table>
</file>

<file path=xl/tables/table2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00000000-000C-0000-FFFF-FFFFD3000000}" name="AdjDataYear9Expenditures" displayName="AdjDataYear9Expenditures" ref="H71:I72" totalsRowShown="0" headerRowDxfId="1158" dataDxfId="1156" headerRowBorderDxfId="1157" tableBorderDxfId="1155" totalsRowBorderDxfId="1154">
  <tableColumns count="2">
    <tableColumn id="1" xr3:uid="{00000000-0010-0000-D300-000001000000}" name="Column1" dataDxfId="1153"/>
    <tableColumn id="2" xr3:uid="{00000000-0010-0000-D300-000002000000}" name="Adjustment " dataDxfId="1152"/>
  </tableColumns>
  <tableStyleInfo name="TableStyleMedium9" showFirstColumn="0" showLastColumn="0" showRowStripes="0" showColumnStripes="0"/>
  <extLst>
    <ext xmlns:x14="http://schemas.microsoft.com/office/spreadsheetml/2009/9/main" uri="{504A1905-F514-4f6f-8877-14C23A59335A}">
      <x14:table altText="MOE Adjustment Data Entry for Year 9 Compliance Standard" altTextSummary="Users can enter data in this table for the Adjustment to MOE for Year 9. This table is for the compliance standard and is based on final expenditures. Use IDC's MOE Reduction Decision Tree and Calculator to determine the adjustment amount."/>
    </ext>
  </extLst>
</table>
</file>

<file path=xl/tables/table2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00000000-000C-0000-FFFF-FFFFD4000000}" name="ExcCDataYear9Expenditures" displayName="ExcCDataYear9Expenditures" ref="H37:J43" totalsRowShown="0" headerRowDxfId="1151" dataDxfId="1150" tableBorderDxfId="1149">
  <tableColumns count="3">
    <tableColumn id="1" xr3:uid="{00000000-0010-0000-D400-000001000000}" name="Student Identifier" dataDxfId="1148"/>
    <tableColumn id="2" xr3:uid="{00000000-0010-0000-D400-000002000000}" name="Reason" dataDxfId="1147"/>
    <tableColumn id="3" xr3:uid="{00000000-0010-0000-D400-000003000000}" name="Expenditures" dataDxfId="1146"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9 Compliance Standard" altTextSummary="Users can enter data in this table for the termination of the obligation to provide special education to a particular student that is an exceptionally costly program projected for Year 9. This table is for the compliance standard and is based on final expenditures."/>
    </ext>
  </extLst>
</table>
</file>

<file path=xl/tables/table2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1" xr:uid="{00000000-000C-0000-FFFF-FFFFD5000000}" name="ExcEDataYear9Expenditures" displayName="ExcEDataYear9Expenditures" ref="H57:I63" totalsRowShown="0" headerRowDxfId="1145" tableBorderDxfId="1144">
  <tableColumns count="2">
    <tableColumn id="1" xr3:uid="{00000000-0010-0000-D500-000001000000}" name="Student Identifier" dataDxfId="1143"/>
    <tableColumn id="2" xr3:uid="{00000000-0010-0000-D500-000002000000}" name="Cost Assumed by SEA" dataDxfId="114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9 Compliance Standard" altTextSummary="Users can enter data for the assumption of cost by the high cost fund operated by the SEA for Year 9. This table is for the compliance standard and uses final expenditures. The table will not calculate a total if tab 3b indicates that the SEA does not have a high cost fund in Year 9."/>
    </ext>
  </extLst>
</table>
</file>

<file path=xl/tables/table2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2" xr:uid="{00000000-000C-0000-FFFF-FFFFD6000000}" name="ExcBChildCountDataYear9Expenditures" displayName="ExcBChildCountDataYear9Expenditures" ref="H25:I29" totalsRowShown="0" headerRowDxfId="1141" dataDxfId="1140">
  <tableColumns count="2">
    <tableColumn id="1" xr3:uid="{00000000-0010-0000-D600-000001000000}" name="Column1" dataDxfId="1139"/>
    <tableColumn id="2" xr3:uid="{00000000-0010-0000-D600-000002000000}" name="Column2" dataDxfId="113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9 Compliance Standard" altTextSummary="This table automatically calculates the change in enrollment for Year 9 to determine whether the LEA can apply exception (b). This table is for the compliance standard."/>
    </ext>
  </extLst>
</table>
</file>

<file path=xl/tables/table2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3" xr:uid="{00000000-000C-0000-FFFF-FFFFD7000000}" name="ExcBFundsDataYear9Expenditures" displayName="ExcBFundsDataYear9Expenditures" ref="H30:J32" totalsRowShown="0" headerRowDxfId="1137" dataDxfId="1135" headerRowBorderDxfId="1136" tableBorderDxfId="1134" totalsRowBorderDxfId="1133">
  <tableColumns count="3">
    <tableColumn id="1" xr3:uid="{00000000-0010-0000-D700-000001000000}" name="Column1" dataDxfId="1132"/>
    <tableColumn id="2" xr3:uid="{00000000-0010-0000-D700-000002000000}" name="Local Total" dataDxfId="1131"/>
    <tableColumn id="3" xr3:uid="{00000000-0010-0000-D700-000003000000}" name="State and Local Total" dataDxfId="1130"/>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9 Compliance Standard" altTextSummary="This table automatically calculates the reduction based on a decrease in enrollment for Year 9. This table is for the compliance standard and uses final expenditures. The row for Allowed Reduction will be blank and blacked out if there is no decrease in child count."/>
    </ext>
  </extLst>
</table>
</file>

<file path=xl/tables/table2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9" xr:uid="{00000000-000C-0000-FFFF-FFFFD8000000}" name="TotalBudgetedExcYear9" displayName="TotalBudgetedExcYear9" ref="A66:B68" totalsRowShown="0" headerRowDxfId="1129" headerRowBorderDxfId="1128" tableBorderDxfId="1127" totalsRowBorderDxfId="1126">
  <autoFilter ref="A66:B68" xr:uid="{00000000-0009-0000-0100-0000E5000000}">
    <filterColumn colId="0" hiddenButton="1"/>
    <filterColumn colId="1" hiddenButton="1"/>
  </autoFilter>
  <tableColumns count="2">
    <tableColumn id="1" xr3:uid="{00000000-0010-0000-D800-000001000000}" name="Source" dataDxfId="1125" dataCellStyle="Normal 2"/>
    <tableColumn id="2" xr3:uid="{00000000-0010-0000-D800-000002000000}" name="Total" dataDxfId="1124" dataCellStyle="Currency 2">
      <calculatedColumnFormula>IF(B$28&gt;=0,(F$22+C$43+B$53+B$63),(F$22+C$43+B$53+B$63+C$32))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Projected Exceptions for Year 9 Eligibility Standard" altTextSummary="This table displays the total projected exceptions entered for the eligibility standard for Year 9."/>
    </ext>
  </extLst>
</table>
</file>

<file path=xl/tables/table2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6" xr:uid="{00000000-000C-0000-FFFF-FFFFD9000000}" name="TotalExpendituresExcYear9" displayName="TotalExpendituresExcYear9" ref="H66:I68" totalsRowShown="0" headerRowDxfId="1123" headerRowBorderDxfId="1122" tableBorderDxfId="1121" totalsRowBorderDxfId="1120">
  <autoFilter ref="H66:I68" xr:uid="{00000000-0009-0000-0100-0000EC000000}">
    <filterColumn colId="0" hiddenButton="1"/>
    <filterColumn colId="1" hiddenButton="1"/>
  </autoFilter>
  <tableColumns count="2">
    <tableColumn id="1" xr3:uid="{00000000-0010-0000-D900-000001000000}" name="Source" dataDxfId="1119" dataCellStyle="Normal 2"/>
    <tableColumn id="2" xr3:uid="{00000000-0010-0000-D900-000002000000}" name="Total" dataDxfId="1118" dataCellStyle="Currency 2">
      <calculatedColumnFormula>IF(I$28&gt;=0,(M$22+J$43+I$53+I$63),(M$22+J$43+I$53+I$63+J$32))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Exceptions for Year 9 Compliance Standard" altTextSummary="This table displays the total exceptions entered for the compliance standard for Year 9."/>
    </ext>
  </extLst>
</table>
</file>

<file path=xl/tables/table2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7" xr:uid="{00000000-000C-0000-FFFF-FFFFDA000000}" name="RepaymentYear9" displayName="RepaymentYear9" ref="A21:B27" totalsRowShown="0" headerRowBorderDxfId="1117" tableBorderDxfId="1116" totalsRowBorderDxfId="1115">
  <autoFilter ref="A21:B27" xr:uid="{00000000-0009-0000-0100-0000ED000000}">
    <filterColumn colId="0" hiddenButton="1"/>
    <filterColumn colId="1" hiddenButton="1"/>
  </autoFilter>
  <tableColumns count="2">
    <tableColumn id="1" xr3:uid="{00000000-0010-0000-DA00-000001000000}" name="Repayment data" dataDxfId="1114"/>
    <tableColumn id="2" xr3:uid="{00000000-0010-0000-DA00-000002000000}" name="Data for Year 9"/>
  </tableColumns>
  <tableStyleInfo name="TableStyleLight18" showFirstColumn="0" showLastColumn="0" showRowStripes="0" showColumnStripes="0"/>
  <extLst>
    <ext xmlns:x14="http://schemas.microsoft.com/office/spreadsheetml/2009/9/main" uri="{504A1905-F514-4f6f-8877-14C23A59335A}">
      <x14:table altText="Year 9 Repayment Information" altTextSummary="This table calculates the repayment amount for Year 9 if the LEA fails MOE by all four methods for the compliance standard. Users must enter data for IDEA allocations."/>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5000000}" name="ExcEDataYear1Expenditures" displayName="ExcEDataYear1Expenditures" ref="H57:I63" totalsRowShown="0" headerRowDxfId="2474" tableBorderDxfId="2473">
  <tableColumns count="2">
    <tableColumn id="1" xr3:uid="{00000000-0010-0000-1500-000001000000}" name="Student Identifier" dataDxfId="2472"/>
    <tableColumn id="2" xr3:uid="{00000000-0010-0000-1500-000002000000}" name="Cost Assumed by SEA" dataDxfId="2471"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1 Compliance Standard" altTextSummary="Users can enter data for the assumption of cost by the high cost fund operated by the SEA for Year 1. This table is for the compliance standard and uses final expenditures. The table will not calculate a total if tab 3b indicates that the SEA does not have a high cost fund in Year 1."/>
    </ext>
  </extLst>
</table>
</file>

<file path=xl/tables/table2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8" xr:uid="{00000000-000C-0000-FFFF-FFFFDB000000}" name="ComplianceYear9" displayName="ComplianceYear9" ref="A13:E18" totalsRowShown="0" headerRowDxfId="1113" headerRowBorderDxfId="1112" tableBorderDxfId="1111" totalsRowBorderDxfId="1110">
  <autoFilter ref="A13:E18" xr:uid="{00000000-0009-0000-0100-0000EE000000}">
    <filterColumn colId="0" hiddenButton="1"/>
    <filterColumn colId="1" hiddenButton="1"/>
    <filterColumn colId="2" hiddenButton="1"/>
    <filterColumn colId="3" hiddenButton="1"/>
    <filterColumn colId="4" hiddenButton="1"/>
  </autoFilter>
  <tableColumns count="5">
    <tableColumn id="1" xr3:uid="{00000000-0010-0000-DB00-000001000000}" name="MOE Information" dataDxfId="1109"/>
    <tableColumn id="2" xr3:uid="{00000000-0010-0000-DB00-000002000000}" name="Total Local Funds" dataDxfId="1108"/>
    <tableColumn id="3" xr3:uid="{00000000-0010-0000-DB00-000003000000}" name="Total State and Local Funds" dataDxfId="1107"/>
    <tableColumn id="4" xr3:uid="{00000000-0010-0000-DB00-000004000000}" name="Local Funds Per Capita" dataDxfId="1106"/>
    <tableColumn id="5" xr3:uid="{00000000-0010-0000-DB00-000005000000}" name="State and Local Funds Per Capita" dataDxfId="1105"/>
  </tableColumns>
  <tableStyleInfo name="TableStyleLight18" showFirstColumn="0" showLastColumn="0" showRowStripes="0" showColumnStripes="0"/>
  <extLst>
    <ext xmlns:x14="http://schemas.microsoft.com/office/spreadsheetml/2009/9/main" uri="{504A1905-F514-4f6f-8877-14C23A59335A}">
      <x14:table altText="Year 9 Compliance Standard" altTextSummary="This table displays MOE amounts and results for the compliance standard for Year 9."/>
    </ext>
  </extLst>
</table>
</file>

<file path=xl/tables/table2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9" xr:uid="{00000000-000C-0000-FFFF-FFFFDC000000}" name="EligibilityYear9" displayName="EligibilityYear9" ref="A5:E10" totalsRowShown="0" headerRowDxfId="1104" headerRowBorderDxfId="1103" tableBorderDxfId="1102" totalsRowBorderDxfId="1101">
  <autoFilter ref="A5:E10" xr:uid="{00000000-0009-0000-0100-0000EF000000}">
    <filterColumn colId="0" hiddenButton="1"/>
    <filterColumn colId="1" hiddenButton="1"/>
    <filterColumn colId="2" hiddenButton="1"/>
    <filterColumn colId="3" hiddenButton="1"/>
    <filterColumn colId="4" hiddenButton="1"/>
  </autoFilter>
  <tableColumns count="5">
    <tableColumn id="1" xr3:uid="{00000000-0010-0000-DC00-000001000000}" name="MOE Information" dataDxfId="1100"/>
    <tableColumn id="2" xr3:uid="{00000000-0010-0000-DC00-000002000000}" name="Total Local Funds"/>
    <tableColumn id="3" xr3:uid="{00000000-0010-0000-DC00-000003000000}" name="Total State and Local Funds"/>
    <tableColumn id="4" xr3:uid="{00000000-0010-0000-DC00-000004000000}" name="Local Funds Per Capita"/>
    <tableColumn id="5" xr3:uid="{00000000-0010-0000-DC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9 Eligibility Standard" altTextSummary="This table displays MOE amounts and results for the eligibility standard for Year 9."/>
    </ext>
  </extLst>
</table>
</file>

<file path=xl/tables/table2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5" xr:uid="{00000000-000C-0000-FFFF-FFFFDD000000}" name="ExcAdjSummaryYear9" displayName="ExcAdjSummaryYear9" ref="A33:E40" totalsRowShown="0" headerRowDxfId="1099" headerRowBorderDxfId="1098" tableBorderDxfId="1097" totalsRowBorderDxfId="1096">
  <autoFilter ref="A33:E40" xr:uid="{00000000-0009-0000-0100-000059010000}">
    <filterColumn colId="0" hiddenButton="1"/>
    <filterColumn colId="1" hiddenButton="1"/>
    <filterColumn colId="2" hiddenButton="1"/>
    <filterColumn colId="3" hiddenButton="1"/>
    <filterColumn colId="4" hiddenButton="1"/>
  </autoFilter>
  <tableColumns count="5">
    <tableColumn id="1" xr3:uid="{00000000-0010-0000-DD00-000001000000}" name="Exception or Adjustment" dataDxfId="1095"/>
    <tableColumn id="2" xr3:uid="{00000000-0010-0000-DD00-000002000000}" name="Projected Local Funds" dataDxfId="1094"/>
    <tableColumn id="3" xr3:uid="{00000000-0010-0000-DD00-000003000000}" name="Projected State and Local Funds" dataDxfId="1093"/>
    <tableColumn id="4" xr3:uid="{00000000-0010-0000-DD00-000004000000}" name="Local Funds" dataDxfId="1092"/>
    <tableColumn id="5" xr3:uid="{00000000-0010-0000-DD00-000005000000}" name="State and Local Funds" dataDxfId="1091"/>
  </tableColumns>
  <tableStyleInfo name="TableStyleLight18" showFirstColumn="0" showLastColumn="0" showRowStripes="0" showColumnStripes="0"/>
  <extLst>
    <ext xmlns:x14="http://schemas.microsoft.com/office/spreadsheetml/2009/9/main" uri="{504A1905-F514-4f6f-8877-14C23A59335A}">
      <x14:table altText="Summary of Exceptions and Adjustment for Year 9" altTextSummary="This table presents a summary of all exceptions taken for Year 9. Detailed data on the exceptions are entered on the Exc &amp; Adj tab for Year 9."/>
    </ext>
  </extLst>
</table>
</file>

<file path=xl/tables/table2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4" xr:uid="{00000000-000C-0000-FFFF-FFFFDE000000}" name="BudgetYear10" displayName="BudgetYear10" ref="A4:F31" totalsRowShown="0" headerRowDxfId="1090" tableBorderDxfId="1089">
  <tableColumns count="6">
    <tableColumn id="1" xr3:uid="{00000000-0010-0000-DE00-000001000000}" name="Object Description" dataDxfId="1088"/>
    <tableColumn id="2" xr3:uid="{00000000-0010-0000-DE00-000002000000}" name="Code 1" dataDxfId="1087"/>
    <tableColumn id="7" xr3:uid="{00000000-0010-0000-DE00-000007000000}" name="Code 2" dataDxfId="1086"/>
    <tableColumn id="3" xr3:uid="{00000000-0010-0000-DE00-000003000000}" name="Local" dataDxfId="1085" dataCellStyle="Currency"/>
    <tableColumn id="4" xr3:uid="{00000000-0010-0000-DE00-000004000000}" name="State" dataDxfId="1084" dataCellStyle="Currency"/>
    <tableColumn id="5" xr3:uid="{00000000-0010-0000-DE00-000005000000}" name="State and Local" dataDxfId="1083"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10" altTextSummary="In this table, users will enter their budget amounts for Year 10. The column headers for the first three columns are unlocked and can be edited. If the LEA cannot separately budget for state and local funds, leave the Local column blank."/>
    </ext>
  </extLst>
</table>
</file>

<file path=xl/tables/table2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5" xr:uid="{00000000-000C-0000-FFFF-FFFFDF000000}" name="ExpendituresYear10" displayName="ExpendituresYear10" ref="H4:M31" totalsRowShown="0" headerRowDxfId="1082" tableBorderDxfId="1081">
  <tableColumns count="6">
    <tableColumn id="1" xr3:uid="{00000000-0010-0000-DF00-000001000000}" name="Object Description" dataDxfId="1080"/>
    <tableColumn id="2" xr3:uid="{00000000-0010-0000-DF00-000002000000}" name="Code" dataDxfId="1079"/>
    <tableColumn id="6" xr3:uid="{00000000-0010-0000-DF00-000006000000}" name="Code 2" dataDxfId="1078"/>
    <tableColumn id="3" xr3:uid="{00000000-0010-0000-DF00-000003000000}" name="Local" dataDxfId="1077" dataCellStyle="Currency"/>
    <tableColumn id="4" xr3:uid="{00000000-0010-0000-DF00-000004000000}" name="State" dataDxfId="1076" dataCellStyle="Currency"/>
    <tableColumn id="5" xr3:uid="{00000000-0010-0000-DF00-000005000000}" name="State and Local" dataDxfId="1075"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10" altTextSummary="In this table, users will enter the LEA's final expenditures for Year 10. The column headers for the first three columns are unlocked and can be edited. If the LEA cannot separately budget for state and local funds, leave the Local column blank."/>
    </ext>
  </extLst>
</table>
</file>

<file path=xl/tables/table2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6" xr:uid="{00000000-000C-0000-FFFF-FFFFE0000000}" name="ExcADepartingDataYear10Budget" displayName="ExcADepartingDataYear10Budget" ref="A7:F13" totalsRowShown="0" headerRowDxfId="1074" dataDxfId="1072" headerRowBorderDxfId="1073" tableBorderDxfId="1071">
  <tableColumns count="6">
    <tableColumn id="1" xr3:uid="{00000000-0010-0000-E000-000001000000}" name="Position Title" dataDxfId="1070"/>
    <tableColumn id="2" xr3:uid="{00000000-0010-0000-E000-000002000000}" name="Employee Name" dataDxfId="1069"/>
    <tableColumn id="3" xr3:uid="{00000000-0010-0000-E000-000003000000}" name="Reason for Leaving" dataDxfId="1068"/>
    <tableColumn id="4" xr3:uid="{00000000-0010-0000-E000-000004000000}" name="Salary" dataDxfId="1067" dataCellStyle="Currency"/>
    <tableColumn id="5" xr3:uid="{00000000-0010-0000-E000-000005000000}" name="Benefits" dataDxfId="1066" dataCellStyle="Currency"/>
    <tableColumn id="8" xr3:uid="{00000000-0010-0000-E000-000008000000}" name="Total Budget" dataDxfId="1065"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10 Eligiblity Standard" altTextSummary="Users can enter data in this table for any departing personnel projected for Year 10. This table is for the eligiblity standard and is based on budget amounts."/>
    </ext>
  </extLst>
</table>
</file>

<file path=xl/tables/table2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7" xr:uid="{00000000-000C-0000-FFFF-FFFFE1000000}" name="ExcAReplaceDataYear10Budget" displayName="ExcAReplaceDataYear10Budget" ref="A15:F21" totalsRowShown="0" headerRowDxfId="1064" dataDxfId="1062" headerRowBorderDxfId="1063" tableBorderDxfId="1061">
  <tableColumns count="6">
    <tableColumn id="1" xr3:uid="{00000000-0010-0000-E100-000001000000}" name="Position Title" dataDxfId="1060"/>
    <tableColumn id="2" xr3:uid="{00000000-0010-0000-E100-000002000000}" name="Employee Name" dataDxfId="1059"/>
    <tableColumn id="3" xr3:uid="{00000000-0010-0000-E100-000003000000}" name="This column intentionally left blank" dataDxfId="1058"/>
    <tableColumn id="4" xr3:uid="{00000000-0010-0000-E100-000004000000}" name="Salary" dataDxfId="1057" dataCellStyle="Currency"/>
    <tableColumn id="5" xr3:uid="{00000000-0010-0000-E100-000005000000}" name="Benefits" dataDxfId="1056" dataCellStyle="Currency"/>
    <tableColumn id="8" xr3:uid="{00000000-0010-0000-E100-000008000000}" name="Total Budget" dataDxfId="1055"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10 Eligibility Standard" altTextSummary="Users can enter data in this table for any replacement personnel projected for Year 10. This table is for the eligiblity standard and is based on budget amounts."/>
    </ext>
  </extLst>
</table>
</file>

<file path=xl/tables/table2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8" xr:uid="{00000000-000C-0000-FFFF-FFFFE2000000}" name="ExcDDataYear10Budget" displayName="ExcDDataYear10Budget" ref="A47:B53" totalsRowShown="0" headerRowDxfId="1054" dataDxfId="1052" headerRowBorderDxfId="1053" tableBorderDxfId="1051">
  <tableColumns count="2">
    <tableColumn id="1" xr3:uid="{00000000-0010-0000-E200-000001000000}" name="Description" dataDxfId="1050"/>
    <tableColumn id="2" xr3:uid="{00000000-0010-0000-E200-000002000000}" name="Budgeted Cost in Final Year" dataDxfId="1049"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10 Eligiblity Standard" altTextSummary="Users can enter data in this table for the projected termination of costly expenditures for long-term purchases for Year 10. This table is for the eligiblity standard and is based on budget amounts."/>
    </ext>
  </extLst>
</table>
</file>

<file path=xl/tables/table2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9" xr:uid="{00000000-000C-0000-FFFF-FFFFE3000000}" name="AdjDataYear10Budget" displayName="AdjDataYear10Budget" ref="A71:B72" totalsRowShown="0" headerRowDxfId="1048" dataDxfId="1046" headerRowBorderDxfId="1047" tableBorderDxfId="1045" totalsRowBorderDxfId="1044">
  <tableColumns count="2">
    <tableColumn id="1" xr3:uid="{00000000-0010-0000-E300-000001000000}" name="Column1" dataDxfId="1043"/>
    <tableColumn id="2" xr3:uid="{00000000-0010-0000-E300-000002000000}" name="Projected Adjustment" dataDxfId="1042"/>
  </tableColumns>
  <tableStyleInfo name="TableStyleMedium9" showFirstColumn="0" showLastColumn="0" showRowStripes="0" showColumnStripes="0"/>
  <extLst>
    <ext xmlns:x14="http://schemas.microsoft.com/office/spreadsheetml/2009/9/main" uri="{504A1905-F514-4f6f-8877-14C23A59335A}">
      <x14:table altText="MOE Adjustment Data Entry for Year 10 Eligiblity Standard" altTextSummary="Users can enter data in this table for the projected Adjustment to MOE for Year 10. This table is for the eligiblity standard and is based on budget amounts. Use IDC's MOE Reduction Decision Tree and Calculator to determine the adjustment amount."/>
    </ext>
  </extLst>
</table>
</file>

<file path=xl/tables/table2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0" xr:uid="{00000000-000C-0000-FFFF-FFFFE4000000}" name="ExcCDataYear10Budget" displayName="ExcCDataYear10Budget" ref="A37:C43" totalsRowShown="0" headerRowDxfId="1041" dataDxfId="1040" tableBorderDxfId="1039">
  <tableColumns count="3">
    <tableColumn id="1" xr3:uid="{00000000-0010-0000-E400-000001000000}" name="Student Identifier" dataDxfId="1038"/>
    <tableColumn id="2" xr3:uid="{00000000-0010-0000-E400-000002000000}" name="Reason" dataDxfId="1037"/>
    <tableColumn id="3" xr3:uid="{00000000-0010-0000-E400-000003000000}" name="Budgeted Cost" dataDxfId="1036"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10 Eligiblity Standard" altTextSummary="Users can enter data in this table for the projected termination of the obligation to provide special education to a particular student that is an exceptionally costly program projected for Year 10. This table is for the eligiblity standard and is based on budget amounts."/>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6000000}" name="ExcBChildCountDataYear1Expenditures" displayName="ExcBChildCountDataYear1Expenditures" ref="H25:I29" totalsRowShown="0" headerRowDxfId="2470" dataDxfId="2469">
  <tableColumns count="2">
    <tableColumn id="1" xr3:uid="{00000000-0010-0000-1600-000001000000}" name="Column1" dataDxfId="2468"/>
    <tableColumn id="2" xr3:uid="{00000000-0010-0000-1600-000002000000}" name="Column2" dataDxfId="2467"/>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1 Compliance Standard" altTextSummary="This table automatically calculates the change in enrollment for Year 1 to determine whether the LEA can apply exception (b). This table is for the compliance standard."/>
    </ext>
  </extLst>
</table>
</file>

<file path=xl/tables/table2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1" xr:uid="{00000000-000C-0000-FFFF-FFFFE5000000}" name="ExcEDataYear10Budget" displayName="ExcEDataYear10Budget" ref="A57:B63" totalsRowShown="0" headerRowDxfId="1035" tableBorderDxfId="1034">
  <tableColumns count="2">
    <tableColumn id="1" xr3:uid="{00000000-0010-0000-E500-000001000000}" name="Student Identifier" dataDxfId="1033"/>
    <tableColumn id="2" xr3:uid="{00000000-0010-0000-E500-000002000000}" name="Budgeted Cost Assumed by SEA" dataDxfId="103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10 Eligiblity Standard" altTextSummary="Users can enter data for the projected assumption of cost by the high cost fund operated by the SEA for Year 10. This table is for the eligibility standard and uses budget data. The table will not calculate a total if tab 3b indicates that the SEA does not have a high cost fund in Year 10."/>
    </ext>
  </extLst>
</table>
</file>

<file path=xl/tables/table2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2" xr:uid="{00000000-000C-0000-FFFF-FFFFE6000000}" name="ExcBChildCountDataYear10Budget" displayName="ExcBChildCountDataYear10Budget" ref="A25:B29" totalsRowShown="0" headerRowDxfId="1031" dataDxfId="1030">
  <tableColumns count="2">
    <tableColumn id="1" xr3:uid="{00000000-0010-0000-E600-000001000000}" name="Column1" dataDxfId="1029"/>
    <tableColumn id="2" xr3:uid="{00000000-0010-0000-E600-000002000000}" name="Column2" dataDxfId="102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10 Eligibility Standard" altTextSummary="This table automatically calculates the change in enrollment for Year 10 to determine whether the LEA can apply exception (b). This table is for the eligibility standard."/>
    </ext>
  </extLst>
</table>
</file>

<file path=xl/tables/table2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3" xr:uid="{00000000-000C-0000-FFFF-FFFFE7000000}" name="ExcBFundsDataYear10Budget" displayName="ExcBFundsDataYear10Budget" ref="A30:C32" totalsRowShown="0" headerRowDxfId="1027" dataDxfId="1025" headerRowBorderDxfId="1026" tableBorderDxfId="1024" totalsRowBorderDxfId="1023">
  <tableColumns count="3">
    <tableColumn id="1" xr3:uid="{00000000-0010-0000-E700-000001000000}" name="Column1" dataDxfId="1022"/>
    <tableColumn id="2" xr3:uid="{00000000-0010-0000-E700-000002000000}" name="Total Local Funds" dataDxfId="1021">
      <calculatedColumnFormula>'2. Getting Started'!C17</calculatedColumnFormula>
    </tableColumn>
    <tableColumn id="3" xr3:uid="{00000000-0010-0000-E700-000003000000}" name="Total State and Local Funds" dataDxfId="1020">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10 Eligiblity Standard" altTextSummary="This table automatically calculates the projected reduction based on a decrease in enrollment for Year 10. This table is for the eligibility standard and uses budget data. The row for Projected Reduction will be blank if there is no decrease in child count."/>
    </ext>
  </extLst>
</table>
</file>

<file path=xl/tables/table2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4" xr:uid="{00000000-000C-0000-FFFF-FFFFE8000000}" name="ExcADepartingDataYear10Expenditures" displayName="ExcADepartingDataYear10Expenditures" ref="H7:M13" totalsRowShown="0" headerRowDxfId="1019" dataDxfId="1017" headerRowBorderDxfId="1018" tableBorderDxfId="1016">
  <tableColumns count="6">
    <tableColumn id="1" xr3:uid="{00000000-0010-0000-E800-000001000000}" name="Position Title" dataDxfId="1015"/>
    <tableColumn id="2" xr3:uid="{00000000-0010-0000-E800-000002000000}" name="Employee Name" dataDxfId="1014"/>
    <tableColumn id="3" xr3:uid="{00000000-0010-0000-E800-000003000000}" name="Reason for Leaving" dataDxfId="1013"/>
    <tableColumn id="4" xr3:uid="{00000000-0010-0000-E800-000004000000}" name="Salary" dataDxfId="1012" dataCellStyle="Currency"/>
    <tableColumn id="5" xr3:uid="{00000000-0010-0000-E800-000005000000}" name="Benefits" dataDxfId="1011" dataCellStyle="Currency"/>
    <tableColumn id="8" xr3:uid="{00000000-0010-0000-E800-000008000000}" name="Total Expenditures" dataDxfId="101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10 Compliance Standard" altTextSummary="Users can enter data in this table for any departing personnel for Year 10. This table is for the compliance standard and is based on final expenditures."/>
    </ext>
  </extLst>
</table>
</file>

<file path=xl/tables/table2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5" xr:uid="{00000000-000C-0000-FFFF-FFFFE9000000}" name="ExcAReplaceDataYear10Expenditures" displayName="ExcAReplaceDataYear10Expenditures" ref="H15:M21" totalsRowShown="0" headerRowDxfId="1009" dataDxfId="1007" headerRowBorderDxfId="1008" tableBorderDxfId="1006">
  <tableColumns count="6">
    <tableColumn id="1" xr3:uid="{00000000-0010-0000-E900-000001000000}" name="Position Title" dataDxfId="1005"/>
    <tableColumn id="2" xr3:uid="{00000000-0010-0000-E900-000002000000}" name="Employee Name" dataDxfId="1004"/>
    <tableColumn id="3" xr3:uid="{00000000-0010-0000-E900-000003000000}" name="This column intentionally left blank" dataDxfId="1003"/>
    <tableColumn id="4" xr3:uid="{00000000-0010-0000-E900-000004000000}" name="Salary" dataDxfId="1002" dataCellStyle="Currency"/>
    <tableColumn id="5" xr3:uid="{00000000-0010-0000-E900-000005000000}" name="Benefits" dataDxfId="1001" dataCellStyle="Currency"/>
    <tableColumn id="8" xr3:uid="{00000000-0010-0000-E900-000008000000}" name="Total Expenditures" dataDxfId="100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10 Compliance Standard" altTextSummary="Users can enter data in this table for any replacement personnel for Year 10. This table is for the compliance standard and is based on final expenditures."/>
    </ext>
  </extLst>
</table>
</file>

<file path=xl/tables/table2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6" xr:uid="{00000000-000C-0000-FFFF-FFFFEA000000}" name="ExcDDataYear10Expenditures" displayName="ExcDDataYear10Expenditures" ref="H47:I53" totalsRowShown="0" headerRowDxfId="999" dataDxfId="997" headerRowBorderDxfId="998" tableBorderDxfId="996">
  <tableColumns count="2">
    <tableColumn id="1" xr3:uid="{00000000-0010-0000-EA00-000001000000}" name="Description" dataDxfId="995"/>
    <tableColumn id="2" xr3:uid="{00000000-0010-0000-EA00-000002000000}" name="Cost in Final Year of Expenditure" dataDxfId="99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10 Compliance Standard" altTextSummary="Users can enter data in this table for the termination of costly expenditures for long-term purchases for Year 10. This table is for the compliance standard and is based on final expenditures."/>
    </ext>
  </extLst>
</table>
</file>

<file path=xl/tables/table2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7" xr:uid="{00000000-000C-0000-FFFF-FFFFEB000000}" name="AdjDataYear10Expenditures" displayName="AdjDataYear10Expenditures" ref="H71:I72" totalsRowShown="0" headerRowDxfId="993" dataDxfId="991" headerRowBorderDxfId="992" tableBorderDxfId="990" totalsRowBorderDxfId="989">
  <tableColumns count="2">
    <tableColumn id="1" xr3:uid="{00000000-0010-0000-EB00-000001000000}" name="Column1" dataDxfId="988"/>
    <tableColumn id="2" xr3:uid="{00000000-0010-0000-EB00-000002000000}" name="Adjustment " dataDxfId="987"/>
  </tableColumns>
  <tableStyleInfo name="TableStyleMedium9" showFirstColumn="0" showLastColumn="0" showRowStripes="0" showColumnStripes="0"/>
  <extLst>
    <ext xmlns:x14="http://schemas.microsoft.com/office/spreadsheetml/2009/9/main" uri="{504A1905-F514-4f6f-8877-14C23A59335A}">
      <x14:table altText="MOE Adjustment Data Entry for Year 10 Compliance Standard" altTextSummary="Users can enter data in this table for the Adjustment to MOE for Year 10. This table is for the compliance standard and is based on final expenditures. Use IDC's MOE Reduction Decision Tree and Calculator to determine the adjustment amount."/>
    </ext>
  </extLst>
</table>
</file>

<file path=xl/tables/table2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8" xr:uid="{00000000-000C-0000-FFFF-FFFFEC000000}" name="ExcCDataYear10Expenditures" displayName="ExcCDataYear10Expenditures" ref="H37:J43" totalsRowShown="0" headerRowDxfId="986" dataDxfId="985" tableBorderDxfId="984">
  <tableColumns count="3">
    <tableColumn id="1" xr3:uid="{00000000-0010-0000-EC00-000001000000}" name="Student Identifier" dataDxfId="983"/>
    <tableColumn id="2" xr3:uid="{00000000-0010-0000-EC00-000002000000}" name="Reason" dataDxfId="982"/>
    <tableColumn id="3" xr3:uid="{00000000-0010-0000-EC00-000003000000}" name="Expenditures" dataDxfId="98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10 Compliance Standard" altTextSummary="Users can enter data in this table for the termination of the obligation to provide special education to a particular student that is an exceptionally costly program projected for Year 10. This table is for the compliance standard and is based on final expenditures."/>
    </ext>
  </extLst>
</table>
</file>

<file path=xl/tables/table2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9" xr:uid="{00000000-000C-0000-FFFF-FFFFED000000}" name="ExcEDataYear10Expenditures" displayName="ExcEDataYear10Expenditures" ref="H57:I63" totalsRowShown="0" headerRowDxfId="980" tableBorderDxfId="979">
  <tableColumns count="2">
    <tableColumn id="1" xr3:uid="{00000000-0010-0000-ED00-000001000000}" name="Student Identifier" dataDxfId="978"/>
    <tableColumn id="2" xr3:uid="{00000000-0010-0000-ED00-000002000000}" name="Cost Assumed by SEA" dataDxfId="977"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10 Compliance Standard" altTextSummary="Users can enter data for the assumption of cost by the high cost fund operated by the SEA for Year 10. This table is for the compliance standard and uses final expenditures. The table will not calculate a total if tab 3b indicates that the SEA does not have a high cost fund in Year 10."/>
    </ext>
  </extLst>
</table>
</file>

<file path=xl/tables/table2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0" xr:uid="{00000000-000C-0000-FFFF-FFFFEE000000}" name="ExcBChildCountDataYear10Expenditures" displayName="ExcBChildCountDataYear10Expenditures" ref="H25:I29" totalsRowShown="0" headerRowDxfId="976" dataDxfId="975">
  <tableColumns count="2">
    <tableColumn id="1" xr3:uid="{00000000-0010-0000-EE00-000001000000}" name="Column1" dataDxfId="974"/>
    <tableColumn id="2" xr3:uid="{00000000-0010-0000-EE00-000002000000}" name="Column2" dataDxfId="973"/>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10 Compliance Standard" altTextSummary="This table automatically calculates the change in enrollment for Year 10 to determine whether the LEA can apply exception (b). This table is for the compliance standard."/>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7000000}" name="ExcBFundsDataYear1Expenditures" displayName="ExcBFundsDataYear1Expenditures" ref="H30:J32" totalsRowShown="0" headerRowDxfId="2466" dataDxfId="2464" headerRowBorderDxfId="2465" tableBorderDxfId="2463" totalsRowBorderDxfId="2462">
  <tableColumns count="3">
    <tableColumn id="1" xr3:uid="{00000000-0010-0000-1700-000001000000}" name="Column1" dataDxfId="2461"/>
    <tableColumn id="2" xr3:uid="{00000000-0010-0000-1700-000002000000}" name="Local Total" dataDxfId="2460"/>
    <tableColumn id="3" xr3:uid="{00000000-0010-0000-1700-000003000000}" name="State and Local Total" dataDxfId="2459"/>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1 Compliance Standard" altTextSummary="This table automatically calculates the reduction based on a decrease in enrollment for Year 1. This table is for the compliance standard and uses final expenditures. The row for Allowed Reduction will be blank and blacked out if there is no decrease in child count."/>
    </ext>
  </extLst>
</table>
</file>

<file path=xl/tables/table2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1" xr:uid="{00000000-000C-0000-FFFF-FFFFEF000000}" name="ExcBFundsDataYear10Expenditures" displayName="ExcBFundsDataYear10Expenditures" ref="H30:J32" totalsRowShown="0" headerRowDxfId="972" dataDxfId="970" headerRowBorderDxfId="971" tableBorderDxfId="969" totalsRowBorderDxfId="968">
  <tableColumns count="3">
    <tableColumn id="1" xr3:uid="{00000000-0010-0000-EF00-000001000000}" name="Column1" dataDxfId="967"/>
    <tableColumn id="2" xr3:uid="{00000000-0010-0000-EF00-000002000000}" name="Local Total" dataDxfId="966"/>
    <tableColumn id="3" xr3:uid="{00000000-0010-0000-EF00-000003000000}" name="State and Local Total" dataDxfId="965"/>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10 Compliance Standard" altTextSummary="This table automatically calculates the reduction based on a decrease in enrollment for Year 10. This table is for the compliance standard and uses final expenditures. The row for Allowed Reduction will be blank and blacked out if there is no decrease in child count."/>
    </ext>
  </extLst>
</table>
</file>

<file path=xl/tables/table2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0" xr:uid="{00000000-000C-0000-FFFF-FFFFF0000000}" name="TotalBudgetedExcYear10" displayName="TotalBudgetedExcYear10" ref="A66:B68" totalsRowShown="0" headerRowDxfId="964" headerRowBorderDxfId="963" tableBorderDxfId="962" totalsRowBorderDxfId="961">
  <autoFilter ref="A66:B68" xr:uid="{00000000-0009-0000-0100-0000F0000000}">
    <filterColumn colId="0" hiddenButton="1"/>
    <filterColumn colId="1" hiddenButton="1"/>
  </autoFilter>
  <tableColumns count="2">
    <tableColumn id="1" xr3:uid="{00000000-0010-0000-F000-000001000000}" name="Source" dataDxfId="960" dataCellStyle="Normal 2"/>
    <tableColumn id="2" xr3:uid="{00000000-0010-0000-F000-000002000000}" name="Total" dataDxfId="959" dataCellStyle="Currency 2">
      <calculatedColumnFormula>IF(B$28&gt;=0,(F$22+C$43+B$53+B$63),(F$22+C$43+B$53+B$63+C$32))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Projected Exceptions for the Year 10 Eligibility Standard" altTextSummary="This table displays the total projected exceptions entered for the eligibility standard for Year 10."/>
    </ext>
  </extLst>
</table>
</file>

<file path=xl/tables/table2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1" xr:uid="{00000000-000C-0000-FFFF-FFFFF1000000}" name="TotalExpendituresExcYear10" displayName="TotalExpendituresExcYear10" ref="H66:I68" totalsRowShown="0" headerRowDxfId="958" headerRowBorderDxfId="957" tableBorderDxfId="956" totalsRowBorderDxfId="955">
  <autoFilter ref="H66:I68" xr:uid="{00000000-0009-0000-0100-0000F1000000}">
    <filterColumn colId="0" hiddenButton="1"/>
    <filterColumn colId="1" hiddenButton="1"/>
  </autoFilter>
  <tableColumns count="2">
    <tableColumn id="1" xr3:uid="{00000000-0010-0000-F100-000001000000}" name="Source" dataDxfId="954" dataCellStyle="Normal 2"/>
    <tableColumn id="2" xr3:uid="{00000000-0010-0000-F100-000002000000}" name="Total" dataDxfId="953" dataCellStyle="Currency 2">
      <calculatedColumnFormula>IF(I$28&gt;=0,(M$22+J$43+I$53+I$63),(M$22+J$43+I$53+I$63+J$32))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Exceptions for Year 10 Compliance Standard" altTextSummary="This table displays the total exceptions entered for the compliance standard for Year 10."/>
    </ext>
  </extLst>
</table>
</file>

<file path=xl/tables/table2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2" xr:uid="{00000000-000C-0000-FFFF-FFFFF2000000}" name="RepaymentYear10" displayName="RepaymentYear10" ref="A21:B27" totalsRowShown="0" headerRowBorderDxfId="952" tableBorderDxfId="951" totalsRowBorderDxfId="950">
  <autoFilter ref="A21:B27" xr:uid="{00000000-0009-0000-0100-0000F2000000}">
    <filterColumn colId="0" hiddenButton="1"/>
    <filterColumn colId="1" hiddenButton="1"/>
  </autoFilter>
  <tableColumns count="2">
    <tableColumn id="1" xr3:uid="{00000000-0010-0000-F200-000001000000}" name="Repayment data" dataDxfId="949"/>
    <tableColumn id="2" xr3:uid="{00000000-0010-0000-F200-000002000000}" name="Data for Year 10"/>
  </tableColumns>
  <tableStyleInfo name="TableStyleLight18" showFirstColumn="0" showLastColumn="0" showRowStripes="0" showColumnStripes="0"/>
  <extLst>
    <ext xmlns:x14="http://schemas.microsoft.com/office/spreadsheetml/2009/9/main" uri="{504A1905-F514-4f6f-8877-14C23A59335A}">
      <x14:table altText="Year 10 Repayment information" altTextSummary="This table calculates the repayment amount for Year 10 if the LEA fails MOE by all four methods for the compliance standard. Users must enter data for IDEA allocations."/>
    </ext>
  </extLst>
</table>
</file>

<file path=xl/tables/table2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3" xr:uid="{00000000-000C-0000-FFFF-FFFFF3000000}" name="ComplianceYear10" displayName="ComplianceYear10" ref="A13:E18" totalsRowShown="0" headerRowDxfId="948" headerRowBorderDxfId="947" tableBorderDxfId="946" totalsRowBorderDxfId="945">
  <autoFilter ref="A13:E18" xr:uid="{00000000-0009-0000-0100-0000F3000000}">
    <filterColumn colId="0" hiddenButton="1"/>
    <filterColumn colId="1" hiddenButton="1"/>
    <filterColumn colId="2" hiddenButton="1"/>
    <filterColumn colId="3" hiddenButton="1"/>
    <filterColumn colId="4" hiddenButton="1"/>
  </autoFilter>
  <tableColumns count="5">
    <tableColumn id="1" xr3:uid="{00000000-0010-0000-F300-000001000000}" name="MOE Information" dataDxfId="944"/>
    <tableColumn id="2" xr3:uid="{00000000-0010-0000-F300-000002000000}" name="Total Local Funds" dataDxfId="943"/>
    <tableColumn id="3" xr3:uid="{00000000-0010-0000-F300-000003000000}" name="Total State and Local Funds" dataDxfId="942"/>
    <tableColumn id="4" xr3:uid="{00000000-0010-0000-F300-000004000000}" name="Local Funds Per Capita" dataDxfId="941"/>
    <tableColumn id="5" xr3:uid="{00000000-0010-0000-F300-000005000000}" name="State and Local Funds Per Capita" dataDxfId="940"/>
  </tableColumns>
  <tableStyleInfo name="TableStyleLight18" showFirstColumn="0" showLastColumn="0" showRowStripes="0" showColumnStripes="0"/>
  <extLst>
    <ext xmlns:x14="http://schemas.microsoft.com/office/spreadsheetml/2009/9/main" uri="{504A1905-F514-4f6f-8877-14C23A59335A}">
      <x14:table altText="Year 10 Compliance Standard" altTextSummary="This table displays MOE amounts and results for the compliance standard for Year 10."/>
    </ext>
  </extLst>
</table>
</file>

<file path=xl/tables/table2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4" xr:uid="{00000000-000C-0000-FFFF-FFFFF4000000}" name="EligibilityYear10" displayName="EligibilityYear10" ref="A5:E10" totalsRowShown="0" headerRowDxfId="939" headerRowBorderDxfId="938" tableBorderDxfId="937" totalsRowBorderDxfId="936">
  <autoFilter ref="A5:E10" xr:uid="{00000000-0009-0000-0100-0000F4000000}">
    <filterColumn colId="0" hiddenButton="1"/>
    <filterColumn colId="1" hiddenButton="1"/>
    <filterColumn colId="2" hiddenButton="1"/>
    <filterColumn colId="3" hiddenButton="1"/>
    <filterColumn colId="4" hiddenButton="1"/>
  </autoFilter>
  <tableColumns count="5">
    <tableColumn id="1" xr3:uid="{00000000-0010-0000-F400-000001000000}" name="MOE Information" dataDxfId="935"/>
    <tableColumn id="2" xr3:uid="{00000000-0010-0000-F400-000002000000}" name="Total Local Funds"/>
    <tableColumn id="3" xr3:uid="{00000000-0010-0000-F400-000003000000}" name="Total State and Local Funds"/>
    <tableColumn id="4" xr3:uid="{00000000-0010-0000-F400-000004000000}" name="Local Funds Per Capita"/>
    <tableColumn id="5" xr3:uid="{00000000-0010-0000-F4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10 Eligibility Standard" altTextSummary="This table displays MOE amounts and results for the eligibility standard for Year 10."/>
    </ext>
  </extLst>
</table>
</file>

<file path=xl/tables/table2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6" xr:uid="{00000000-000C-0000-FFFF-FFFFF5000000}" name="ExcAdjSummaryYear10" displayName="ExcAdjSummaryYear10" ref="A33:E40" totalsRowShown="0" headerRowDxfId="934" headerRowBorderDxfId="933" tableBorderDxfId="932" totalsRowBorderDxfId="931">
  <autoFilter ref="A33:E40" xr:uid="{00000000-0009-0000-0100-00005A010000}">
    <filterColumn colId="0" hiddenButton="1"/>
    <filterColumn colId="1" hiddenButton="1"/>
    <filterColumn colId="2" hiddenButton="1"/>
    <filterColumn colId="3" hiddenButton="1"/>
    <filterColumn colId="4" hiddenButton="1"/>
  </autoFilter>
  <tableColumns count="5">
    <tableColumn id="1" xr3:uid="{00000000-0010-0000-F500-000001000000}" name="Exception or Adjustment" dataDxfId="930"/>
    <tableColumn id="2" xr3:uid="{00000000-0010-0000-F500-000002000000}" name="Projected Local Funds" dataDxfId="929"/>
    <tableColumn id="3" xr3:uid="{00000000-0010-0000-F500-000003000000}" name="Projected State and Local Funds" dataDxfId="928"/>
    <tableColumn id="4" xr3:uid="{00000000-0010-0000-F500-000004000000}" name="Local Funds" dataDxfId="927"/>
    <tableColumn id="5" xr3:uid="{00000000-0010-0000-F500-000005000000}" name="State and Local Funds" dataDxfId="926"/>
  </tableColumns>
  <tableStyleInfo name="TableStyleLight18" showFirstColumn="0" showLastColumn="0" showRowStripes="0" showColumnStripes="0"/>
  <extLst>
    <ext xmlns:x14="http://schemas.microsoft.com/office/spreadsheetml/2009/9/main" uri="{504A1905-F514-4f6f-8877-14C23A59335A}">
      <x14:table altText="Summary of Exceptions and Adjustment for Year 10" altTextSummary="This table presents a summary of all exceptions taken for Year 10. Detailed data on the exceptions are entered on the Exc &amp; Adj tab for Year 10."/>
    </ext>
  </extLst>
</table>
</file>

<file path=xl/tables/table2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2" xr:uid="{00000000-000C-0000-FFFF-FFFFF6000000}" name="BudgetYear11" displayName="BudgetYear11" ref="A4:F31" totalsRowShown="0" headerRowDxfId="925" tableBorderDxfId="924">
  <tableColumns count="6">
    <tableColumn id="1" xr3:uid="{00000000-0010-0000-F600-000001000000}" name="Object Description" dataDxfId="923"/>
    <tableColumn id="2" xr3:uid="{00000000-0010-0000-F600-000002000000}" name="Code 1" dataDxfId="922"/>
    <tableColumn id="7" xr3:uid="{00000000-0010-0000-F600-000007000000}" name="Code 2" dataDxfId="921"/>
    <tableColumn id="3" xr3:uid="{00000000-0010-0000-F600-000003000000}" name="Local" dataDxfId="920" dataCellStyle="Currency"/>
    <tableColumn id="4" xr3:uid="{00000000-0010-0000-F600-000004000000}" name="State" dataDxfId="919" dataCellStyle="Currency"/>
    <tableColumn id="5" xr3:uid="{00000000-0010-0000-F600-000005000000}" name="State and Local" dataDxfId="918"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11" altTextSummary="In this table, users will enter their budget amounts for Year 11. The column headers for the first three columns are unlocked and can be edited. If the LEA cannot separately budget for state and local funds, leave the Local column blank."/>
    </ext>
  </extLst>
</table>
</file>

<file path=xl/tables/table2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4" xr:uid="{00000000-000C-0000-FFFF-FFFFF7000000}" name="ExcADepartingDataYear11Budget" displayName="ExcADepartingDataYear11Budget" ref="A7:F13" totalsRowShown="0" headerRowDxfId="917" dataDxfId="915" headerRowBorderDxfId="916" tableBorderDxfId="914">
  <tableColumns count="6">
    <tableColumn id="1" xr3:uid="{00000000-0010-0000-F700-000001000000}" name="Position Title" dataDxfId="913"/>
    <tableColumn id="2" xr3:uid="{00000000-0010-0000-F700-000002000000}" name="Employee Name" dataDxfId="912"/>
    <tableColumn id="3" xr3:uid="{00000000-0010-0000-F700-000003000000}" name="Reason for Leaving" dataDxfId="911"/>
    <tableColumn id="4" xr3:uid="{00000000-0010-0000-F700-000004000000}" name="Salary" dataDxfId="910" dataCellStyle="Currency"/>
    <tableColumn id="5" xr3:uid="{00000000-0010-0000-F700-000005000000}" name="Benefits" dataDxfId="909" dataCellStyle="Currency"/>
    <tableColumn id="8" xr3:uid="{00000000-0010-0000-F700-000008000000}" name="Total Budget" dataDxfId="908"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11 Eligiblity Standard" altTextSummary="Users can enter data in this table for any departing personnel projected for Year 11. This table is for the eligiblity standard and is based on budget amounts."/>
    </ext>
  </extLst>
</table>
</file>

<file path=xl/tables/table2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5" xr:uid="{00000000-000C-0000-FFFF-FFFFF8000000}" name="ExcAReplaceDataYear11Budget" displayName="ExcAReplaceDataYear11Budget" ref="A15:F21" totalsRowShown="0" headerRowDxfId="907" dataDxfId="905" headerRowBorderDxfId="906" tableBorderDxfId="904">
  <tableColumns count="6">
    <tableColumn id="1" xr3:uid="{00000000-0010-0000-F800-000001000000}" name="Position Title" dataDxfId="903"/>
    <tableColumn id="2" xr3:uid="{00000000-0010-0000-F800-000002000000}" name="Employee Name" dataDxfId="902"/>
    <tableColumn id="3" xr3:uid="{00000000-0010-0000-F800-000003000000}" name="This column intentionally left blank" dataDxfId="901"/>
    <tableColumn id="4" xr3:uid="{00000000-0010-0000-F800-000004000000}" name="Salary" dataDxfId="900" dataCellStyle="Currency"/>
    <tableColumn id="5" xr3:uid="{00000000-0010-0000-F800-000005000000}" name="Benefits" dataDxfId="899" dataCellStyle="Currency"/>
    <tableColumn id="8" xr3:uid="{00000000-0010-0000-F800-000008000000}" name="Total Budget" dataDxfId="898"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11 Eligibility Standard" altTextSummary="Users can enter data in this table for any replacement personnel projected for Year 11. This table is for the eligiblity standard and is based on budget amounts."/>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7" xr:uid="{00000000-000C-0000-FFFF-FFFF18000000}" name="TotalBudgetedExcYear1" displayName="TotalBudgetedExcYear1" ref="A66:B68" totalsRowShown="0" headerRowDxfId="2458" headerRowBorderDxfId="2457" tableBorderDxfId="2456" totalsRowBorderDxfId="2455">
  <autoFilter ref="A66:B68" xr:uid="{00000000-0009-0000-0100-0000C5000000}">
    <filterColumn colId="0" hiddenButton="1"/>
    <filterColumn colId="1" hiddenButton="1"/>
  </autoFilter>
  <tableColumns count="2">
    <tableColumn id="1" xr3:uid="{00000000-0010-0000-1800-000001000000}" name="Source" dataDxfId="2454" dataCellStyle="Normal 2"/>
    <tableColumn id="2" xr3:uid="{00000000-0010-0000-1800-000002000000}" name="Total" dataDxfId="2453" dataCellStyle="Currency 2">
      <calculatedColumnFormula>IF(B$28&gt;=0,(F$22+C$43+B$53+B$63),(F$22+C$43+B$53+B$63+C$32))</calculatedColumnFormula>
    </tableColumn>
  </tableColumns>
  <tableStyleInfo name="TableStyleMedium2" showFirstColumn="0" showLastColumn="0" showRowStripes="1" showColumnStripes="0"/>
  <extLst>
    <ext xmlns:x14="http://schemas.microsoft.com/office/spreadsheetml/2009/9/main" uri="{504A1905-F514-4f6f-8877-14C23A59335A}">
      <x14:table altText="Total Budgeted Exceptions for Year 1 Eligibility Standard" altTextSummary="This table displays the total projected exceptions entered for the eligibility standard for Year 1."/>
    </ext>
  </extLst>
</table>
</file>

<file path=xl/tables/table2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6" xr:uid="{00000000-000C-0000-FFFF-FFFFF9000000}" name="ExcDDataYear11Budget" displayName="ExcDDataYear11Budget" ref="A47:B53" totalsRowShown="0" headerRowDxfId="897" dataDxfId="895" headerRowBorderDxfId="896" tableBorderDxfId="894">
  <tableColumns count="2">
    <tableColumn id="1" xr3:uid="{00000000-0010-0000-F900-000001000000}" name="Description" dataDxfId="893"/>
    <tableColumn id="2" xr3:uid="{00000000-0010-0000-F900-000002000000}" name="Budgeted Cost in Final Year" dataDxfId="892"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11 Eligiblity Standard" altTextSummary="Users can enter data in this table for the projected termination of costly expenditures for long-term purchases for Year 11. This table is for the eligiblity standard and is based on budget amounts."/>
    </ext>
  </extLst>
</table>
</file>

<file path=xl/tables/table2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7" xr:uid="{00000000-000C-0000-FFFF-FFFFFA000000}" name="AdjDataYear11Budget" displayName="AdjDataYear11Budget" ref="A71:B72" totalsRowShown="0" headerRowDxfId="891" dataDxfId="889" headerRowBorderDxfId="890" tableBorderDxfId="888" totalsRowBorderDxfId="887">
  <tableColumns count="2">
    <tableColumn id="1" xr3:uid="{00000000-0010-0000-FA00-000001000000}" name="Column1" dataDxfId="886"/>
    <tableColumn id="2" xr3:uid="{00000000-0010-0000-FA00-000002000000}" name="Projected Adjustment" dataDxfId="885"/>
  </tableColumns>
  <tableStyleInfo name="TableStyleMedium9" showFirstColumn="0" showLastColumn="0" showRowStripes="0" showColumnStripes="0"/>
  <extLst>
    <ext xmlns:x14="http://schemas.microsoft.com/office/spreadsheetml/2009/9/main" uri="{504A1905-F514-4f6f-8877-14C23A59335A}">
      <x14:table altText="MOE Adjustment Data Entry for Year 11 Eligiblity Standard" altTextSummary="Users can enter data in this table for the projected Adjustment to MOE for Year 11. This table is for the eligiblity standard and is based on budget amounts. Use IDC's MOE Reduction Decision Tree and Calculator to determine the adjustment amount."/>
    </ext>
  </extLst>
</table>
</file>

<file path=xl/tables/table2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8" xr:uid="{00000000-000C-0000-FFFF-FFFFFB000000}" name="ExcCDataYear11Budget" displayName="ExcCDataYear11Budget" ref="A37:C43" totalsRowShown="0" headerRowDxfId="884" dataDxfId="883" tableBorderDxfId="882">
  <tableColumns count="3">
    <tableColumn id="1" xr3:uid="{00000000-0010-0000-FB00-000001000000}" name="Student Identifier" dataDxfId="881"/>
    <tableColumn id="2" xr3:uid="{00000000-0010-0000-FB00-000002000000}" name="Reason" dataDxfId="880"/>
    <tableColumn id="3" xr3:uid="{00000000-0010-0000-FB00-000003000000}" name="Budgeted Cost" dataDxfId="879"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11 Eligiblity Standard" altTextSummary="Users can enter data in this table for the projected termination of the obligation to provide special education to a particular student that is an exceptionally costly program projected for Year 11. This table is for the eligiblity standard and is based on budget amounts."/>
    </ext>
  </extLst>
</table>
</file>

<file path=xl/tables/table2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9" xr:uid="{00000000-000C-0000-FFFF-FFFFFC000000}" name="ExcEDataYear11Budget" displayName="ExcEDataYear11Budget" ref="A57:B63" totalsRowShown="0" headerRowDxfId="878" tableBorderDxfId="877">
  <tableColumns count="2">
    <tableColumn id="1" xr3:uid="{00000000-0010-0000-FC00-000001000000}" name="Student Identifier" dataDxfId="876"/>
    <tableColumn id="2" xr3:uid="{00000000-0010-0000-FC00-000002000000}" name="Budgeted Cost Assumed by SEA" dataDxfId="875"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11 Eligiblity Standard" altTextSummary="Users can enter data for the projected assumption of cost by the high cost fund operated by the SEA for Year 11. This table is for the eligibility standard and uses budget data. The table will not calculate a total if tab 3b indicates that the SEA does not have a high cost fund in Year 11."/>
    </ext>
  </extLst>
</table>
</file>

<file path=xl/tables/table2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0" xr:uid="{00000000-000C-0000-FFFF-FFFFFD000000}" name="ExcBChildCountDataYear11Budget" displayName="ExcBChildCountDataYear11Budget" ref="A25:B29" totalsRowShown="0" headerRowDxfId="874" dataDxfId="873">
  <tableColumns count="2">
    <tableColumn id="1" xr3:uid="{00000000-0010-0000-FD00-000001000000}" name="Column1" dataDxfId="872"/>
    <tableColumn id="2" xr3:uid="{00000000-0010-0000-FD00-000002000000}" name="Column2" dataDxfId="871"/>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11 Eligibility Standard" altTextSummary="This table automatically calculates the change in enrollment for Year 11 to determine whether the LEA can apply exception (b). This table is for the eligibility standard."/>
    </ext>
  </extLst>
</table>
</file>

<file path=xl/tables/table2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1" xr:uid="{00000000-000C-0000-FFFF-FFFFFE000000}" name="ExcBFundsDataYear11Budget" displayName="ExcBFundsDataYear11Budget" ref="A30:C32" totalsRowShown="0" headerRowDxfId="870" dataDxfId="868" headerRowBorderDxfId="869" tableBorderDxfId="867" totalsRowBorderDxfId="866">
  <tableColumns count="3">
    <tableColumn id="1" xr3:uid="{00000000-0010-0000-FE00-000001000000}" name="Column1" dataDxfId="865"/>
    <tableColumn id="2" xr3:uid="{00000000-0010-0000-FE00-000002000000}" name="Total Local Funds" dataDxfId="864">
      <calculatedColumnFormula>'2. Getting Started'!C17</calculatedColumnFormula>
    </tableColumn>
    <tableColumn id="3" xr3:uid="{00000000-0010-0000-FE00-000003000000}" name="Total State and Local Funds" dataDxfId="863">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11 Eligiblity Standard" altTextSummary="This table automatically calculates the projected reduction based on a decrease in enrollment for Year 11. This table is for the eligibility standard and uses budget data. The row for Projected Reduction will be blank if there is no decrease in child count."/>
    </ext>
  </extLst>
</table>
</file>

<file path=xl/tables/table2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5" xr:uid="{00000000-000C-0000-FFFF-FFFFFF000000}" name="TotalBudgetedExcYear11" displayName="TotalBudgetedExcYear11" ref="A66:B68" totalsRowShown="0" headerRowDxfId="862" headerRowBorderDxfId="861" tableBorderDxfId="860" totalsRowBorderDxfId="859">
  <autoFilter ref="A66:B68" xr:uid="{00000000-0009-0000-0100-0000F5000000}">
    <filterColumn colId="0" hiddenButton="1"/>
    <filterColumn colId="1" hiddenButton="1"/>
  </autoFilter>
  <tableColumns count="2">
    <tableColumn id="1" xr3:uid="{00000000-0010-0000-FF00-000001000000}" name="Source" dataDxfId="858" dataCellStyle="Normal 2"/>
    <tableColumn id="2" xr3:uid="{00000000-0010-0000-FF00-000002000000}" name="Total" dataDxfId="857" dataCellStyle="Currency 2">
      <calculatedColumnFormula>IF(B$28&gt;=0,(F$22+C$43+B$53+B$63),(F$22+C$43+B$53+B$63+C$32))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Projected Exceptions for Year 11 Eligibility Standard" altTextSummary="This table displays the total projected exceptions entered for the eligibility standard for Year 11."/>
    </ext>
  </extLst>
</table>
</file>

<file path=xl/tables/table2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6" xr:uid="{00000000-000C-0000-FFFF-FFFF00010000}" name="EligibilityYear11" displayName="EligibilityYear11" ref="A5:E10" totalsRowShown="0" headerRowDxfId="856" headerRowBorderDxfId="855" tableBorderDxfId="854" totalsRowBorderDxfId="853">
  <autoFilter ref="A5:E10" xr:uid="{00000000-0009-0000-0100-0000F6000000}">
    <filterColumn colId="0" hiddenButton="1"/>
    <filterColumn colId="1" hiddenButton="1"/>
    <filterColumn colId="2" hiddenButton="1"/>
    <filterColumn colId="3" hiddenButton="1"/>
    <filterColumn colId="4" hiddenButton="1"/>
  </autoFilter>
  <tableColumns count="5">
    <tableColumn id="1" xr3:uid="{00000000-0010-0000-0001-000001000000}" name="MOE Information" dataDxfId="852"/>
    <tableColumn id="2" xr3:uid="{00000000-0010-0000-0001-000002000000}" name="Total Local Funds"/>
    <tableColumn id="3" xr3:uid="{00000000-0010-0000-0001-000003000000}" name="Total State and Local Funds"/>
    <tableColumn id="4" xr3:uid="{00000000-0010-0000-0001-000004000000}" name="Local Funds Per Capita"/>
    <tableColumn id="5" xr3:uid="{00000000-0010-0000-0001-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11 Eligibility Standard" altTextSummary="This table displays MOE amounts and results for the eligibility standard for Year 11."/>
    </ext>
  </extLst>
</table>
</file>

<file path=xl/tables/table2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7" xr:uid="{00000000-000C-0000-FFFF-FFFF01010000}" name="ComplianceYear11" displayName="ComplianceYear11" ref="A13:E18" totalsRowShown="0" headerRowDxfId="851" dataDxfId="849" headerRowBorderDxfId="850" tableBorderDxfId="848">
  <autoFilter ref="A13:E18" xr:uid="{00000000-0009-0000-0100-0000F7000000}">
    <filterColumn colId="0" hiddenButton="1"/>
    <filterColumn colId="1" hiddenButton="1"/>
    <filterColumn colId="2" hiddenButton="1"/>
    <filterColumn colId="3" hiddenButton="1"/>
    <filterColumn colId="4" hiddenButton="1"/>
  </autoFilter>
  <tableColumns count="5">
    <tableColumn id="1" xr3:uid="{00000000-0010-0000-0101-000001000000}" name="MOE Information" dataDxfId="847"/>
    <tableColumn id="2" xr3:uid="{00000000-0010-0000-0101-000002000000}" name="Total Local Funds" dataDxfId="846"/>
    <tableColumn id="3" xr3:uid="{00000000-0010-0000-0101-000003000000}" name="Total State and Local Funds" dataDxfId="845"/>
    <tableColumn id="4" xr3:uid="{00000000-0010-0000-0101-000004000000}" name="Local Funds Per Capita" dataDxfId="844"/>
    <tableColumn id="5" xr3:uid="{00000000-0010-0000-0101-000005000000}" name="State and Local Funds Per Capita" dataDxfId="843"/>
  </tableColumns>
  <tableStyleInfo name="TableStyleLight18" showFirstColumn="0" showLastColumn="0" showRowStripes="0" showColumnStripes="0"/>
  <extLst>
    <ext xmlns:x14="http://schemas.microsoft.com/office/spreadsheetml/2009/9/main" uri="{504A1905-F514-4f6f-8877-14C23A59335A}">
      <x14:table altTextSummary="Table is blank because the Compliance Standard is not calculated for Year 11."/>
    </ext>
  </extLst>
</table>
</file>

<file path=xl/tables/table2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7" xr:uid="{00000000-000C-0000-FFFF-FFFF02010000}" name="ExcAdjSummaryYear11" displayName="ExcAdjSummaryYear11" ref="A22:C29" totalsRowShown="0" headerRowBorderDxfId="842" tableBorderDxfId="841" totalsRowBorderDxfId="840">
  <autoFilter ref="A22:C29" xr:uid="{00000000-0009-0000-0100-00005B010000}">
    <filterColumn colId="0" hiddenButton="1"/>
    <filterColumn colId="1" hiddenButton="1"/>
    <filterColumn colId="2" hiddenButton="1"/>
  </autoFilter>
  <tableColumns count="3">
    <tableColumn id="1" xr3:uid="{00000000-0010-0000-0201-000001000000}" name="Exception or Adjustment" dataDxfId="839"/>
    <tableColumn id="2" xr3:uid="{00000000-0010-0000-0201-000002000000}" name="Projected Local Funds" dataDxfId="838"/>
    <tableColumn id="3" xr3:uid="{00000000-0010-0000-0201-000003000000}" name="Projected State and Local Funds" dataDxfId="837"/>
  </tableColumns>
  <tableStyleInfo name="TableStyleLight18" showFirstColumn="0" showLastColumn="0" showRowStripes="0" showColumnStripes="0"/>
  <extLst>
    <ext xmlns:x14="http://schemas.microsoft.com/office/spreadsheetml/2009/9/main" uri="{504A1905-F514-4f6f-8877-14C23A59335A}">
      <x14:table altText="Summary of Projected Exceptions and Adjustment for Year 11 Eligibility Standard" altTextSummary="This table presents a summary of all exceptions taken for Year 11. Detailed data on the exceptions are entered on the Exc &amp; Adj tab for Year 11."/>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8" xr:uid="{00000000-000C-0000-FFFF-FFFF19000000}" name="TotalExpendituresExcYear1" displayName="TotalExpendituresExcYear1" ref="H66:I68" totalsRowShown="0" headerRowDxfId="2452" headerRowBorderDxfId="2451" tableBorderDxfId="2450" totalsRowBorderDxfId="2449">
  <autoFilter ref="H66:I68" xr:uid="{00000000-0009-0000-0100-0000C6000000}">
    <filterColumn colId="0" hiddenButton="1"/>
    <filterColumn colId="1" hiddenButton="1"/>
  </autoFilter>
  <tableColumns count="2">
    <tableColumn id="1" xr3:uid="{00000000-0010-0000-1900-000001000000}" name="Source" dataDxfId="2448" dataCellStyle="Normal 2"/>
    <tableColumn id="2" xr3:uid="{00000000-0010-0000-1900-000002000000}" name="Total" dataDxfId="2447" dataCellStyle="Currency 2">
      <calculatedColumnFormula>IF(I$28&gt;=0,(M$22+J$43+I$53+I$63),(M$22+J$43+I$53+I$63+J$32))</calculatedColumnFormula>
    </tableColumn>
  </tableColumns>
  <tableStyleInfo name="TableStyleMedium2" showFirstColumn="0" showLastColumn="0" showRowStripes="1" showColumnStripes="0"/>
  <extLst>
    <ext xmlns:x14="http://schemas.microsoft.com/office/spreadsheetml/2009/9/main" uri="{504A1905-F514-4f6f-8877-14C23A59335A}">
      <x14:table altText="Total Exceptions for Year 1 Compliance Standard" altTextSummary="This table displays the total exceptions entered for the compliance standard for Year 1."/>
    </ext>
  </extLst>
</table>
</file>

<file path=xl/tables/table2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9" xr:uid="{00000000-000C-0000-FFFF-FFFF03010000}" name="TotalLocalEligibilityPriorToYear1" displayName="TotalLocalEligibilityPriorToYear1" ref="A4:B6" headerRowCount="0" totalsRowShown="0" headerRowDxfId="836" headerRowBorderDxfId="835" tableBorderDxfId="834" totalsRowBorderDxfId="833">
  <tableColumns count="2">
    <tableColumn id="1" xr3:uid="{00000000-0010-0000-0301-000001000000}" name="Column1" headerRowDxfId="832"/>
    <tableColumn id="2" xr3:uid="{00000000-0010-0000-0301-000002000000}" name="Column2" headerRowDxfId="831"/>
  </tableColumns>
  <tableStyleInfo name="TableStyleLight18" showFirstColumn="0" showLastColumn="0" showRowStripes="0" showColumnStripes="0"/>
  <extLst>
    <ext xmlns:x14="http://schemas.microsoft.com/office/spreadsheetml/2009/9/main" uri="{504A1905-F514-4f6f-8877-14C23A59335A}">
      <x14:table altText="Prior to Year 1: Total Local Funds" altTextSummary="This table displays information for the period prior to Year 1 for the Total Local Funds method."/>
    </ext>
  </extLst>
</table>
</file>

<file path=xl/tables/table2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0" xr:uid="{00000000-000C-0000-FFFF-FFFF04010000}" name="TotalLocalEligibilityYear2" displayName="TotalLocalEligibilityYear2" ref="A17:B22" headerRowCount="0" totalsRowShown="0" headerRowBorderDxfId="830" tableBorderDxfId="829" totalsRowBorderDxfId="828">
  <tableColumns count="2">
    <tableColumn id="1" xr3:uid="{00000000-0010-0000-0401-000001000000}" name="Column1" headerRowDxfId="827" dataDxfId="826"/>
    <tableColumn id="2" xr3:uid="{00000000-0010-0000-0401-000002000000}" name="Column2" headerRowDxfId="825" dataDxfId="824"/>
  </tableColumns>
  <tableStyleInfo name="TableStyleLight18" showFirstColumn="0" showLastColumn="0" showRowStripes="0" showColumnStripes="0"/>
  <extLst>
    <ext xmlns:x14="http://schemas.microsoft.com/office/spreadsheetml/2009/9/main" uri="{504A1905-F514-4f6f-8877-14C23A59335A}">
      <x14:table altText="Year 2 Eligibility: Total Local Funds" altTextSummary="This table displays information for Year 2 for the Eligibility Standard for the Total Local Funds method. The final row in the table displays the MOE result for Year 2."/>
    </ext>
  </extLst>
</table>
</file>

<file path=xl/tables/table2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1" xr:uid="{00000000-000C-0000-FFFF-FFFF05010000}" name="TotalLocalEligibilityYear3" displayName="TotalLocalEligibilityYear3" ref="A25:B30" headerRowCount="0" totalsRowShown="0" headerRowBorderDxfId="823" tableBorderDxfId="822" totalsRowBorderDxfId="821">
  <tableColumns count="2">
    <tableColumn id="1" xr3:uid="{00000000-0010-0000-0501-000001000000}" name="Column1" headerRowDxfId="820" dataDxfId="819"/>
    <tableColumn id="2" xr3:uid="{00000000-0010-0000-0501-000002000000}" name="Column2" headerRowDxfId="818" dataDxfId="817"/>
  </tableColumns>
  <tableStyleInfo name="TableStyleLight18" showFirstColumn="0" showLastColumn="0" showRowStripes="0" showColumnStripes="0"/>
  <extLst>
    <ext xmlns:x14="http://schemas.microsoft.com/office/spreadsheetml/2009/9/main" uri="{504A1905-F514-4f6f-8877-14C23A59335A}">
      <x14:table altText="Year 3 Eligibility: Total Local Funds" altTextSummary="This table displays information for Year 3 for the Eligibility Standard for the Total Local Funds method. The final row in the table displays the MOE result for Year 3."/>
    </ext>
  </extLst>
</table>
</file>

<file path=xl/tables/table2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2" xr:uid="{00000000-000C-0000-FFFF-FFFF06010000}" name="TotalLocalEligibilityYear4" displayName="TotalLocalEligibilityYear4" ref="A33:B38" headerRowCount="0" totalsRowShown="0" headerRowBorderDxfId="816" tableBorderDxfId="815" totalsRowBorderDxfId="814">
  <tableColumns count="2">
    <tableColumn id="1" xr3:uid="{00000000-0010-0000-0601-000001000000}" name="Column1" headerRowDxfId="813" dataDxfId="812"/>
    <tableColumn id="2" xr3:uid="{00000000-0010-0000-0601-000002000000}" name="Column2" headerRowDxfId="811" dataDxfId="810"/>
  </tableColumns>
  <tableStyleInfo name="TableStyleLight18" showFirstColumn="0" showLastColumn="0" showRowStripes="0" showColumnStripes="0"/>
  <extLst>
    <ext xmlns:x14="http://schemas.microsoft.com/office/spreadsheetml/2009/9/main" uri="{504A1905-F514-4f6f-8877-14C23A59335A}">
      <x14:table altText="Year 4 Eligibility: Total Local Funds" altTextSummary="This table displays information for Year 4 for the Eligibility Standard for the Total Local Funds method. The final row in the table displays the MOE result for Year 4."/>
    </ext>
  </extLst>
</table>
</file>

<file path=xl/tables/table2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3" xr:uid="{00000000-000C-0000-FFFF-FFFF07010000}" name="TotalLocalEligibilityYear5" displayName="TotalLocalEligibilityYear5" ref="A41:B46" headerRowCount="0" totalsRowShown="0" headerRowBorderDxfId="809" tableBorderDxfId="808" totalsRowBorderDxfId="807">
  <tableColumns count="2">
    <tableColumn id="1" xr3:uid="{00000000-0010-0000-0701-000001000000}" name="Column1" headerRowDxfId="806" dataDxfId="805"/>
    <tableColumn id="2" xr3:uid="{00000000-0010-0000-0701-000002000000}" name="Column2" headerRowDxfId="804" dataDxfId="803"/>
  </tableColumns>
  <tableStyleInfo name="TableStyleLight18" showFirstColumn="0" showLastColumn="0" showRowStripes="0" showColumnStripes="0"/>
  <extLst>
    <ext xmlns:x14="http://schemas.microsoft.com/office/spreadsheetml/2009/9/main" uri="{504A1905-F514-4f6f-8877-14C23A59335A}">
      <x14:table altText="Year 5 Eligibility: Total Local Funds" altTextSummary="This table displays information for Year 5 for the Eligibility Standard for the Total Local Funds method. The final row in the table displays the MOE result for Year 5."/>
    </ext>
  </extLst>
</table>
</file>

<file path=xl/tables/table2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4" xr:uid="{00000000-000C-0000-FFFF-FFFF08010000}" name="TotalLocalEligibilityYear6" displayName="TotalLocalEligibilityYear6" ref="A49:B54" headerRowCount="0" totalsRowShown="0" headerRowBorderDxfId="802" tableBorderDxfId="801" totalsRowBorderDxfId="800">
  <tableColumns count="2">
    <tableColumn id="1" xr3:uid="{00000000-0010-0000-0801-000001000000}" name="Column1" headerRowDxfId="799" dataDxfId="798"/>
    <tableColumn id="2" xr3:uid="{00000000-0010-0000-0801-000002000000}" name="Column2" headerRowDxfId="797" dataDxfId="796"/>
  </tableColumns>
  <tableStyleInfo name="TableStyleLight18" showFirstColumn="0" showLastColumn="0" showRowStripes="0" showColumnStripes="0"/>
  <extLst>
    <ext xmlns:x14="http://schemas.microsoft.com/office/spreadsheetml/2009/9/main" uri="{504A1905-F514-4f6f-8877-14C23A59335A}">
      <x14:table altText="Year 6 Eligibility: Total Local Funds" altTextSummary="This table displays information for Year 6 for the Eligibility Standard for the Total Local Funds method. The final row in the table displays the MOE result for Year 6."/>
    </ext>
  </extLst>
</table>
</file>

<file path=xl/tables/table2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5" xr:uid="{00000000-000C-0000-FFFF-FFFF09010000}" name="TotalLocalEligibilityYear7" displayName="TotalLocalEligibilityYear7" ref="A57:B62" headerRowCount="0" totalsRowShown="0" headerRowBorderDxfId="795" tableBorderDxfId="794" totalsRowBorderDxfId="793">
  <tableColumns count="2">
    <tableColumn id="1" xr3:uid="{00000000-0010-0000-0901-000001000000}" name="Column1" headerRowDxfId="792" dataDxfId="791"/>
    <tableColumn id="2" xr3:uid="{00000000-0010-0000-0901-000002000000}" name="Column2" headerRowDxfId="790" dataDxfId="789"/>
  </tableColumns>
  <tableStyleInfo name="TableStyleLight18" showFirstColumn="0" showLastColumn="0" showRowStripes="0" showColumnStripes="0"/>
  <extLst>
    <ext xmlns:x14="http://schemas.microsoft.com/office/spreadsheetml/2009/9/main" uri="{504A1905-F514-4f6f-8877-14C23A59335A}">
      <x14:table altText="Year 7 Eligibility: Total Local Funds" altTextSummary="This table displays information for Year 7 for the Eligibility Standard for the Total Local Funds method. The final row in the table displays the MOE result for Year 7."/>
    </ext>
  </extLst>
</table>
</file>

<file path=xl/tables/table2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6" xr:uid="{00000000-000C-0000-FFFF-FFFF0A010000}" name="TotalLocalEligibilityYear8" displayName="TotalLocalEligibilityYear8" ref="A65:B70" headerRowCount="0" totalsRowShown="0" headerRowBorderDxfId="788" tableBorderDxfId="787" totalsRowBorderDxfId="786">
  <tableColumns count="2">
    <tableColumn id="1" xr3:uid="{00000000-0010-0000-0A01-000001000000}" name="Column1" headerRowDxfId="785" dataDxfId="784"/>
    <tableColumn id="2" xr3:uid="{00000000-0010-0000-0A01-000002000000}" name="Column2" headerRowDxfId="783" dataDxfId="782"/>
  </tableColumns>
  <tableStyleInfo name="TableStyleLight18" showFirstColumn="0" showLastColumn="0" showRowStripes="0" showColumnStripes="0"/>
  <extLst>
    <ext xmlns:x14="http://schemas.microsoft.com/office/spreadsheetml/2009/9/main" uri="{504A1905-F514-4f6f-8877-14C23A59335A}">
      <x14:table altText="Year 8 Eligibility: Total Local Funds" altTextSummary="This table displays information for Year 8 for the Eligibility Standard for the Total Local Funds method. The final row in the table displays the MOE result for Year 8."/>
    </ext>
  </extLst>
</table>
</file>

<file path=xl/tables/table2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7" xr:uid="{00000000-000C-0000-FFFF-FFFF0B010000}" name="TotalLocalEligibilityYear9" displayName="TotalLocalEligibilityYear9" ref="A73:B78" headerRowCount="0" totalsRowShown="0" headerRowBorderDxfId="781" tableBorderDxfId="780" totalsRowBorderDxfId="779">
  <tableColumns count="2">
    <tableColumn id="1" xr3:uid="{00000000-0010-0000-0B01-000001000000}" name="Column1" headerRowDxfId="778" dataDxfId="777"/>
    <tableColumn id="2" xr3:uid="{00000000-0010-0000-0B01-000002000000}" name="Column2" headerRowDxfId="776" dataDxfId="775"/>
  </tableColumns>
  <tableStyleInfo name="TableStyleLight18" showFirstColumn="0" showLastColumn="0" showRowStripes="0" showColumnStripes="0"/>
  <extLst>
    <ext xmlns:x14="http://schemas.microsoft.com/office/spreadsheetml/2009/9/main" uri="{504A1905-F514-4f6f-8877-14C23A59335A}">
      <x14:table altText="Year 9 Eligibility: Total Local Funds" altTextSummary="This table displays information for Year 9 for the Eligibility Standard for the Total Local Funds method. The final row in the table displays the MOE result for Year 9."/>
    </ext>
  </extLst>
</table>
</file>

<file path=xl/tables/table2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8" xr:uid="{00000000-000C-0000-FFFF-FFFF0C010000}" name="TotalLocalEligibilityYear10" displayName="TotalLocalEligibilityYear10" ref="A81:B86" headerRowCount="0" totalsRowShown="0" headerRowBorderDxfId="774" tableBorderDxfId="773" totalsRowBorderDxfId="772">
  <tableColumns count="2">
    <tableColumn id="1" xr3:uid="{00000000-0010-0000-0C01-000001000000}" name="Column1" headerRowDxfId="771" dataDxfId="770"/>
    <tableColumn id="2" xr3:uid="{00000000-0010-0000-0C01-000002000000}" name="Column2" headerRowDxfId="769" dataDxfId="768"/>
  </tableColumns>
  <tableStyleInfo name="TableStyleLight18" showFirstColumn="0" showLastColumn="0" showRowStripes="0" showColumnStripes="0"/>
  <extLst>
    <ext xmlns:x14="http://schemas.microsoft.com/office/spreadsheetml/2009/9/main" uri="{504A1905-F514-4f6f-8877-14C23A59335A}">
      <x14:table altText="Year 10 Eligibility: Total Local Funds" altTextSummary="This table displays information for Year 10 for the Eligibility Standard for the Total Local Funds method. The final row in the table displays the MOE result for Year 10."/>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9" xr:uid="{00000000-000C-0000-FFFF-FFFF1A000000}" name="EligibilityYear1" displayName="EligibilityYear1" ref="A5:E10" totalsRowShown="0" headerRowDxfId="2446" dataDxfId="2444" headerRowBorderDxfId="2445" tableBorderDxfId="2443" totalsRowBorderDxfId="2442">
  <autoFilter ref="A5:E10" xr:uid="{00000000-0009-0000-0100-0000C7000000}">
    <filterColumn colId="0" hiddenButton="1"/>
    <filterColumn colId="1" hiddenButton="1"/>
    <filterColumn colId="2" hiddenButton="1"/>
    <filterColumn colId="3" hiddenButton="1"/>
    <filterColumn colId="4" hiddenButton="1"/>
  </autoFilter>
  <tableColumns count="5">
    <tableColumn id="1" xr3:uid="{00000000-0010-0000-1A00-000001000000}" name="MOE Information" dataDxfId="2441"/>
    <tableColumn id="2" xr3:uid="{00000000-0010-0000-1A00-000002000000}" name="Total Local Funds" dataDxfId="2440"/>
    <tableColumn id="3" xr3:uid="{00000000-0010-0000-1A00-000003000000}" name="Total State and Local Funds" dataDxfId="2439"/>
    <tableColumn id="4" xr3:uid="{00000000-0010-0000-1A00-000004000000}" name="Local Funds Per Capita" dataDxfId="2438"/>
    <tableColumn id="5" xr3:uid="{00000000-0010-0000-1A00-000005000000}" name="State and Local Funds Per Capita" dataDxfId="2437"/>
  </tableColumns>
  <tableStyleInfo name="TableStyleLight18" showFirstColumn="0" showLastColumn="0" showRowStripes="0" showColumnStripes="0"/>
  <extLst>
    <ext xmlns:x14="http://schemas.microsoft.com/office/spreadsheetml/2009/9/main" uri="{504A1905-F514-4f6f-8877-14C23A59335A}">
      <x14:table altText="Eligibility Standard Year 1" altTextSummary="This table is blank for Year 1 because the LEA MOE Calculator does not calculate the eligibility standard for Year 1."/>
    </ext>
  </extLst>
</table>
</file>

<file path=xl/tables/table2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9" xr:uid="{00000000-000C-0000-FFFF-FFFF0D010000}" name="TotalLocalEligibilityYear11" displayName="TotalLocalEligibilityYear11" ref="A89:B94" headerRowCount="0" totalsRowShown="0" headerRowBorderDxfId="767" tableBorderDxfId="766" totalsRowBorderDxfId="765">
  <tableColumns count="2">
    <tableColumn id="1" xr3:uid="{00000000-0010-0000-0D01-000001000000}" name="Column1" headerRowDxfId="764" dataDxfId="763"/>
    <tableColumn id="2" xr3:uid="{00000000-0010-0000-0D01-000002000000}" name="Column2" headerRowDxfId="762" dataDxfId="761"/>
  </tableColumns>
  <tableStyleInfo name="TableStyleLight18" showFirstColumn="0" showLastColumn="0" showRowStripes="0" showColumnStripes="0"/>
  <extLst>
    <ext xmlns:x14="http://schemas.microsoft.com/office/spreadsheetml/2009/9/main" uri="{504A1905-F514-4f6f-8877-14C23A59335A}">
      <x14:table altText="Year 11 Eligibility: Total Local Funds" altTextSummary="This table displays information for Year 11 for the Eligibility Standard for the Total Local Funds method. The final row in the table displays the MOE result for Year 11."/>
    </ext>
  </extLst>
</table>
</file>

<file path=xl/tables/table2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0" xr:uid="{00000000-000C-0000-FFFF-FFFF0E010000}" name="TotalLocalCompliancePriorToYear1" displayName="TotalLocalCompliancePriorToYear1" ref="E4:F6" headerRowCount="0" totalsRowShown="0" headerRowDxfId="760" headerRowBorderDxfId="759" tableBorderDxfId="758" totalsRowBorderDxfId="757">
  <tableColumns count="2">
    <tableColumn id="1" xr3:uid="{00000000-0010-0000-0E01-000001000000}" name="Column1" headerRowDxfId="756"/>
    <tableColumn id="2" xr3:uid="{00000000-0010-0000-0E01-000002000000}" name="Column2" headerRowDxfId="755"/>
  </tableColumns>
  <tableStyleInfo name="TableStyleLight18" showFirstColumn="0" showLastColumn="0" showRowStripes="0" showColumnStripes="0"/>
  <extLst>
    <ext xmlns:x14="http://schemas.microsoft.com/office/spreadsheetml/2009/9/main" uri="{504A1905-F514-4f6f-8877-14C23A59335A}">
      <x14:table altText="Prior to Year 1: Total Local Funds" altTextSummary="This table displays information for the period prior to Year 1 for the Total Local Funds method."/>
    </ext>
  </extLst>
</table>
</file>

<file path=xl/tables/table2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1" xr:uid="{00000000-000C-0000-FFFF-FFFF0F010000}" name="TotalLocalComplianceYear1" displayName="TotalLocalComplianceYear1" ref="E9:F14" headerRowCount="0" totalsRowShown="0" headerRowBorderDxfId="754" tableBorderDxfId="753" totalsRowBorderDxfId="752">
  <tableColumns count="2">
    <tableColumn id="1" xr3:uid="{00000000-0010-0000-0F01-000001000000}" name="Column1" headerRowDxfId="751" dataDxfId="750"/>
    <tableColumn id="2" xr3:uid="{00000000-0010-0000-0F01-000002000000}" name="Column2" headerRowDxfId="749" dataDxfId="748"/>
  </tableColumns>
  <tableStyleInfo name="TableStyleLight18" showFirstColumn="0" showLastColumn="0" showRowStripes="0" showColumnStripes="0"/>
  <extLst>
    <ext xmlns:x14="http://schemas.microsoft.com/office/spreadsheetml/2009/9/main" uri="{504A1905-F514-4f6f-8877-14C23A59335A}">
      <x14:table altText="Year 1 Compliance: Total Local Funds" altTextSummary="This table displays information for Year 1 for the Compliance Standard for the Total Local Funds method. The final row in the table displays the MOE result for Year 1."/>
    </ext>
  </extLst>
</table>
</file>

<file path=xl/tables/table2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2" xr:uid="{00000000-000C-0000-FFFF-FFFF10010000}" name="TotalLocalComplianceYear2" displayName="TotalLocalComplianceYear2" ref="E17:F22" headerRowCount="0" totalsRowShown="0" headerRowBorderDxfId="747" tableBorderDxfId="746" totalsRowBorderDxfId="745">
  <tableColumns count="2">
    <tableColumn id="1" xr3:uid="{00000000-0010-0000-1001-000001000000}" name="Column1" headerRowDxfId="744" dataDxfId="743"/>
    <tableColumn id="2" xr3:uid="{00000000-0010-0000-1001-000002000000}" name="Column2" headerRowDxfId="742" dataDxfId="741"/>
  </tableColumns>
  <tableStyleInfo name="TableStyleLight18" showFirstColumn="0" showLastColumn="0" showRowStripes="0" showColumnStripes="0"/>
  <extLst>
    <ext xmlns:x14="http://schemas.microsoft.com/office/spreadsheetml/2009/9/main" uri="{504A1905-F514-4f6f-8877-14C23A59335A}">
      <x14:table altText="Year 2 Compliance: Total Local Funds" altTextSummary="This table displays information for Year 2 for the Compliance Standard for the Total Local Funds method. The final row in the table displays the MOE result for Year 2."/>
    </ext>
  </extLst>
</table>
</file>

<file path=xl/tables/table2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3" xr:uid="{00000000-000C-0000-FFFF-FFFF11010000}" name="TotalLocalComplianceYear3" displayName="TotalLocalComplianceYear3" ref="E25:F30" headerRowCount="0" totalsRowShown="0" headerRowBorderDxfId="740" tableBorderDxfId="739" totalsRowBorderDxfId="738">
  <tableColumns count="2">
    <tableColumn id="1" xr3:uid="{00000000-0010-0000-1101-000001000000}" name="Column1" headerRowDxfId="737" dataDxfId="736"/>
    <tableColumn id="2" xr3:uid="{00000000-0010-0000-1101-000002000000}" name="Column2" headerRowDxfId="735" dataDxfId="734"/>
  </tableColumns>
  <tableStyleInfo name="TableStyleLight18" showFirstColumn="0" showLastColumn="0" showRowStripes="0" showColumnStripes="0"/>
  <extLst>
    <ext xmlns:x14="http://schemas.microsoft.com/office/spreadsheetml/2009/9/main" uri="{504A1905-F514-4f6f-8877-14C23A59335A}">
      <x14:table altText="Year 3 Compliance: Total Local Funds" altTextSummary="This table displays information for Year 3 for the Compliance Standard for the Total Local Funds method. The final row in the table displays the MOE result for Year 3."/>
    </ext>
  </extLst>
</table>
</file>

<file path=xl/tables/table2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4" xr:uid="{00000000-000C-0000-FFFF-FFFF12010000}" name="TotalLocalComplianceYear4" displayName="TotalLocalComplianceYear4" ref="E33:F38" headerRowCount="0" totalsRowShown="0" headerRowBorderDxfId="733" tableBorderDxfId="732" totalsRowBorderDxfId="731">
  <tableColumns count="2">
    <tableColumn id="1" xr3:uid="{00000000-0010-0000-1201-000001000000}" name="Column1" headerRowDxfId="730" dataDxfId="729"/>
    <tableColumn id="2" xr3:uid="{00000000-0010-0000-1201-000002000000}" name="Column2" headerRowDxfId="728" dataDxfId="727"/>
  </tableColumns>
  <tableStyleInfo name="TableStyleLight18" showFirstColumn="0" showLastColumn="0" showRowStripes="0" showColumnStripes="0"/>
  <extLst>
    <ext xmlns:x14="http://schemas.microsoft.com/office/spreadsheetml/2009/9/main" uri="{504A1905-F514-4f6f-8877-14C23A59335A}">
      <x14:table altText="Year 4 Compliance: Total Local Funds" altTextSummary="This table displays information for Year 4 for the Compliance Standard for the Total Local Funds method. The final row in the table displays the MOE result for Year 4."/>
    </ext>
  </extLst>
</table>
</file>

<file path=xl/tables/table2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5" xr:uid="{00000000-000C-0000-FFFF-FFFF13010000}" name="TotalLocalComplianceYear5" displayName="TotalLocalComplianceYear5" ref="E41:F46" headerRowCount="0" totalsRowShown="0" headerRowBorderDxfId="726" tableBorderDxfId="725" totalsRowBorderDxfId="724">
  <tableColumns count="2">
    <tableColumn id="1" xr3:uid="{00000000-0010-0000-1301-000001000000}" name="Column1" headerRowDxfId="723" dataDxfId="722"/>
    <tableColumn id="2" xr3:uid="{00000000-0010-0000-1301-000002000000}" name="Column2" headerRowDxfId="721" dataDxfId="720"/>
  </tableColumns>
  <tableStyleInfo name="TableStyleLight18" showFirstColumn="0" showLastColumn="0" showRowStripes="0" showColumnStripes="0"/>
  <extLst>
    <ext xmlns:x14="http://schemas.microsoft.com/office/spreadsheetml/2009/9/main" uri="{504A1905-F514-4f6f-8877-14C23A59335A}">
      <x14:table altText="Year 5 Compliance: Total Local Funds" altTextSummary="This table displays information for Year 5 for the Compliance Standard for the Total Local Funds method. The final row in the table displays the MOE result for Year 5."/>
    </ext>
  </extLst>
</table>
</file>

<file path=xl/tables/table2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6" xr:uid="{00000000-000C-0000-FFFF-FFFF14010000}" name="TotalLocalComplianceYear6" displayName="TotalLocalComplianceYear6" ref="E49:F54" headerRowCount="0" totalsRowShown="0" headerRowBorderDxfId="719" tableBorderDxfId="718" totalsRowBorderDxfId="717">
  <tableColumns count="2">
    <tableColumn id="1" xr3:uid="{00000000-0010-0000-1401-000001000000}" name="Column1" headerRowDxfId="716" dataDxfId="715"/>
    <tableColumn id="2" xr3:uid="{00000000-0010-0000-1401-000002000000}" name="Column2" headerRowDxfId="714" dataDxfId="713"/>
  </tableColumns>
  <tableStyleInfo name="TableStyleLight18" showFirstColumn="0" showLastColumn="0" showRowStripes="0" showColumnStripes="0"/>
  <extLst>
    <ext xmlns:x14="http://schemas.microsoft.com/office/spreadsheetml/2009/9/main" uri="{504A1905-F514-4f6f-8877-14C23A59335A}">
      <x14:table altText="Year 6 Compliance: Total Local Funds" altTextSummary="This table displays information for Year 6 for the Compliance Standard for the Total Local Funds method. The final row in the table displays the MOE result for Year 6."/>
    </ext>
  </extLst>
</table>
</file>

<file path=xl/tables/table2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7" xr:uid="{00000000-000C-0000-FFFF-FFFF15010000}" name="TotalLocalComplianceYear7" displayName="TotalLocalComplianceYear7" ref="E57:F62" headerRowCount="0" totalsRowShown="0" headerRowBorderDxfId="712" tableBorderDxfId="711" totalsRowBorderDxfId="710">
  <tableColumns count="2">
    <tableColumn id="1" xr3:uid="{00000000-0010-0000-1501-000001000000}" name="Column1" headerRowDxfId="709" dataDxfId="708"/>
    <tableColumn id="2" xr3:uid="{00000000-0010-0000-1501-000002000000}" name="Column2" headerRowDxfId="707" dataDxfId="706"/>
  </tableColumns>
  <tableStyleInfo name="TableStyleLight18" showFirstColumn="0" showLastColumn="0" showRowStripes="0" showColumnStripes="0"/>
  <extLst>
    <ext xmlns:x14="http://schemas.microsoft.com/office/spreadsheetml/2009/9/main" uri="{504A1905-F514-4f6f-8877-14C23A59335A}">
      <x14:table altText="Year 7 Compliance: Total Local Funds" altTextSummary="This table displays information for Year 7 for the Compliance Standard for the Total Local Funds method. The final row in the table displays the MOE result for Year 7."/>
    </ext>
  </extLst>
</table>
</file>

<file path=xl/tables/table2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8" xr:uid="{00000000-000C-0000-FFFF-FFFF16010000}" name="TotalLocalComplianceYear8" displayName="TotalLocalComplianceYear8" ref="E65:F70" headerRowCount="0" totalsRowShown="0" headerRowBorderDxfId="705" tableBorderDxfId="704" totalsRowBorderDxfId="703">
  <tableColumns count="2">
    <tableColumn id="1" xr3:uid="{00000000-0010-0000-1601-000001000000}" name="Column1" headerRowDxfId="702" dataDxfId="701"/>
    <tableColumn id="2" xr3:uid="{00000000-0010-0000-1601-000002000000}" name="Column2" headerRowDxfId="700" dataDxfId="699"/>
  </tableColumns>
  <tableStyleInfo name="TableStyleLight18" showFirstColumn="0" showLastColumn="0" showRowStripes="0" showColumnStripes="0"/>
  <extLst>
    <ext xmlns:x14="http://schemas.microsoft.com/office/spreadsheetml/2009/9/main" uri="{504A1905-F514-4f6f-8877-14C23A59335A}">
      <x14:table altText="Year 8 Compliance: Total Local Funds" altTextSummary="This table displays information for Year 8 for the Compliance Standard for the Total Local Funds method. The final row in the table displays the MOE result for Year 8."/>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1" xr:uid="{00000000-000C-0000-FFFF-FFFF1B000000}" name="ComplianceYear1" displayName="ComplianceYear1" ref="A13:E18" totalsRowShown="0" headerRowDxfId="2436" headerRowBorderDxfId="2435" tableBorderDxfId="2434" totalsRowBorderDxfId="2433">
  <autoFilter ref="A13:E18" xr:uid="{00000000-0009-0000-0100-0000C9000000}">
    <filterColumn colId="0" hiddenButton="1"/>
    <filterColumn colId="1" hiddenButton="1"/>
    <filterColumn colId="2" hiddenButton="1"/>
    <filterColumn colId="3" hiddenButton="1"/>
    <filterColumn colId="4" hiddenButton="1"/>
  </autoFilter>
  <tableColumns count="5">
    <tableColumn id="1" xr3:uid="{00000000-0010-0000-1B00-000001000000}" name="MOE Information" dataDxfId="2432"/>
    <tableColumn id="2" xr3:uid="{00000000-0010-0000-1B00-000002000000}" name="Total Local Funds" dataDxfId="2431"/>
    <tableColumn id="3" xr3:uid="{00000000-0010-0000-1B00-000003000000}" name="Total State and Local Funds" dataDxfId="2430"/>
    <tableColumn id="4" xr3:uid="{00000000-0010-0000-1B00-000004000000}" name="Local Funds Per Capita" dataDxfId="2429"/>
    <tableColumn id="5" xr3:uid="{00000000-0010-0000-1B00-000005000000}" name="State and Local Funds Per Capita" dataDxfId="2428"/>
  </tableColumns>
  <tableStyleInfo name="TableStyleLight18" showFirstColumn="0" showLastColumn="0" showRowStripes="0" showColumnStripes="0"/>
  <extLst>
    <ext xmlns:x14="http://schemas.microsoft.com/office/spreadsheetml/2009/9/main" uri="{504A1905-F514-4f6f-8877-14C23A59335A}">
      <x14:table altText="Compliance Standard Year 1" altTextSummary="This table displays MOE amounts and results for the compliance standard for Year 1."/>
    </ext>
  </extLst>
</table>
</file>

<file path=xl/tables/table2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9" xr:uid="{00000000-000C-0000-FFFF-FFFF17010000}" name="TotalLocalComplianceYear9" displayName="TotalLocalComplianceYear9" ref="E73:F78" headerRowCount="0" totalsRowShown="0" headerRowBorderDxfId="698" tableBorderDxfId="697" totalsRowBorderDxfId="696">
  <tableColumns count="2">
    <tableColumn id="1" xr3:uid="{00000000-0010-0000-1701-000001000000}" name="Column1" headerRowDxfId="695" dataDxfId="694"/>
    <tableColumn id="2" xr3:uid="{00000000-0010-0000-1701-000002000000}" name="Column2" headerRowDxfId="693" dataDxfId="692"/>
  </tableColumns>
  <tableStyleInfo name="TableStyleLight18" showFirstColumn="0" showLastColumn="0" showRowStripes="0" showColumnStripes="0"/>
  <extLst>
    <ext xmlns:x14="http://schemas.microsoft.com/office/spreadsheetml/2009/9/main" uri="{504A1905-F514-4f6f-8877-14C23A59335A}">
      <x14:table altText="Year 9 Compliance: Total Local Funds" altTextSummary="This table displays information for Year 9 for the Compliance Standard for the Total Local Funds method. The final row in the table displays the MOE result for Year 9."/>
    </ext>
  </extLst>
</table>
</file>

<file path=xl/tables/table2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0" xr:uid="{00000000-000C-0000-FFFF-FFFF18010000}" name="TotalLocalComplianceYear10" displayName="TotalLocalComplianceYear10" ref="E81:F86" headerRowCount="0" totalsRowShown="0" headerRowBorderDxfId="691" tableBorderDxfId="690" totalsRowBorderDxfId="689">
  <tableColumns count="2">
    <tableColumn id="1" xr3:uid="{00000000-0010-0000-1801-000001000000}" name="Column1" headerRowDxfId="688" dataDxfId="687"/>
    <tableColumn id="2" xr3:uid="{00000000-0010-0000-1801-000002000000}" name="Column2" headerRowDxfId="686" dataDxfId="685"/>
  </tableColumns>
  <tableStyleInfo name="TableStyleLight18" showFirstColumn="0" showLastColumn="0" showRowStripes="0" showColumnStripes="0"/>
  <extLst>
    <ext xmlns:x14="http://schemas.microsoft.com/office/spreadsheetml/2009/9/main" uri="{504A1905-F514-4f6f-8877-14C23A59335A}">
      <x14:table altText="Year 10 Compliance: Total Local Funds" altTextSummary="This table displays information for Year 10 for the Compliance Standard for the Total Local Funds method. The final row in the table displays the MOE result for Year 10."/>
    </ext>
  </extLst>
</table>
</file>

<file path=xl/tables/table2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8" xr:uid="{00000000-000C-0000-FFFF-FFFF19010000}" name="StateLocalEligibilityPriorToYear1" displayName="StateLocalEligibilityPriorToYear1" ref="A4:B6" headerRowCount="0" totalsRowShown="0" headerRowDxfId="684" headerRowBorderDxfId="683" tableBorderDxfId="682" totalsRowBorderDxfId="681">
  <tableColumns count="2">
    <tableColumn id="1" xr3:uid="{00000000-0010-0000-1901-000001000000}" name="Column1" headerRowDxfId="680"/>
    <tableColumn id="2" xr3:uid="{00000000-0010-0000-1901-000002000000}" name="Column2" headerRowDxfId="679"/>
  </tableColumns>
  <tableStyleInfo name="TableStyleLight18" showFirstColumn="0" showLastColumn="0" showRowStripes="0" showColumnStripes="0"/>
  <extLst>
    <ext xmlns:x14="http://schemas.microsoft.com/office/spreadsheetml/2009/9/main" uri="{504A1905-F514-4f6f-8877-14C23A59335A}">
      <x14:table altText="Prior to Year 1: Total State and Local Funds" altTextSummary="This table displays information for the period prior to Year 1 for the Total State &amp; Local Funds method."/>
    </ext>
  </extLst>
</table>
</file>

<file path=xl/tables/table2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1" xr:uid="{00000000-000C-0000-FFFF-FFFF1A010000}" name="StateLocalEligibilityYear2" displayName="StateLocalEligibilityYear2" ref="A17:B22" headerRowCount="0" totalsRowShown="0" headerRowBorderDxfId="678" tableBorderDxfId="677" totalsRowBorderDxfId="676">
  <tableColumns count="2">
    <tableColumn id="1" xr3:uid="{00000000-0010-0000-1A01-000001000000}" name="Column1" headerRowDxfId="675" dataDxfId="674"/>
    <tableColumn id="2" xr3:uid="{00000000-0010-0000-1A01-000002000000}" name="Column2" headerRowDxfId="673" dataDxfId="672"/>
  </tableColumns>
  <tableStyleInfo name="TableStyleLight18" showFirstColumn="0" showLastColumn="0" showRowStripes="0" showColumnStripes="0"/>
  <extLst>
    <ext xmlns:x14="http://schemas.microsoft.com/office/spreadsheetml/2009/9/main" uri="{504A1905-F514-4f6f-8877-14C23A59335A}">
      <x14:table altText="Year 2 Eligibility: Total State &amp; Local Funds" altTextSummary="This table displays information for Year 2 for the Eligibility Standard for the Total State &amp; Local Funds method. The final row in the table displays the MOE result for Year 2."/>
    </ext>
  </extLst>
</table>
</file>

<file path=xl/tables/table2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2" xr:uid="{00000000-000C-0000-FFFF-FFFF1B010000}" name="StateLocalEligbilityYear3" displayName="StateLocalEligbilityYear3" ref="A25:B30" headerRowCount="0" totalsRowShown="0" headerRowBorderDxfId="671" tableBorderDxfId="670" totalsRowBorderDxfId="669">
  <tableColumns count="2">
    <tableColumn id="1" xr3:uid="{00000000-0010-0000-1B01-000001000000}" name="Column1" headerRowDxfId="668" dataDxfId="667"/>
    <tableColumn id="2" xr3:uid="{00000000-0010-0000-1B01-000002000000}" name="Column2" headerRowDxfId="666" dataDxfId="665"/>
  </tableColumns>
  <tableStyleInfo name="TableStyleLight18" showFirstColumn="0" showLastColumn="0" showRowStripes="0" showColumnStripes="0"/>
  <extLst>
    <ext xmlns:x14="http://schemas.microsoft.com/office/spreadsheetml/2009/9/main" uri="{504A1905-F514-4f6f-8877-14C23A59335A}">
      <x14:table altText="Year 3 Eligibility: Total State &amp; Local Funds" altTextSummary="This table displays information for Year 3 for the Eligibility Standard for the Total State &amp; Local Funds method. The final row in the table displays the MOE result for Year 3."/>
    </ext>
  </extLst>
</table>
</file>

<file path=xl/tables/table2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3" xr:uid="{00000000-000C-0000-FFFF-FFFF1C010000}" name="StateLocalEligibilityYear4" displayName="StateLocalEligibilityYear4" ref="A33:B38" headerRowCount="0" totalsRowShown="0" headerRowBorderDxfId="664" tableBorderDxfId="663" totalsRowBorderDxfId="662">
  <tableColumns count="2">
    <tableColumn id="1" xr3:uid="{00000000-0010-0000-1C01-000001000000}" name="Column1" headerRowDxfId="661" dataDxfId="660"/>
    <tableColumn id="2" xr3:uid="{00000000-0010-0000-1C01-000002000000}" name="Column2" headerRowDxfId="659" dataDxfId="658"/>
  </tableColumns>
  <tableStyleInfo name="TableStyleLight18" showFirstColumn="0" showLastColumn="0" showRowStripes="0" showColumnStripes="0"/>
  <extLst>
    <ext xmlns:x14="http://schemas.microsoft.com/office/spreadsheetml/2009/9/main" uri="{504A1905-F514-4f6f-8877-14C23A59335A}">
      <x14:table altText="Year 4 Eligibility: Total State &amp; Local Funds" altTextSummary="This table displays information for Year 3 for the Eligibility Standard for the Total State &amp; Local Funds method. The final row in the table displays the MOE result for Year 3."/>
    </ext>
  </extLst>
</table>
</file>

<file path=xl/tables/table2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4" xr:uid="{00000000-000C-0000-FFFF-FFFF1D010000}" name="StateLocalEligibilityYear5" displayName="StateLocalEligibilityYear5" ref="A41:B46" headerRowCount="0" totalsRowShown="0" headerRowBorderDxfId="657" tableBorderDxfId="656" totalsRowBorderDxfId="655">
  <tableColumns count="2">
    <tableColumn id="1" xr3:uid="{00000000-0010-0000-1D01-000001000000}" name="Column1" headerRowDxfId="654" dataDxfId="653"/>
    <tableColumn id="2" xr3:uid="{00000000-0010-0000-1D01-000002000000}" name="Column2" headerRowDxfId="652" dataDxfId="651"/>
  </tableColumns>
  <tableStyleInfo name="TableStyleLight18" showFirstColumn="0" showLastColumn="0" showRowStripes="0" showColumnStripes="0"/>
  <extLst>
    <ext xmlns:x14="http://schemas.microsoft.com/office/spreadsheetml/2009/9/main" uri="{504A1905-F514-4f6f-8877-14C23A59335A}">
      <x14:table altText="Year 5 Eligibility: Total State &amp; Local Funds" altTextSummary="This table displays information for Year 5 for the Eligibility Standard for the Total State &amp; Local Funds method. The final row in the table displays the MOE result for Year 5."/>
    </ext>
  </extLst>
</table>
</file>

<file path=xl/tables/table2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5" xr:uid="{00000000-000C-0000-FFFF-FFFF1E010000}" name="StateLocalEligibilityYear6" displayName="StateLocalEligibilityYear6" ref="A49:B54" headerRowCount="0" totalsRowShown="0" headerRowBorderDxfId="650" tableBorderDxfId="649" totalsRowBorderDxfId="648">
  <tableColumns count="2">
    <tableColumn id="1" xr3:uid="{00000000-0010-0000-1E01-000001000000}" name="Column1" headerRowDxfId="647" dataDxfId="646"/>
    <tableColumn id="2" xr3:uid="{00000000-0010-0000-1E01-000002000000}" name="Column2" headerRowDxfId="645" dataDxfId="644"/>
  </tableColumns>
  <tableStyleInfo name="TableStyleLight18" showFirstColumn="0" showLastColumn="0" showRowStripes="0" showColumnStripes="0"/>
  <extLst>
    <ext xmlns:x14="http://schemas.microsoft.com/office/spreadsheetml/2009/9/main" uri="{504A1905-F514-4f6f-8877-14C23A59335A}">
      <x14:table altText="Year 6 Eligibility: Total State &amp; Local Funds" altTextSummary="This table displays information for Year 6 for the Eligibility Standard for the Total State &amp; Local Funds method. The final row in the table displays the MOE result for Year 6."/>
    </ext>
  </extLst>
</table>
</file>

<file path=xl/tables/table2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6" xr:uid="{00000000-000C-0000-FFFF-FFFF1F010000}" name="StateLocalEligibilityYear7" displayName="StateLocalEligibilityYear7" ref="A57:B62" headerRowCount="0" totalsRowShown="0" headerRowBorderDxfId="643" tableBorderDxfId="642" totalsRowBorderDxfId="641">
  <tableColumns count="2">
    <tableColumn id="1" xr3:uid="{00000000-0010-0000-1F01-000001000000}" name="Column1" headerRowDxfId="640" dataDxfId="639"/>
    <tableColumn id="2" xr3:uid="{00000000-0010-0000-1F01-000002000000}" name="Column2" headerRowDxfId="638" dataDxfId="637"/>
  </tableColumns>
  <tableStyleInfo name="TableStyleLight18" showFirstColumn="0" showLastColumn="0" showRowStripes="0" showColumnStripes="0"/>
  <extLst>
    <ext xmlns:x14="http://schemas.microsoft.com/office/spreadsheetml/2009/9/main" uri="{504A1905-F514-4f6f-8877-14C23A59335A}">
      <x14:table altText="Year 7 Eligibility: Total State &amp; Local Funds" altTextSummary="This table displays information for Year 7 for the Eligibility Standard for the Total State &amp; Local Funds method. The final row in the table displays the MOE result for Year 7."/>
    </ext>
  </extLst>
</table>
</file>

<file path=xl/tables/table2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7" xr:uid="{00000000-000C-0000-FFFF-FFFF20010000}" name="StateLocalEligibilityYear8" displayName="StateLocalEligibilityYear8" ref="A65:B70" headerRowCount="0" totalsRowShown="0" headerRowBorderDxfId="636" tableBorderDxfId="635" totalsRowBorderDxfId="634">
  <tableColumns count="2">
    <tableColumn id="1" xr3:uid="{00000000-0010-0000-2001-000001000000}" name="Column1" headerRowDxfId="633" dataDxfId="632"/>
    <tableColumn id="2" xr3:uid="{00000000-0010-0000-2001-000002000000}" name="Column2" headerRowDxfId="631" dataDxfId="630"/>
  </tableColumns>
  <tableStyleInfo name="TableStyleLight18" showFirstColumn="0" showLastColumn="0" showRowStripes="0" showColumnStripes="0"/>
  <extLst>
    <ext xmlns:x14="http://schemas.microsoft.com/office/spreadsheetml/2009/9/main" uri="{504A1905-F514-4f6f-8877-14C23A59335A}">
      <x14:table altText="Year 8 Eligibility: Total State &amp; Local Funds" altTextSummary="This table displays information for Year 8 for the Eligibility Standard for the Total State &amp; Local Funds method. The final row in the table displays the MOE result for Year 8."/>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2" xr:uid="{00000000-000C-0000-FFFF-FFFF1C000000}" name="RepaymentYear1" displayName="RepaymentYear1" ref="A21:B27" totalsRowShown="0" headerRowDxfId="2427" headerRowBorderDxfId="2426" tableBorderDxfId="2425" totalsRowBorderDxfId="2424">
  <autoFilter ref="A21:B27" xr:uid="{00000000-0009-0000-0100-0000CA000000}">
    <filterColumn colId="0" hiddenButton="1"/>
    <filterColumn colId="1" hiddenButton="1"/>
  </autoFilter>
  <tableColumns count="2">
    <tableColumn id="1" xr3:uid="{00000000-0010-0000-1C00-000001000000}" name="Repayment data" dataDxfId="2423"/>
    <tableColumn id="2" xr3:uid="{00000000-0010-0000-1C00-000002000000}" name="Data for Year 1" dataDxfId="2422"/>
  </tableColumns>
  <tableStyleInfo name="TableStyleLight18" showFirstColumn="0" showLastColumn="0" showRowStripes="0" showColumnStripes="0"/>
  <extLst>
    <ext xmlns:x14="http://schemas.microsoft.com/office/spreadsheetml/2009/9/main" uri="{504A1905-F514-4f6f-8877-14C23A59335A}">
      <x14:table altText="Repayment Year 1" altTextSummary="This table calculates the repayment amount for Year 1 if the LEA fails MOE by all four methods for the compliance standard. Users must enter data for IDEA allocations."/>
    </ext>
  </extLst>
</table>
</file>

<file path=xl/tables/table2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8" xr:uid="{00000000-000C-0000-FFFF-FFFF21010000}" name="StateLocalEligibilityYear9" displayName="StateLocalEligibilityYear9" ref="A73:B78" headerRowCount="0" totalsRowShown="0" headerRowBorderDxfId="629" tableBorderDxfId="628" totalsRowBorderDxfId="627">
  <tableColumns count="2">
    <tableColumn id="1" xr3:uid="{00000000-0010-0000-2101-000001000000}" name="Column1" headerRowDxfId="626" dataDxfId="625"/>
    <tableColumn id="2" xr3:uid="{00000000-0010-0000-2101-000002000000}" name="Column2" headerRowDxfId="624" dataDxfId="623"/>
  </tableColumns>
  <tableStyleInfo name="TableStyleLight18" showFirstColumn="0" showLastColumn="0" showRowStripes="0" showColumnStripes="0"/>
  <extLst>
    <ext xmlns:x14="http://schemas.microsoft.com/office/spreadsheetml/2009/9/main" uri="{504A1905-F514-4f6f-8877-14C23A59335A}">
      <x14:table altText="Year 9 Eligibility: Total State &amp; Local Funds" altTextSummary="This table displays information for Year 9 for the Eligibility Standard for the Total State &amp; Local Funds method. The final row in the table displays the MOE result for Year 9."/>
    </ext>
  </extLst>
</table>
</file>

<file path=xl/tables/table2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9" xr:uid="{00000000-000C-0000-FFFF-FFFF22010000}" name="StateLocalEligibilityYear10" displayName="StateLocalEligibilityYear10" ref="A81:B86" headerRowCount="0" totalsRowShown="0" headerRowBorderDxfId="622" tableBorderDxfId="621" totalsRowBorderDxfId="620">
  <tableColumns count="2">
    <tableColumn id="1" xr3:uid="{00000000-0010-0000-2201-000001000000}" name="Column1" headerRowDxfId="619" dataDxfId="618"/>
    <tableColumn id="2" xr3:uid="{00000000-0010-0000-2201-000002000000}" name="Column2" headerRowDxfId="617" dataDxfId="616"/>
  </tableColumns>
  <tableStyleInfo name="TableStyleLight18" showFirstColumn="0" showLastColumn="0" showRowStripes="0" showColumnStripes="0"/>
  <extLst>
    <ext xmlns:x14="http://schemas.microsoft.com/office/spreadsheetml/2009/9/main" uri="{504A1905-F514-4f6f-8877-14C23A59335A}">
      <x14:table altText="Year 10 Eligibility: Total State &amp; Local Funds" altTextSummary="This table displays information for Year 10 for the Eligibility Standard for the Total State &amp; Local Funds method. The final row in the table displays the MOE result for Year 10."/>
    </ext>
  </extLst>
</table>
</file>

<file path=xl/tables/table2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0" xr:uid="{00000000-000C-0000-FFFF-FFFF23010000}" name="StateLocalEligibilityYear11" displayName="StateLocalEligibilityYear11" ref="A89:B94" headerRowCount="0" totalsRowShown="0" headerRowBorderDxfId="615" tableBorderDxfId="614" totalsRowBorderDxfId="613">
  <tableColumns count="2">
    <tableColumn id="1" xr3:uid="{00000000-0010-0000-2301-000001000000}" name="Column1" headerRowDxfId="612" dataDxfId="611"/>
    <tableColumn id="2" xr3:uid="{00000000-0010-0000-2301-000002000000}" name="Column2" headerRowDxfId="610" dataDxfId="609"/>
  </tableColumns>
  <tableStyleInfo name="TableStyleLight18" showFirstColumn="0" showLastColumn="0" showRowStripes="0" showColumnStripes="0"/>
  <extLst>
    <ext xmlns:x14="http://schemas.microsoft.com/office/spreadsheetml/2009/9/main" uri="{504A1905-F514-4f6f-8877-14C23A59335A}">
      <x14:table altText="Year 11 Eligibility: Total State &amp; Local Funds" altTextSummary="This table displays information for Year 11 for the Eligibility Standard for the Total State &amp; Local Funds method. The final row in the table displays the MOE result for Year 11."/>
    </ext>
  </extLst>
</table>
</file>

<file path=xl/tables/table2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1" xr:uid="{00000000-000C-0000-FFFF-FFFF24010000}" name="StateLocalCompliancePriorToYear1" displayName="StateLocalCompliancePriorToYear1" ref="E4:F6" headerRowCount="0" totalsRowShown="0" headerRowDxfId="608" headerRowBorderDxfId="607" tableBorderDxfId="606" totalsRowBorderDxfId="605">
  <tableColumns count="2">
    <tableColumn id="1" xr3:uid="{00000000-0010-0000-2401-000001000000}" name="Column1" headerRowDxfId="604"/>
    <tableColumn id="2" xr3:uid="{00000000-0010-0000-2401-000002000000}" name="Column2" headerRowDxfId="603"/>
  </tableColumns>
  <tableStyleInfo name="TableStyleLight18" showFirstColumn="0" showLastColumn="0" showRowStripes="0" showColumnStripes="0"/>
  <extLst>
    <ext xmlns:x14="http://schemas.microsoft.com/office/spreadsheetml/2009/9/main" uri="{504A1905-F514-4f6f-8877-14C23A59335A}">
      <x14:table altText="Prior to Year 1: Total State &amp; Local Funds" altTextSummary="This table displays information for the period prior to Year 1 for the Total State &amp; Local Funds method."/>
    </ext>
  </extLst>
</table>
</file>

<file path=xl/tables/table2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2" xr:uid="{00000000-000C-0000-FFFF-FFFF25010000}" name="StateLocalComplianceYear1" displayName="StateLocalComplianceYear1" ref="E9:F14" headerRowCount="0" totalsRowShown="0" headerRowBorderDxfId="602" tableBorderDxfId="601" totalsRowBorderDxfId="600">
  <tableColumns count="2">
    <tableColumn id="1" xr3:uid="{00000000-0010-0000-2501-000001000000}" name="Column1" headerRowDxfId="599" dataDxfId="598"/>
    <tableColumn id="2" xr3:uid="{00000000-0010-0000-2501-000002000000}" name="Column2" headerRowDxfId="597" dataDxfId="596"/>
  </tableColumns>
  <tableStyleInfo name="TableStyleLight18" showFirstColumn="0" showLastColumn="0" showRowStripes="0" showColumnStripes="0"/>
  <extLst>
    <ext xmlns:x14="http://schemas.microsoft.com/office/spreadsheetml/2009/9/main" uri="{504A1905-F514-4f6f-8877-14C23A59335A}">
      <x14:table altText="Year 1 Compliance: Total State &amp; Local Funds" altTextSummary="This table displays information for Year 1 for the Compliance Standard for the Total State &amp; Local Funds method. The final row in the table displays the MOE result for Year 1."/>
    </ext>
  </extLst>
</table>
</file>

<file path=xl/tables/table2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3" xr:uid="{00000000-000C-0000-FFFF-FFFF26010000}" name="StateLocalComplianceYear2" displayName="StateLocalComplianceYear2" ref="E17:F22" headerRowCount="0" totalsRowShown="0" headerRowBorderDxfId="595" tableBorderDxfId="594" totalsRowBorderDxfId="593">
  <tableColumns count="2">
    <tableColumn id="1" xr3:uid="{00000000-0010-0000-2601-000001000000}" name="Column1" headerRowDxfId="592" dataDxfId="591"/>
    <tableColumn id="2" xr3:uid="{00000000-0010-0000-2601-000002000000}" name="Column2" headerRowDxfId="590" dataDxfId="589"/>
  </tableColumns>
  <tableStyleInfo name="TableStyleLight18" showFirstColumn="0" showLastColumn="0" showRowStripes="0" showColumnStripes="0"/>
  <extLst>
    <ext xmlns:x14="http://schemas.microsoft.com/office/spreadsheetml/2009/9/main" uri="{504A1905-F514-4f6f-8877-14C23A59335A}">
      <x14:table altText="Year 2 Compliance: Total State &amp; Local Funds" altTextSummary="This table displays information for Year 2 for the Compliance Standard for the Total State &amp; Local Funds method. The final row in the table displays the MOE result for Year 2."/>
    </ext>
  </extLst>
</table>
</file>

<file path=xl/tables/table2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4" xr:uid="{00000000-000C-0000-FFFF-FFFF27010000}" name="StateLocalComplianceYear3" displayName="StateLocalComplianceYear3" ref="E25:F30" headerRowCount="0" totalsRowShown="0" headerRowBorderDxfId="588" tableBorderDxfId="587" totalsRowBorderDxfId="586">
  <tableColumns count="2">
    <tableColumn id="1" xr3:uid="{00000000-0010-0000-2701-000001000000}" name="Column1" headerRowDxfId="585" dataDxfId="584"/>
    <tableColumn id="2" xr3:uid="{00000000-0010-0000-2701-000002000000}" name="Column2" headerRowDxfId="583" dataDxfId="582"/>
  </tableColumns>
  <tableStyleInfo name="TableStyleLight18" showFirstColumn="0" showLastColumn="0" showRowStripes="0" showColumnStripes="0"/>
  <extLst>
    <ext xmlns:x14="http://schemas.microsoft.com/office/spreadsheetml/2009/9/main" uri="{504A1905-F514-4f6f-8877-14C23A59335A}">
      <x14:table altText="Year 3 Compliance: Total State &amp; Local Funds" altTextSummary="This table displays information for Year 3 for the Compliance Standard for the Total State &amp; Local Funds method. The final row in the table displays the MOE result for Year 3."/>
    </ext>
  </extLst>
</table>
</file>

<file path=xl/tables/table2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5" xr:uid="{00000000-000C-0000-FFFF-FFFF28010000}" name="StateLocalComplianceYear4" displayName="StateLocalComplianceYear4" ref="E33:F38" headerRowCount="0" totalsRowShown="0" headerRowBorderDxfId="581" tableBorderDxfId="580" totalsRowBorderDxfId="579">
  <tableColumns count="2">
    <tableColumn id="1" xr3:uid="{00000000-0010-0000-2801-000001000000}" name="Column1" headerRowDxfId="578" dataDxfId="577"/>
    <tableColumn id="2" xr3:uid="{00000000-0010-0000-2801-000002000000}" name="Column2" headerRowDxfId="576" dataDxfId="575"/>
  </tableColumns>
  <tableStyleInfo name="TableStyleLight18" showFirstColumn="0" showLastColumn="0" showRowStripes="0" showColumnStripes="0"/>
  <extLst>
    <ext xmlns:x14="http://schemas.microsoft.com/office/spreadsheetml/2009/9/main" uri="{504A1905-F514-4f6f-8877-14C23A59335A}">
      <x14:table altText="Year 4 Compliance: Total State &amp; Local Funds" altTextSummary="This table displays information for Year 4 for the Compliance Standard for the Total State &amp; Local Funds method. The final row in the table displays the MOE result for Year 4."/>
    </ext>
  </extLst>
</table>
</file>

<file path=xl/tables/table2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6" xr:uid="{00000000-000C-0000-FFFF-FFFF29010000}" name="StateLocalComplianceYear5" displayName="StateLocalComplianceYear5" ref="E41:F46" headerRowCount="0" totalsRowShown="0" headerRowBorderDxfId="574" tableBorderDxfId="573" totalsRowBorderDxfId="572">
  <tableColumns count="2">
    <tableColumn id="1" xr3:uid="{00000000-0010-0000-2901-000001000000}" name="Column1" headerRowDxfId="571" dataDxfId="570"/>
    <tableColumn id="2" xr3:uid="{00000000-0010-0000-2901-000002000000}" name="Column2" headerRowDxfId="569" dataDxfId="568"/>
  </tableColumns>
  <tableStyleInfo name="TableStyleLight18" showFirstColumn="0" showLastColumn="0" showRowStripes="0" showColumnStripes="0"/>
  <extLst>
    <ext xmlns:x14="http://schemas.microsoft.com/office/spreadsheetml/2009/9/main" uri="{504A1905-F514-4f6f-8877-14C23A59335A}">
      <x14:table altText="Year 5 Compliance: Total State &amp; Local Funds" altTextSummary="This table displays information for Year 5 for the Compliance Standard for the Total State &amp; Local Funds method. The final row in the table displays the MOE result for Year 5."/>
    </ext>
  </extLst>
</table>
</file>

<file path=xl/tables/table2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7" xr:uid="{00000000-000C-0000-FFFF-FFFF2A010000}" name="StateLocalComplianceYear6" displayName="StateLocalComplianceYear6" ref="E49:F54" headerRowCount="0" totalsRowShown="0" headerRowBorderDxfId="567" tableBorderDxfId="566" totalsRowBorderDxfId="565">
  <tableColumns count="2">
    <tableColumn id="1" xr3:uid="{00000000-0010-0000-2A01-000001000000}" name="Column1" headerRowDxfId="564" dataDxfId="563"/>
    <tableColumn id="2" xr3:uid="{00000000-0010-0000-2A01-000002000000}" name="Column2" headerRowDxfId="562" dataDxfId="561"/>
  </tableColumns>
  <tableStyleInfo name="TableStyleLight18" showFirstColumn="0" showLastColumn="0" showRowStripes="0" showColumnStripes="0"/>
  <extLst>
    <ext xmlns:x14="http://schemas.microsoft.com/office/spreadsheetml/2009/9/main" uri="{504A1905-F514-4f6f-8877-14C23A59335A}">
      <x14:table altText="Year 6 Compliance: Total State &amp; Local Funds" altTextSummary="This table displays information for Year 6 for the Compliance Standard for the Total State &amp; Local Funds method. The final row in the table displays the MOE result for Year 6."/>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5" xr:uid="{00000000-000C-0000-FFFF-FFFF02000000}" name="PriorFiscalYear" displayName="PriorFiscalYear" ref="A16:C19" totalsRowShown="0" headerRowDxfId="2618" headerRowBorderDxfId="2617" tableBorderDxfId="2616" totalsRowBorderDxfId="2615">
  <autoFilter ref="A16:C19" xr:uid="{00000000-0009-0000-0100-0000C3000000}">
    <filterColumn colId="0" hiddenButton="1"/>
    <filterColumn colId="1" hiddenButton="1"/>
    <filterColumn colId="2" hiddenButton="1"/>
  </autoFilter>
  <tableColumns count="3">
    <tableColumn id="1" xr3:uid="{00000000-0010-0000-0200-000001000000}" name="Information" dataDxfId="2614"/>
    <tableColumn id="2" xr3:uid="{00000000-0010-0000-0200-000002000000}" name="Projected (for eligibility standard)" dataDxfId="2613"/>
    <tableColumn id="3" xr3:uid="{00000000-0010-0000-0200-000003000000}" name="Final (for compliance standard)" dataDxfId="2612"/>
  </tableColumns>
  <tableStyleInfo name="TableStyleLight18" showFirstColumn="0" showLastColumn="0" showRowStripes="0" showColumnStripes="0"/>
  <extLst>
    <ext xmlns:x14="http://schemas.microsoft.com/office/spreadsheetml/2009/9/main" uri="{504A1905-F514-4f6f-8877-14C23A59335A}">
      <x14:table altText="Prior Fiscal Year Before Year 1" altTextSummary="Enter information for the fiscal year immediately prior to Year 1. The information entered here is required for proper calculation of exception (b)."/>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7" xr:uid="{00000000-000C-0000-FFFF-FFFF1D000000}" name="ExcAdjSummaryYear1" displayName="ExcAdjSummaryYear1" ref="A33:E40" totalsRowShown="0" headerRowDxfId="2421" headerRowBorderDxfId="2420" tableBorderDxfId="2419" totalsRowBorderDxfId="2418">
  <autoFilter ref="A33:E40" xr:uid="{00000000-0009-0000-0100-000051010000}">
    <filterColumn colId="0" hiddenButton="1"/>
    <filterColumn colId="1" hiddenButton="1"/>
    <filterColumn colId="2" hiddenButton="1"/>
    <filterColumn colId="3" hiddenButton="1"/>
    <filterColumn colId="4" hiddenButton="1"/>
  </autoFilter>
  <tableColumns count="5">
    <tableColumn id="1" xr3:uid="{00000000-0010-0000-1D00-000001000000}" name="Exception or Adjustment" dataDxfId="2417"/>
    <tableColumn id="2" xr3:uid="{00000000-0010-0000-1D00-000002000000}" name="Projected Local Funds" dataDxfId="2416"/>
    <tableColumn id="3" xr3:uid="{00000000-0010-0000-1D00-000003000000}" name="Projected State and Local Funds" dataDxfId="2415"/>
    <tableColumn id="4" xr3:uid="{00000000-0010-0000-1D00-000004000000}" name="Local Funds" dataDxfId="2414"/>
    <tableColumn id="5" xr3:uid="{00000000-0010-0000-1D00-000005000000}" name="State and Local Funds" dataDxfId="2413"/>
  </tableColumns>
  <tableStyleInfo name="TableStyleLight18" showFirstColumn="0" showLastColumn="0" showRowStripes="0" showColumnStripes="0"/>
  <extLst>
    <ext xmlns:x14="http://schemas.microsoft.com/office/spreadsheetml/2009/9/main" uri="{504A1905-F514-4f6f-8877-14C23A59335A}">
      <x14:table altText="Exceptions and Adjustment summary" altTextSummary="This table presents a summary of all exceptions taken for Year 1. Detailed data on the exceptions are entered on the Exc &amp; Adj tab for Year 1."/>
    </ext>
  </extLst>
</table>
</file>

<file path=xl/tables/table3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8" xr:uid="{00000000-000C-0000-FFFF-FFFF2B010000}" name="StateLocalComplianceYear7" displayName="StateLocalComplianceYear7" ref="E57:F62" headerRowCount="0" totalsRowShown="0" headerRowBorderDxfId="560" tableBorderDxfId="559" totalsRowBorderDxfId="558">
  <tableColumns count="2">
    <tableColumn id="1" xr3:uid="{00000000-0010-0000-2B01-000001000000}" name="Column1" headerRowDxfId="557" dataDxfId="556"/>
    <tableColumn id="2" xr3:uid="{00000000-0010-0000-2B01-000002000000}" name="Column2" headerRowDxfId="555" dataDxfId="554"/>
  </tableColumns>
  <tableStyleInfo name="TableStyleLight18" showFirstColumn="0" showLastColumn="0" showRowStripes="0" showColumnStripes="0"/>
  <extLst>
    <ext xmlns:x14="http://schemas.microsoft.com/office/spreadsheetml/2009/9/main" uri="{504A1905-F514-4f6f-8877-14C23A59335A}">
      <x14:table altText="Year 7 Compliance: Total State &amp; Local Funds" altTextSummary="This table displays information for Year 7 for the Compliance Standard for the Total State &amp; Local Funds method. The final row in the table displays the MOE result for Year 7."/>
    </ext>
  </extLst>
</table>
</file>

<file path=xl/tables/table3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9" xr:uid="{00000000-000C-0000-FFFF-FFFF2C010000}" name="StateLocalComplianceYear8" displayName="StateLocalComplianceYear8" ref="E65:F70" headerRowCount="0" totalsRowShown="0" headerRowBorderDxfId="553" tableBorderDxfId="552" totalsRowBorderDxfId="551">
  <tableColumns count="2">
    <tableColumn id="1" xr3:uid="{00000000-0010-0000-2C01-000001000000}" name="Column1" headerRowDxfId="550" dataDxfId="549"/>
    <tableColumn id="2" xr3:uid="{00000000-0010-0000-2C01-000002000000}" name="Column2" headerRowDxfId="548" dataDxfId="547"/>
  </tableColumns>
  <tableStyleInfo name="TableStyleLight18" showFirstColumn="0" showLastColumn="0" showRowStripes="0" showColumnStripes="0"/>
  <extLst>
    <ext xmlns:x14="http://schemas.microsoft.com/office/spreadsheetml/2009/9/main" uri="{504A1905-F514-4f6f-8877-14C23A59335A}">
      <x14:table altText="Year 8 Compliance: Total State &amp; Local Funds" altTextSummary="This table displays information for Year 8 for the Compliance Standard for the Total State &amp; Local Funds method. The final row in the table displays the MOE result for Year 8."/>
    </ext>
  </extLst>
</table>
</file>

<file path=xl/tables/table3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0" xr:uid="{00000000-000C-0000-FFFF-FFFF2D010000}" name="StateLocalComplianceYear9" displayName="StateLocalComplianceYear9" ref="E73:F78" headerRowCount="0" totalsRowShown="0" headerRowBorderDxfId="546" tableBorderDxfId="545" totalsRowBorderDxfId="544">
  <tableColumns count="2">
    <tableColumn id="1" xr3:uid="{00000000-0010-0000-2D01-000001000000}" name="Column1" headerRowDxfId="543" dataDxfId="542"/>
    <tableColumn id="2" xr3:uid="{00000000-0010-0000-2D01-000002000000}" name="Column2" headerRowDxfId="541" dataDxfId="540"/>
  </tableColumns>
  <tableStyleInfo name="TableStyleLight18" showFirstColumn="0" showLastColumn="0" showRowStripes="0" showColumnStripes="0"/>
  <extLst>
    <ext xmlns:x14="http://schemas.microsoft.com/office/spreadsheetml/2009/9/main" uri="{504A1905-F514-4f6f-8877-14C23A59335A}">
      <x14:table altText="Year 9 Compliance: Total State &amp; Local Funds" altTextSummary="This table displays information for Year 9 for the Compliance Standard for the Total State &amp; Local Funds method. The final row in the table displays the MOE result for Year 9."/>
    </ext>
  </extLst>
</table>
</file>

<file path=xl/tables/table3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1" xr:uid="{00000000-000C-0000-FFFF-FFFF2E010000}" name="StateLocalComplianceYear10" displayName="StateLocalComplianceYear10" ref="E81:F86" headerRowCount="0" totalsRowShown="0" headerRowBorderDxfId="539" tableBorderDxfId="538" totalsRowBorderDxfId="537">
  <tableColumns count="2">
    <tableColumn id="1" xr3:uid="{00000000-0010-0000-2E01-000001000000}" name="Column1" headerRowDxfId="536" dataDxfId="535"/>
    <tableColumn id="2" xr3:uid="{00000000-0010-0000-2E01-000002000000}" name="Column2" headerRowDxfId="534" dataDxfId="533"/>
  </tableColumns>
  <tableStyleInfo name="TableStyleLight18" showFirstColumn="0" showLastColumn="0" showRowStripes="0" showColumnStripes="0"/>
  <extLst>
    <ext xmlns:x14="http://schemas.microsoft.com/office/spreadsheetml/2009/9/main" uri="{504A1905-F514-4f6f-8877-14C23A59335A}">
      <x14:table altText="Year 10 Compliance: Total State &amp; Local Funds" altTextSummary="This table displays information for Year 10 for the Compliance Standard for the Total State &amp; Local Funds method. The final row in the table displays the MOE result for Year 10."/>
    </ext>
  </extLst>
</table>
</file>

<file path=xl/tables/table3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2" xr:uid="{00000000-000C-0000-FFFF-FFFF2F010000}" name="LocalPerCapitaEligibilityPriorToYear1" displayName="LocalPerCapitaEligibilityPriorToYear1" ref="A4:B7" headerRowCount="0" totalsRowShown="0" headerRowDxfId="532" headerRowBorderDxfId="531" tableBorderDxfId="530" totalsRowBorderDxfId="529">
  <tableColumns count="2">
    <tableColumn id="1" xr3:uid="{00000000-0010-0000-2F01-000001000000}" name="Column1" headerRowDxfId="528"/>
    <tableColumn id="2" xr3:uid="{00000000-0010-0000-2F01-000002000000}" name="Column2" headerRowDxfId="527"/>
  </tableColumns>
  <tableStyleInfo name="TableStyleLight18" showFirstColumn="0" showLastColumn="0" showRowStripes="0" showColumnStripes="0"/>
  <extLst>
    <ext xmlns:x14="http://schemas.microsoft.com/office/spreadsheetml/2009/9/main" uri="{504A1905-F514-4f6f-8877-14C23A59335A}">
      <x14:table altText="Prior to Year 1: Local Funds Per Capita" altTextSummary="This table displays information for the period prior to Year 1 for the Local Funds Per Capita method."/>
    </ext>
  </extLst>
</table>
</file>

<file path=xl/tables/table3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3" xr:uid="{00000000-000C-0000-FFFF-FFFF30010000}" name="LocalPerCapitaCompliancePriorToYear1" displayName="LocalPerCapitaCompliancePriorToYear1" ref="E4:F7" headerRowCount="0" totalsRowShown="0" headerRowDxfId="526" headerRowBorderDxfId="525" tableBorderDxfId="524" totalsRowBorderDxfId="523">
  <tableColumns count="2">
    <tableColumn id="1" xr3:uid="{00000000-0010-0000-3001-000001000000}" name="Column1" headerRowDxfId="522"/>
    <tableColumn id="2" xr3:uid="{00000000-0010-0000-3001-000002000000}" name="Column2" headerRowDxfId="521"/>
  </tableColumns>
  <tableStyleInfo name="TableStyleLight18" showFirstColumn="0" showLastColumn="0" showRowStripes="0" showColumnStripes="0"/>
  <extLst>
    <ext xmlns:x14="http://schemas.microsoft.com/office/spreadsheetml/2009/9/main" uri="{504A1905-F514-4f6f-8877-14C23A59335A}">
      <x14:table altText="Prior to Year 1: Local Funds Per Capita" altTextSummary="This table displays information for the period prior to Year 1 for the Local Funds Per Capita method."/>
    </ext>
  </extLst>
</table>
</file>

<file path=xl/tables/table3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4" xr:uid="{00000000-000C-0000-FFFF-FFFF31010000}" name="LocalPerCapitaComplianceYear1" displayName="LocalPerCapitaComplianceYear1" ref="E10:F15" headerRowCount="0" totalsRowShown="0" headerRowBorderDxfId="520" tableBorderDxfId="519" totalsRowBorderDxfId="518">
  <tableColumns count="2">
    <tableColumn id="1" xr3:uid="{00000000-0010-0000-3101-000001000000}" name="Column1" headerRowDxfId="517" dataDxfId="516"/>
    <tableColumn id="2" xr3:uid="{00000000-0010-0000-3101-000002000000}" name="Column2" headerRowDxfId="515" dataDxfId="514"/>
  </tableColumns>
  <tableStyleInfo name="TableStyleLight18" showFirstColumn="0" showLastColumn="0" showRowStripes="0" showColumnStripes="0"/>
  <extLst>
    <ext xmlns:x14="http://schemas.microsoft.com/office/spreadsheetml/2009/9/main" uri="{504A1905-F514-4f6f-8877-14C23A59335A}">
      <x14:table altText="Year 1 Compliance: Local Funds Per Capita" altTextSummary="This table displays information for Year 1 for the Compliance Standard for the Local Funds Per Capita method. The final row in the table displays the MOE result for Year 1."/>
    </ext>
  </extLst>
</table>
</file>

<file path=xl/tables/table3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5" xr:uid="{00000000-000C-0000-FFFF-FFFF32010000}" name="LocalPerCapitaEligibilityYear2" displayName="LocalPerCapitaEligibilityYear2" ref="A18:B23" headerRowCount="0" totalsRowShown="0" headerRowBorderDxfId="513" tableBorderDxfId="512" totalsRowBorderDxfId="511">
  <tableColumns count="2">
    <tableColumn id="1" xr3:uid="{00000000-0010-0000-3201-000001000000}" name="Column1" headerRowDxfId="510" dataDxfId="509"/>
    <tableColumn id="2" xr3:uid="{00000000-0010-0000-3201-000002000000}" name="Column2" headerRowDxfId="508" dataDxfId="507"/>
  </tableColumns>
  <tableStyleInfo name="TableStyleLight18" showFirstColumn="0" showLastColumn="0" showRowStripes="0" showColumnStripes="0"/>
  <extLst>
    <ext xmlns:x14="http://schemas.microsoft.com/office/spreadsheetml/2009/9/main" uri="{504A1905-F514-4f6f-8877-14C23A59335A}">
      <x14:table altText="Year 2 Eligibility: Local Funds Per Capita" altTextSummary="This table displays information for Year 2 for the Eligibility Standard for the Local Funds Per Capita method. The final row in the table displays the MOE result for Year 2."/>
    </ext>
  </extLst>
</table>
</file>

<file path=xl/tables/table3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6" xr:uid="{00000000-000C-0000-FFFF-FFFF33010000}" name="LocalPerCapitaComplianceYear2" displayName="LocalPerCapitaComplianceYear2" ref="E18:F23" headerRowCount="0" totalsRowShown="0" headerRowBorderDxfId="506" tableBorderDxfId="505" totalsRowBorderDxfId="504">
  <tableColumns count="2">
    <tableColumn id="1" xr3:uid="{00000000-0010-0000-3301-000001000000}" name="Column1" headerRowDxfId="503" dataDxfId="502"/>
    <tableColumn id="2" xr3:uid="{00000000-0010-0000-3301-000002000000}" name="Column2" headerRowDxfId="501" dataDxfId="500"/>
  </tableColumns>
  <tableStyleInfo name="TableStyleLight18" showFirstColumn="0" showLastColumn="0" showRowStripes="0" showColumnStripes="0"/>
  <extLst>
    <ext xmlns:x14="http://schemas.microsoft.com/office/spreadsheetml/2009/9/main" uri="{504A1905-F514-4f6f-8877-14C23A59335A}">
      <x14:table altText="Year 2 Compliance: Local Funds Per Capita" altTextSummary="This table displays information for Year 2 for the Compliance Standard for the Local Funds Per Capita method. The final row in the table displays the MOE result for Year 2."/>
    </ext>
  </extLst>
</table>
</file>

<file path=xl/tables/table3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7" xr:uid="{00000000-000C-0000-FFFF-FFFF34010000}" name="LocalPerCapitaEligibilityYear3" displayName="LocalPerCapitaEligibilityYear3" ref="A26:B31" headerRowCount="0" totalsRowShown="0" headerRowBorderDxfId="499" tableBorderDxfId="498" totalsRowBorderDxfId="497">
  <tableColumns count="2">
    <tableColumn id="1" xr3:uid="{00000000-0010-0000-3401-000001000000}" name="Column1" headerRowDxfId="496" dataDxfId="495"/>
    <tableColumn id="2" xr3:uid="{00000000-0010-0000-3401-000002000000}" name="Column2" headerRowDxfId="494" dataDxfId="493"/>
  </tableColumns>
  <tableStyleInfo name="TableStyleMedium2" showFirstColumn="0" showLastColumn="0" showRowStripes="0" showColumnStripes="0"/>
  <extLst>
    <ext xmlns:x14="http://schemas.microsoft.com/office/spreadsheetml/2009/9/main" uri="{504A1905-F514-4f6f-8877-14C23A59335A}">
      <x14:table altText="Year 3 Eligibility: Local Funds Per Capita" altTextSummary="This table displays information for Year 3 for the Eligibility Standard for the Local Funds Per Capita method. The final row in the table displays the MOE result for Year 3."/>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E000000}" name="BudgetYear2" displayName="BudgetYear2" ref="A4:F31" totalsRowShown="0" headerRowDxfId="2412" tableBorderDxfId="2411">
  <tableColumns count="6">
    <tableColumn id="1" xr3:uid="{00000000-0010-0000-1E00-000001000000}" name="Object Description" dataDxfId="2410"/>
    <tableColumn id="2" xr3:uid="{00000000-0010-0000-1E00-000002000000}" name="Code 1" dataDxfId="2409"/>
    <tableColumn id="7" xr3:uid="{00000000-0010-0000-1E00-000007000000}" name="Code 2" dataDxfId="2408"/>
    <tableColumn id="3" xr3:uid="{00000000-0010-0000-1E00-000003000000}" name="Local" dataDxfId="2407" dataCellStyle="Currency"/>
    <tableColumn id="4" xr3:uid="{00000000-0010-0000-1E00-000004000000}" name="State" dataDxfId="2406" dataCellStyle="Currency"/>
    <tableColumn id="5" xr3:uid="{00000000-0010-0000-1E00-000005000000}" name="State and Local" dataDxfId="2405"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2" altTextSummary="In this table, users will enter their budget amounts for Year 2. The column headers for the first three columns are unlocked and can be edited. If the LEA cannot separately budget for state and local funds, leave the Local column blank."/>
    </ext>
  </extLst>
</table>
</file>

<file path=xl/tables/table3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8" xr:uid="{00000000-000C-0000-FFFF-FFFF35010000}" name="LocalPerCapitaComplianceYear3" displayName="LocalPerCapitaComplianceYear3" ref="E26:F31" headerRowCount="0" totalsRowShown="0" headerRowBorderDxfId="492" tableBorderDxfId="491" totalsRowBorderDxfId="490">
  <tableColumns count="2">
    <tableColumn id="1" xr3:uid="{00000000-0010-0000-3501-000001000000}" name="Column1" headerRowDxfId="489" dataDxfId="488"/>
    <tableColumn id="2" xr3:uid="{00000000-0010-0000-3501-000002000000}" name="Column2" headerRowDxfId="487" dataDxfId="486"/>
  </tableColumns>
  <tableStyleInfo name="TableStyleLight18" showFirstColumn="0" showLastColumn="0" showRowStripes="0" showColumnStripes="0"/>
  <extLst>
    <ext xmlns:x14="http://schemas.microsoft.com/office/spreadsheetml/2009/9/main" uri="{504A1905-F514-4f6f-8877-14C23A59335A}">
      <x14:table altText="Year 3 Compliance: Local Funds Per Capita" altTextSummary="This table displays information for Year 3 for the Compliance Standard for the Local Funds Per Capita method. The final row in the table displays the MOE result for Year 3."/>
    </ext>
  </extLst>
</table>
</file>

<file path=xl/tables/table3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9" xr:uid="{00000000-000C-0000-FFFF-FFFF36010000}" name="LocalPerCapitaEligibilityYear4" displayName="LocalPerCapitaEligibilityYear4" ref="A34:B39" headerRowCount="0" totalsRowShown="0" headerRowBorderDxfId="485" tableBorderDxfId="484" totalsRowBorderDxfId="483">
  <tableColumns count="2">
    <tableColumn id="1" xr3:uid="{00000000-0010-0000-3601-000001000000}" name="Column1" headerRowDxfId="482" dataDxfId="481"/>
    <tableColumn id="2" xr3:uid="{00000000-0010-0000-3601-000002000000}" name="Column2" headerRowDxfId="480" dataDxfId="479"/>
  </tableColumns>
  <tableStyleInfo name="TableStyleLight18" showFirstColumn="0" showLastColumn="0" showRowStripes="0" showColumnStripes="0"/>
  <extLst>
    <ext xmlns:x14="http://schemas.microsoft.com/office/spreadsheetml/2009/9/main" uri="{504A1905-F514-4f6f-8877-14C23A59335A}">
      <x14:table altText="Year 4 Eligibility: Local Funds Per Capita" altTextSummary="This table displays information for Year 4 for the Eligibility Standard for the Local Funds Per Capita method. The final row in the table displays the MOE result for Year 4."/>
    </ext>
  </extLst>
</table>
</file>

<file path=xl/tables/table3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0" xr:uid="{00000000-000C-0000-FFFF-FFFF37010000}" name="LocalPerCapitaComplianceYear4" displayName="LocalPerCapitaComplianceYear4" ref="E34:F39" headerRowCount="0" totalsRowShown="0" headerRowBorderDxfId="478" tableBorderDxfId="477" totalsRowBorderDxfId="476">
  <tableColumns count="2">
    <tableColumn id="1" xr3:uid="{00000000-0010-0000-3701-000001000000}" name="Column1" headerRowDxfId="475" dataDxfId="474"/>
    <tableColumn id="2" xr3:uid="{00000000-0010-0000-3701-000002000000}" name="Column2" headerRowDxfId="473" dataDxfId="472"/>
  </tableColumns>
  <tableStyleInfo name="TableStyleLight18" showFirstColumn="0" showLastColumn="0" showRowStripes="0" showColumnStripes="0"/>
  <extLst>
    <ext xmlns:x14="http://schemas.microsoft.com/office/spreadsheetml/2009/9/main" uri="{504A1905-F514-4f6f-8877-14C23A59335A}">
      <x14:table altText="Year 4 Compliance: Local Funds Per Capita" altTextSummary="This table displays information for Year 4 for the Compliance Standard for the Local Funds Per Capita method. The final row in the table displays the MOE result for Year 4."/>
    </ext>
  </extLst>
</table>
</file>

<file path=xl/tables/table3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1" xr:uid="{00000000-000C-0000-FFFF-FFFF38010000}" name="LocalPerCapitaEligibilityYear5" displayName="LocalPerCapitaEligibilityYear5" ref="A42:B47" headerRowCount="0" totalsRowShown="0" headerRowBorderDxfId="471" tableBorderDxfId="470" totalsRowBorderDxfId="469">
  <tableColumns count="2">
    <tableColumn id="1" xr3:uid="{00000000-0010-0000-3801-000001000000}" name="Column1" headerRowDxfId="468" dataDxfId="467"/>
    <tableColumn id="2" xr3:uid="{00000000-0010-0000-3801-000002000000}" name="Column2" headerRowDxfId="466" dataDxfId="465"/>
  </tableColumns>
  <tableStyleInfo name="TableStyleLight18" showFirstColumn="0" showLastColumn="0" showRowStripes="0" showColumnStripes="0"/>
  <extLst>
    <ext xmlns:x14="http://schemas.microsoft.com/office/spreadsheetml/2009/9/main" uri="{504A1905-F514-4f6f-8877-14C23A59335A}">
      <x14:table altText="Year 5 Eligibility: Local Funds Per Capita" altTextSummary="This table displays information for Year 5 for the Eligibility Standard for the Local Funds Per Capita method. The final row in the table displays the MOE result for Year 5."/>
    </ext>
  </extLst>
</table>
</file>

<file path=xl/tables/table3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2" xr:uid="{00000000-000C-0000-FFFF-FFFF39010000}" name="LocalPerCapitaComplianceYear5" displayName="LocalPerCapitaComplianceYear5" ref="E42:F47" headerRowCount="0" totalsRowShown="0" headerRowBorderDxfId="464" tableBorderDxfId="463" totalsRowBorderDxfId="462">
  <tableColumns count="2">
    <tableColumn id="1" xr3:uid="{00000000-0010-0000-3901-000001000000}" name="Column1" headerRowDxfId="461" dataDxfId="460"/>
    <tableColumn id="2" xr3:uid="{00000000-0010-0000-3901-000002000000}" name="Column2" headerRowDxfId="459" dataDxfId="458"/>
  </tableColumns>
  <tableStyleInfo name="TableStyleLight18" showFirstColumn="0" showLastColumn="0" showRowStripes="0" showColumnStripes="0"/>
  <extLst>
    <ext xmlns:x14="http://schemas.microsoft.com/office/spreadsheetml/2009/9/main" uri="{504A1905-F514-4f6f-8877-14C23A59335A}">
      <x14:table altText="Year 5 Compliance: Local Funds Per Capita" altTextSummary="This table displays information for Year 5 for the Compliance Standard for the Local Funds Per Capita method. The final row in the table displays the MOE result for Year 5."/>
    </ext>
  </extLst>
</table>
</file>

<file path=xl/tables/table3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3" xr:uid="{00000000-000C-0000-FFFF-FFFF3A010000}" name="LocalPerCapitaEligibilityYear6" displayName="LocalPerCapitaEligibilityYear6" ref="A50:B55" headerRowCount="0" totalsRowShown="0" headerRowBorderDxfId="457" tableBorderDxfId="456" totalsRowBorderDxfId="455">
  <tableColumns count="2">
    <tableColumn id="1" xr3:uid="{00000000-0010-0000-3A01-000001000000}" name="Column1" headerRowDxfId="454" dataDxfId="453"/>
    <tableColumn id="2" xr3:uid="{00000000-0010-0000-3A01-000002000000}" name="Column2" headerRowDxfId="452" dataDxfId="451"/>
  </tableColumns>
  <tableStyleInfo name="TableStyleLight18" showFirstColumn="0" showLastColumn="0" showRowStripes="0" showColumnStripes="0"/>
  <extLst>
    <ext xmlns:x14="http://schemas.microsoft.com/office/spreadsheetml/2009/9/main" uri="{504A1905-F514-4f6f-8877-14C23A59335A}">
      <x14:table altText="Year 6 Eligibility: Local Funds Per Capita" altTextSummary="This table displays information for Year 6 for the Eligibility Standard for the Local Funds Per Capita method. The final row in the table displays the MOE result for Year 6."/>
    </ext>
  </extLst>
</table>
</file>

<file path=xl/tables/table3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4" xr:uid="{00000000-000C-0000-FFFF-FFFF3B010000}" name="LocalPerCapitaComplianceYear6" displayName="LocalPerCapitaComplianceYear6" ref="E50:F55" headerRowCount="0" totalsRowShown="0" headerRowBorderDxfId="450" tableBorderDxfId="449" totalsRowBorderDxfId="448">
  <tableColumns count="2">
    <tableColumn id="1" xr3:uid="{00000000-0010-0000-3B01-000001000000}" name="Column1" headerRowDxfId="447" dataDxfId="446"/>
    <tableColumn id="2" xr3:uid="{00000000-0010-0000-3B01-000002000000}" name="Column2" headerRowDxfId="445" dataDxfId="444"/>
  </tableColumns>
  <tableStyleInfo name="TableStyleLight18" showFirstColumn="0" showLastColumn="0" showRowStripes="0" showColumnStripes="0"/>
  <extLst>
    <ext xmlns:x14="http://schemas.microsoft.com/office/spreadsheetml/2009/9/main" uri="{504A1905-F514-4f6f-8877-14C23A59335A}">
      <x14:table altText="Year 6 Compliance: Local Funds Per Capita" altTextSummary="This table displays information for Year 6 for the Compliance Standard for the Local Funds Per Capita method. The final row in the table displays the MOE result for Year 6."/>
    </ext>
  </extLst>
</table>
</file>

<file path=xl/tables/table3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5" xr:uid="{00000000-000C-0000-FFFF-FFFF3C010000}" name="LocalPerCapitaEligibilityYear7" displayName="LocalPerCapitaEligibilityYear7" ref="A58:B63" headerRowCount="0" totalsRowShown="0" headerRowBorderDxfId="443" tableBorderDxfId="442" totalsRowBorderDxfId="441">
  <tableColumns count="2">
    <tableColumn id="1" xr3:uid="{00000000-0010-0000-3C01-000001000000}" name="Column1" headerRowDxfId="440" dataDxfId="439"/>
    <tableColumn id="2" xr3:uid="{00000000-0010-0000-3C01-000002000000}" name="Column2" headerRowDxfId="438" dataDxfId="437"/>
  </tableColumns>
  <tableStyleInfo name="TableStyleLight18" showFirstColumn="0" showLastColumn="0" showRowStripes="0" showColumnStripes="0"/>
  <extLst>
    <ext xmlns:x14="http://schemas.microsoft.com/office/spreadsheetml/2009/9/main" uri="{504A1905-F514-4f6f-8877-14C23A59335A}">
      <x14:table altText="Year 7 Eligibility: Local Funds Per Capita" altTextSummary="This table displays information for Year 7 for the Eligibility Standard for the Local Funds Per Capita method. The final row in the table displays the MOE result for Year 7."/>
    </ext>
  </extLst>
</table>
</file>

<file path=xl/tables/table3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6" xr:uid="{00000000-000C-0000-FFFF-FFFF3D010000}" name="LocalPerCapitaComplianceYear7" displayName="LocalPerCapitaComplianceYear7" ref="E58:F63" headerRowCount="0" totalsRowShown="0" headerRowBorderDxfId="436" tableBorderDxfId="435" totalsRowBorderDxfId="434">
  <tableColumns count="2">
    <tableColumn id="1" xr3:uid="{00000000-0010-0000-3D01-000001000000}" name="Column1" headerRowDxfId="433" dataDxfId="432"/>
    <tableColumn id="2" xr3:uid="{00000000-0010-0000-3D01-000002000000}" name="Column2" headerRowDxfId="431" dataDxfId="430"/>
  </tableColumns>
  <tableStyleInfo name="TableStyleLight18" showFirstColumn="0" showLastColumn="0" showRowStripes="0" showColumnStripes="0"/>
  <extLst>
    <ext xmlns:x14="http://schemas.microsoft.com/office/spreadsheetml/2009/9/main" uri="{504A1905-F514-4f6f-8877-14C23A59335A}">
      <x14:table altText="Year 7 Compliance: Local Funds Per Capita" altTextSummary="This table displays information for Year 7 for the Compliance Standard for the Local Funds Per Capita method. The final row in the table displays the MOE result for Year 7."/>
    </ext>
  </extLst>
</table>
</file>

<file path=xl/tables/table3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7" xr:uid="{00000000-000C-0000-FFFF-FFFF3E010000}" name="LocalPerCapitaEligibilityYear8" displayName="LocalPerCapitaEligibilityYear8" ref="A66:B71" headerRowCount="0" totalsRowShown="0" headerRowBorderDxfId="429" tableBorderDxfId="428" totalsRowBorderDxfId="427">
  <tableColumns count="2">
    <tableColumn id="1" xr3:uid="{00000000-0010-0000-3E01-000001000000}" name="Column1" headerRowDxfId="426" dataDxfId="425"/>
    <tableColumn id="2" xr3:uid="{00000000-0010-0000-3E01-000002000000}" name="Column2" headerRowDxfId="424" dataDxfId="423"/>
  </tableColumns>
  <tableStyleInfo name="TableStyleLight18" showFirstColumn="0" showLastColumn="0" showRowStripes="0" showColumnStripes="0"/>
  <extLst>
    <ext xmlns:x14="http://schemas.microsoft.com/office/spreadsheetml/2009/9/main" uri="{504A1905-F514-4f6f-8877-14C23A59335A}">
      <x14:table altText="Year 8 Eligibility: Local Funds Per Capita" altTextSummary="This table displays information for Year 8 for the Eligibility Standard for the Local Funds Per Capita method. The final row in the table displays the MOE result for Year 8."/>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F000000}" name="ExpendituresYear2" displayName="ExpendituresYear2" ref="H4:M31" totalsRowShown="0" headerRowDxfId="2404" tableBorderDxfId="2403">
  <tableColumns count="6">
    <tableColumn id="1" xr3:uid="{00000000-0010-0000-1F00-000001000000}" name="Object Description" dataDxfId="2402"/>
    <tableColumn id="2" xr3:uid="{00000000-0010-0000-1F00-000002000000}" name="Code" dataDxfId="2401"/>
    <tableColumn id="6" xr3:uid="{00000000-0010-0000-1F00-000006000000}" name="Code 2" dataDxfId="2400"/>
    <tableColumn id="3" xr3:uid="{00000000-0010-0000-1F00-000003000000}" name="Local" dataDxfId="2399" dataCellStyle="Currency"/>
    <tableColumn id="4" xr3:uid="{00000000-0010-0000-1F00-000004000000}" name="State" dataDxfId="2398" dataCellStyle="Currency"/>
    <tableColumn id="5" xr3:uid="{00000000-0010-0000-1F00-000005000000}" name="State and Local" dataDxfId="2397"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2" altTextSummary="In this table, users will enter the LEA's final expenditures for Year 2. The column headers for the first three columns are unlocked and can be edited. If the LEA cannot separately budget for state and local funds, leave the Local column blank."/>
    </ext>
  </extLst>
</table>
</file>

<file path=xl/tables/table3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8" xr:uid="{00000000-000C-0000-FFFF-FFFF3F010000}" name="LocalPerCapitaComplianceYear8" displayName="LocalPerCapitaComplianceYear8" ref="E66:F71" headerRowCount="0" totalsRowShown="0" headerRowBorderDxfId="422" tableBorderDxfId="421" totalsRowBorderDxfId="420">
  <tableColumns count="2">
    <tableColumn id="1" xr3:uid="{00000000-0010-0000-3F01-000001000000}" name="Column1" headerRowDxfId="419" dataDxfId="418"/>
    <tableColumn id="2" xr3:uid="{00000000-0010-0000-3F01-000002000000}" name="Column2" headerRowDxfId="417" dataDxfId="416"/>
  </tableColumns>
  <tableStyleInfo name="TableStyleLight18" showFirstColumn="0" showLastColumn="0" showRowStripes="0" showColumnStripes="0"/>
  <extLst>
    <ext xmlns:x14="http://schemas.microsoft.com/office/spreadsheetml/2009/9/main" uri="{504A1905-F514-4f6f-8877-14C23A59335A}">
      <x14:table altText="Year 8 Compliance: Local Funds Per Capita" altTextSummary="This table displays information for Year 8 for the Compliance Standard for the Local Funds Per Capita method. The final row in the table displays the MOE result for Year 8."/>
    </ext>
  </extLst>
</table>
</file>

<file path=xl/tables/table3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9" xr:uid="{00000000-000C-0000-FFFF-FFFF40010000}" name="LocalPerCapitaEligibilityYear9" displayName="LocalPerCapitaEligibilityYear9" ref="A74:B79" headerRowCount="0" totalsRowShown="0" headerRowBorderDxfId="415" tableBorderDxfId="414" totalsRowBorderDxfId="413">
  <tableColumns count="2">
    <tableColumn id="1" xr3:uid="{00000000-0010-0000-4001-000001000000}" name="Column1" headerRowDxfId="412" dataDxfId="411"/>
    <tableColumn id="2" xr3:uid="{00000000-0010-0000-4001-000002000000}" name="Column2" headerRowDxfId="410" dataDxfId="409"/>
  </tableColumns>
  <tableStyleInfo name="TableStyleLight18" showFirstColumn="0" showLastColumn="0" showRowStripes="0" showColumnStripes="0"/>
  <extLst>
    <ext xmlns:x14="http://schemas.microsoft.com/office/spreadsheetml/2009/9/main" uri="{504A1905-F514-4f6f-8877-14C23A59335A}">
      <x14:table altText="Year 9 Eligibility: Local Funds Per Capita" altTextSummary="This table displays information for Year 9 for the Eligibility Standard for the Local Funds Per Capita method. The final row in the table displays the MOE result for Year 9."/>
    </ext>
  </extLst>
</table>
</file>

<file path=xl/tables/table3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0" xr:uid="{00000000-000C-0000-FFFF-FFFF41010000}" name="LocalPerCapitaComplianceYear9" displayName="LocalPerCapitaComplianceYear9" ref="E74:F79" headerRowCount="0" totalsRowShown="0" headerRowBorderDxfId="408" tableBorderDxfId="407" totalsRowBorderDxfId="406">
  <tableColumns count="2">
    <tableColumn id="1" xr3:uid="{00000000-0010-0000-4101-000001000000}" name="Column1" headerRowDxfId="405" dataDxfId="404"/>
    <tableColumn id="2" xr3:uid="{00000000-0010-0000-4101-000002000000}" name="Column2" headerRowDxfId="403" dataDxfId="402"/>
  </tableColumns>
  <tableStyleInfo name="TableStyleLight18" showFirstColumn="0" showLastColumn="0" showRowStripes="0" showColumnStripes="0"/>
  <extLst>
    <ext xmlns:x14="http://schemas.microsoft.com/office/spreadsheetml/2009/9/main" uri="{504A1905-F514-4f6f-8877-14C23A59335A}">
      <x14:table altText="Year 9 Compliance: Local Funds Per Capita" altTextSummary="This table displays information for Year 9 for the Compliance Standard for the Local Funds Per Capita method. The final row in the table displays the MOE result for Year 9."/>
    </ext>
  </extLst>
</table>
</file>

<file path=xl/tables/table3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1" xr:uid="{00000000-000C-0000-FFFF-FFFF42010000}" name="LocalPerCapitaEligibilityYear10" displayName="LocalPerCapitaEligibilityYear10" ref="A82:B87" headerRowCount="0" totalsRowShown="0" headerRowBorderDxfId="401" tableBorderDxfId="400" totalsRowBorderDxfId="399">
  <tableColumns count="2">
    <tableColumn id="1" xr3:uid="{00000000-0010-0000-4201-000001000000}" name="Column1" headerRowDxfId="398" dataDxfId="397"/>
    <tableColumn id="2" xr3:uid="{00000000-0010-0000-4201-000002000000}" name="Column2" headerRowDxfId="396" dataDxfId="395"/>
  </tableColumns>
  <tableStyleInfo name="TableStyleLight18" showFirstColumn="0" showLastColumn="0" showRowStripes="0" showColumnStripes="0"/>
  <extLst>
    <ext xmlns:x14="http://schemas.microsoft.com/office/spreadsheetml/2009/9/main" uri="{504A1905-F514-4f6f-8877-14C23A59335A}">
      <x14:table altText="Year 10 Eligibility: Local Funds Per Capita" altTextSummary="This table displays information for Year 10 for the Eligibility Standard for the Local Funds Per Capita method. The final row in the table displays the MOE result for Year 10."/>
    </ext>
  </extLst>
</table>
</file>

<file path=xl/tables/table3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2" xr:uid="{00000000-000C-0000-FFFF-FFFF43010000}" name="LocalPerCapitaComplianceYear10" displayName="LocalPerCapitaComplianceYear10" ref="E82:F87" headerRowCount="0" totalsRowShown="0" headerRowBorderDxfId="394" tableBorderDxfId="393" totalsRowBorderDxfId="392">
  <tableColumns count="2">
    <tableColumn id="1" xr3:uid="{00000000-0010-0000-4301-000001000000}" name="Column1" headerRowDxfId="391" dataDxfId="390"/>
    <tableColumn id="2" xr3:uid="{00000000-0010-0000-4301-000002000000}" name="Column2" headerRowDxfId="389" dataDxfId="388"/>
  </tableColumns>
  <tableStyleInfo name="TableStyleLight18" showFirstColumn="0" showLastColumn="0" showRowStripes="0" showColumnStripes="0"/>
  <extLst>
    <ext xmlns:x14="http://schemas.microsoft.com/office/spreadsheetml/2009/9/main" uri="{504A1905-F514-4f6f-8877-14C23A59335A}">
      <x14:table altText="Year 10 Compliance: Local Funds Per Capita" altTextSummary="This table displays information for Year 10 for the Compliance Standard for the Local Funds Per Capita method. The final row in the table displays the MOE result for Year 10."/>
    </ext>
  </extLst>
</table>
</file>

<file path=xl/tables/table3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3" xr:uid="{00000000-000C-0000-FFFF-FFFF44010000}" name="LocalPerCapitaEligibilityYear11" displayName="LocalPerCapitaEligibilityYear11" ref="A90:B95" headerRowCount="0" totalsRowShown="0" headerRowBorderDxfId="387" tableBorderDxfId="386" totalsRowBorderDxfId="385">
  <tableColumns count="2">
    <tableColumn id="1" xr3:uid="{00000000-0010-0000-4401-000001000000}" name="Column1" headerRowDxfId="384" dataDxfId="383"/>
    <tableColumn id="2" xr3:uid="{00000000-0010-0000-4401-000002000000}" name="Column2" headerRowDxfId="382" dataDxfId="381"/>
  </tableColumns>
  <tableStyleInfo name="TableStyleLight18" showFirstColumn="0" showLastColumn="0" showRowStripes="0" showColumnStripes="0"/>
  <extLst>
    <ext xmlns:x14="http://schemas.microsoft.com/office/spreadsheetml/2009/9/main" uri="{504A1905-F514-4f6f-8877-14C23A59335A}">
      <x14:table altText="Year 11 Eligibility: Local Funds Per Capita" altTextSummary="This table displays information for Year 11 for the Eligibility Standard for the Local Funds Per Capita method. The final row in the table displays the MOE result for Year 11."/>
    </ext>
  </extLst>
</table>
</file>

<file path=xl/tables/table3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4" xr:uid="{00000000-000C-0000-FFFF-FFFF45010000}" name="StateLocalPerCapitaEligibilityPriorToYear1" displayName="StateLocalPerCapitaEligibilityPriorToYear1" ref="A4:B7" headerRowCount="0" totalsRowShown="0" headerRowDxfId="380" headerRowBorderDxfId="379" tableBorderDxfId="378" totalsRowBorderDxfId="377">
  <tableColumns count="2">
    <tableColumn id="1" xr3:uid="{00000000-0010-0000-4501-000001000000}" name="Column1" headerRowDxfId="376"/>
    <tableColumn id="2" xr3:uid="{00000000-0010-0000-4501-000002000000}" name="Column2" headerRowDxfId="375"/>
  </tableColumns>
  <tableStyleInfo name="TableStyleLight18" showFirstColumn="0" showLastColumn="0" showRowStripes="0" showColumnStripes="0"/>
  <extLst>
    <ext xmlns:x14="http://schemas.microsoft.com/office/spreadsheetml/2009/9/main" uri="{504A1905-F514-4f6f-8877-14C23A59335A}">
      <x14:table altText="Prior to Year 1: State &amp; Local Funds Per Capita" altTextSummary="This table displays information for the period prior to Year 1 for the State &amp; Local Funds Per Capita method."/>
    </ext>
  </extLst>
</table>
</file>

<file path=xl/tables/table3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5" xr:uid="{00000000-000C-0000-FFFF-FFFF46010000}" name="StateLocalPerCapitaPriorToYear1" displayName="StateLocalPerCapitaPriorToYear1" ref="E4:F7" headerRowCount="0" totalsRowShown="0" headerRowDxfId="374" headerRowBorderDxfId="373" tableBorderDxfId="372" totalsRowBorderDxfId="371">
  <tableColumns count="2">
    <tableColumn id="1" xr3:uid="{00000000-0010-0000-4601-000001000000}" name="Column1" headerRowDxfId="370"/>
    <tableColumn id="2" xr3:uid="{00000000-0010-0000-4601-000002000000}" name="Column2" headerRowDxfId="369"/>
  </tableColumns>
  <tableStyleInfo name="TableStyleLight18" showFirstColumn="0" showLastColumn="0" showRowStripes="0" showColumnStripes="0"/>
  <extLst>
    <ext xmlns:x14="http://schemas.microsoft.com/office/spreadsheetml/2009/9/main" uri="{504A1905-F514-4f6f-8877-14C23A59335A}">
      <x14:table altText="Prior to Year 1: State &amp; Local Funds Per Capita" altTextSummary="This table displays information for the period prior to Year 1 for the State &amp; Local Funds Per Capita method."/>
    </ext>
  </extLst>
</table>
</file>

<file path=xl/tables/table3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6" xr:uid="{00000000-000C-0000-FFFF-FFFF47010000}" name="StateLocalPerCapitaComplianceYear1" displayName="StateLocalPerCapitaComplianceYear1" ref="E10:F15" headerRowCount="0" totalsRowShown="0" headerRowBorderDxfId="368" tableBorderDxfId="367" totalsRowBorderDxfId="366">
  <tableColumns count="2">
    <tableColumn id="1" xr3:uid="{00000000-0010-0000-4701-000001000000}" name="Column1" headerRowDxfId="365" dataDxfId="364"/>
    <tableColumn id="2" xr3:uid="{00000000-0010-0000-4701-000002000000}" name="Column2" headerRowDxfId="363" dataDxfId="362"/>
  </tableColumns>
  <tableStyleInfo name="TableStyleLight18" showFirstColumn="0" showLastColumn="0" showRowStripes="0" showColumnStripes="0"/>
  <extLst>
    <ext xmlns:x14="http://schemas.microsoft.com/office/spreadsheetml/2009/9/main" uri="{504A1905-F514-4f6f-8877-14C23A59335A}">
      <x14:table altText="Year 1 Compliance: State &amp; Local Funds Per Capita" altTextSummary="This table displays information for Year 1 for the Compliance Standard for the State &amp; Local Funds Per Capita method. The final row in the table displays the MOE result for Year 1."/>
    </ext>
  </extLst>
</table>
</file>

<file path=xl/tables/table3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7" xr:uid="{00000000-000C-0000-FFFF-FFFF48010000}" name="StateLocalPerCapitaEligibilityYear2" displayName="StateLocalPerCapitaEligibilityYear2" ref="A18:B23" headerRowCount="0" totalsRowShown="0" headerRowBorderDxfId="361" tableBorderDxfId="360" totalsRowBorderDxfId="359">
  <tableColumns count="2">
    <tableColumn id="1" xr3:uid="{00000000-0010-0000-4801-000001000000}" name="Column1" headerRowDxfId="358" dataDxfId="357"/>
    <tableColumn id="2" xr3:uid="{00000000-0010-0000-4801-000002000000}" name="Column2" headerRowDxfId="356" dataDxfId="355"/>
  </tableColumns>
  <tableStyleInfo name="TableStyleLight18" showFirstColumn="0" showLastColumn="0" showRowStripes="0" showColumnStripes="0"/>
  <extLst>
    <ext xmlns:x14="http://schemas.microsoft.com/office/spreadsheetml/2009/9/main" uri="{504A1905-F514-4f6f-8877-14C23A59335A}">
      <x14:table altText="Year 2 Eligibility: State &amp; Local Funds Per Capita" altTextSummary="This table displays information for Year 2 for the Eligibility Standard for the State &amp; Local Funds Per Capita method. The final row in the table displays the MOE result for Year 2."/>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20000000}" name="ExcADepartingDataYear2Budget" displayName="ExcADepartingDataYear2Budget" ref="A7:F13" totalsRowShown="0" headerRowDxfId="2396" dataDxfId="2394" headerRowBorderDxfId="2395" tableBorderDxfId="2393">
  <tableColumns count="6">
    <tableColumn id="1" xr3:uid="{00000000-0010-0000-2000-000001000000}" name="Position Title" dataDxfId="2392"/>
    <tableColumn id="2" xr3:uid="{00000000-0010-0000-2000-000002000000}" name="Employee Name" dataDxfId="2391"/>
    <tableColumn id="3" xr3:uid="{00000000-0010-0000-2000-000003000000}" name="Reason for Leaving" dataDxfId="2390"/>
    <tableColumn id="4" xr3:uid="{00000000-0010-0000-2000-000004000000}" name="Salary" dataDxfId="2389" dataCellStyle="Currency"/>
    <tableColumn id="5" xr3:uid="{00000000-0010-0000-2000-000005000000}" name="Benefits" dataDxfId="2388" dataCellStyle="Currency"/>
    <tableColumn id="8" xr3:uid="{00000000-0010-0000-2000-000008000000}" name="Total Budget" dataDxfId="2387"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2 Eligiblity Standard" altTextSummary="Users can enter data in this table for any departing personnel projected for Year 2. This table is for the eligiblity standard and is based on budget amounts."/>
    </ext>
  </extLst>
</table>
</file>

<file path=xl/tables/table3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8" xr:uid="{00000000-000C-0000-FFFF-FFFF49010000}" name="StateLocalPerCapitaComplianceYear2" displayName="StateLocalPerCapitaComplianceYear2" ref="E18:F23" headerRowCount="0" totalsRowShown="0" headerRowBorderDxfId="354" tableBorderDxfId="353" totalsRowBorderDxfId="352">
  <tableColumns count="2">
    <tableColumn id="1" xr3:uid="{00000000-0010-0000-4901-000001000000}" name="Column1" headerRowDxfId="351" dataDxfId="350"/>
    <tableColumn id="2" xr3:uid="{00000000-0010-0000-4901-000002000000}" name="Column2" headerRowDxfId="349" dataDxfId="348"/>
  </tableColumns>
  <tableStyleInfo name="TableStyleLight18" showFirstColumn="0" showLastColumn="0" showRowStripes="0" showColumnStripes="0"/>
  <extLst>
    <ext xmlns:x14="http://schemas.microsoft.com/office/spreadsheetml/2009/9/main" uri="{504A1905-F514-4f6f-8877-14C23A59335A}">
      <x14:table altText="Year 2 Compliance: State &amp; Local Funds Per Capita" altTextSummary="This table displays information for Year 2 for the Compliance Standard for the State &amp; Local Funds Per Capita method. The final row in the table displays the MOE result for Year 2."/>
    </ext>
  </extLst>
</table>
</file>

<file path=xl/tables/table3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9" xr:uid="{00000000-000C-0000-FFFF-FFFF4A010000}" name="StateLocalPerCapitaEligibilityYear3" displayName="StateLocalPerCapitaEligibilityYear3" ref="A26:B31" headerRowCount="0" totalsRowShown="0" headerRowBorderDxfId="347" tableBorderDxfId="346" totalsRowBorderDxfId="345">
  <tableColumns count="2">
    <tableColumn id="1" xr3:uid="{00000000-0010-0000-4A01-000001000000}" name="Column1" headerRowDxfId="344" dataDxfId="343"/>
    <tableColumn id="2" xr3:uid="{00000000-0010-0000-4A01-000002000000}" name="Column2" headerRowDxfId="342" dataDxfId="341"/>
  </tableColumns>
  <tableStyleInfo name="TableStyleLight18" showFirstColumn="0" showLastColumn="0" showRowStripes="0" showColumnStripes="0"/>
  <extLst>
    <ext xmlns:x14="http://schemas.microsoft.com/office/spreadsheetml/2009/9/main" uri="{504A1905-F514-4f6f-8877-14C23A59335A}">
      <x14:table altText="Year 3 Eligibility: State &amp; Local Funds Per Capita" altTextSummary="This table displays information for Year 3 for the Eligibility Standard for the State &amp; Local Funds Per Capita method. The final row in the table displays the MOE result for Year 3."/>
    </ext>
  </extLst>
</table>
</file>

<file path=xl/tables/table3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0" xr:uid="{00000000-000C-0000-FFFF-FFFF4B010000}" name="StateLocalPerCapitaComplianceYear3" displayName="StateLocalPerCapitaComplianceYear3" ref="E26:F31" headerRowCount="0" totalsRowShown="0" headerRowBorderDxfId="340" tableBorderDxfId="339" totalsRowBorderDxfId="338">
  <tableColumns count="2">
    <tableColumn id="1" xr3:uid="{00000000-0010-0000-4B01-000001000000}" name="Column1" headerRowDxfId="337" dataDxfId="336"/>
    <tableColumn id="2" xr3:uid="{00000000-0010-0000-4B01-000002000000}" name="Column2" headerRowDxfId="335" dataDxfId="334"/>
  </tableColumns>
  <tableStyleInfo name="TableStyleLight18" showFirstColumn="0" showLastColumn="0" showRowStripes="0" showColumnStripes="0"/>
  <extLst>
    <ext xmlns:x14="http://schemas.microsoft.com/office/spreadsheetml/2009/9/main" uri="{504A1905-F514-4f6f-8877-14C23A59335A}">
      <x14:table altText="Year 3 Compliance: State &amp; Local Funds Per Capita" altTextSummary="This table displays information for Year 3 for the Compliance Standard for the State &amp; Local Funds Per Capita method. The final row in the table displays the MOE result for Year 3."/>
    </ext>
  </extLst>
</table>
</file>

<file path=xl/tables/table3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1" xr:uid="{00000000-000C-0000-FFFF-FFFF4C010000}" name="StateLocalPerCapitaEligibilityYear4" displayName="StateLocalPerCapitaEligibilityYear4" ref="A34:B39" headerRowCount="0" totalsRowShown="0" headerRowBorderDxfId="333" tableBorderDxfId="332" totalsRowBorderDxfId="331">
  <tableColumns count="2">
    <tableColumn id="1" xr3:uid="{00000000-0010-0000-4C01-000001000000}" name="Column1" headerRowDxfId="330" dataDxfId="329"/>
    <tableColumn id="2" xr3:uid="{00000000-0010-0000-4C01-000002000000}" name="Column2" headerRowDxfId="328" dataDxfId="327"/>
  </tableColumns>
  <tableStyleInfo name="TableStyleLight18" showFirstColumn="0" showLastColumn="0" showRowStripes="0" showColumnStripes="0"/>
  <extLst>
    <ext xmlns:x14="http://schemas.microsoft.com/office/spreadsheetml/2009/9/main" uri="{504A1905-F514-4f6f-8877-14C23A59335A}">
      <x14:table altText="Year 4 Eligibility: State &amp; Local Funds Per Capita" altTextSummary="This table displays information for Year 4 for the Eligibility Standard for the State &amp; Local Funds Per Capita method. The final row in the table displays the MOE result for Year 4."/>
    </ext>
  </extLst>
</table>
</file>

<file path=xl/tables/table3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3" xr:uid="{00000000-000C-0000-FFFF-FFFF4D010000}" name="StateLocalPerCapitaComplianceYear4" displayName="StateLocalPerCapitaComplianceYear4" ref="E34:F39" headerRowCount="0" totalsRowShown="0" headerRowBorderDxfId="326" tableBorderDxfId="325" totalsRowBorderDxfId="324">
  <tableColumns count="2">
    <tableColumn id="1" xr3:uid="{00000000-0010-0000-4D01-000001000000}" name="Column1" headerRowDxfId="323" dataDxfId="322"/>
    <tableColumn id="2" xr3:uid="{00000000-0010-0000-4D01-000002000000}" name="Column2" headerRowDxfId="321" dataDxfId="320"/>
  </tableColumns>
  <tableStyleInfo name="TableStyleLight18" showFirstColumn="0" showLastColumn="0" showRowStripes="0" showColumnStripes="0"/>
  <extLst>
    <ext xmlns:x14="http://schemas.microsoft.com/office/spreadsheetml/2009/9/main" uri="{504A1905-F514-4f6f-8877-14C23A59335A}">
      <x14:table altText="Year 4 Compliance: State &amp; Local Funds Per Capita" altTextSummary="This table displays information for Year 4 for the Compliance Standard for the State &amp; Local Funds Per Capita method. The final row in the table displays the MOE result for Year 4."/>
    </ext>
  </extLst>
</table>
</file>

<file path=xl/tables/table3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4" xr:uid="{00000000-000C-0000-FFFF-FFFF4E010000}" name="StateLocalPerCapitaEligibilityYear5" displayName="StateLocalPerCapitaEligibilityYear5" ref="A42:B47" headerRowCount="0" totalsRowShown="0" headerRowBorderDxfId="319" tableBorderDxfId="318" totalsRowBorderDxfId="317">
  <tableColumns count="2">
    <tableColumn id="1" xr3:uid="{00000000-0010-0000-4E01-000001000000}" name="Column1" headerRowDxfId="316" dataDxfId="315"/>
    <tableColumn id="2" xr3:uid="{00000000-0010-0000-4E01-000002000000}" name="Column2" headerRowDxfId="314" dataDxfId="313"/>
  </tableColumns>
  <tableStyleInfo name="TableStyleLight18" showFirstColumn="0" showLastColumn="0" showRowStripes="0" showColumnStripes="0"/>
  <extLst>
    <ext xmlns:x14="http://schemas.microsoft.com/office/spreadsheetml/2009/9/main" uri="{504A1905-F514-4f6f-8877-14C23A59335A}">
      <x14:table altText="Year 5 Eligibility: State &amp; Local Funds Per Capita" altTextSummary="This table displays information for Year 5 for the Eligibility Standard for the State &amp; Local Funds Per Capita method. The final row in the table displays the MOE result for Year 5."/>
    </ext>
  </extLst>
</table>
</file>

<file path=xl/tables/table3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5" xr:uid="{00000000-000C-0000-FFFF-FFFF4F010000}" name="StateLocalPerCapitaComplianceYear5" displayName="StateLocalPerCapitaComplianceYear5" ref="E42:F47" headerRowCount="0" totalsRowShown="0" headerRowBorderDxfId="312" tableBorderDxfId="311" totalsRowBorderDxfId="310">
  <tableColumns count="2">
    <tableColumn id="1" xr3:uid="{00000000-0010-0000-4F01-000001000000}" name="Column1" headerRowDxfId="309" dataDxfId="308"/>
    <tableColumn id="2" xr3:uid="{00000000-0010-0000-4F01-000002000000}" name="Column2" headerRowDxfId="307" dataDxfId="306"/>
  </tableColumns>
  <tableStyleInfo name="TableStyleLight18" showFirstColumn="0" showLastColumn="0" showRowStripes="0" showColumnStripes="0"/>
  <extLst>
    <ext xmlns:x14="http://schemas.microsoft.com/office/spreadsheetml/2009/9/main" uri="{504A1905-F514-4f6f-8877-14C23A59335A}">
      <x14:table altText="Year 5 Compliance: State &amp; Local Funds Per Capita" altTextSummary="This table displays information for Year 5 for the Compliance Standard for the State &amp; Local Funds Per Capita method. The final row in the table displays the MOE result for Year 5."/>
    </ext>
  </extLst>
</table>
</file>

<file path=xl/tables/table3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6" xr:uid="{00000000-000C-0000-FFFF-FFFF50010000}" name="StateLocalPerCapitaEligibilityYear6" displayName="StateLocalPerCapitaEligibilityYear6" ref="A50:B55" headerRowCount="0" totalsRowShown="0" headerRowBorderDxfId="305" tableBorderDxfId="304" totalsRowBorderDxfId="303">
  <tableColumns count="2">
    <tableColumn id="1" xr3:uid="{00000000-0010-0000-5001-000001000000}" name="Column1" headerRowDxfId="302" dataDxfId="301"/>
    <tableColumn id="2" xr3:uid="{00000000-0010-0000-5001-000002000000}" name="Column2" headerRowDxfId="300" dataDxfId="299"/>
  </tableColumns>
  <tableStyleInfo name="TableStyleLight18" showFirstColumn="0" showLastColumn="0" showRowStripes="0" showColumnStripes="0"/>
  <extLst>
    <ext xmlns:x14="http://schemas.microsoft.com/office/spreadsheetml/2009/9/main" uri="{504A1905-F514-4f6f-8877-14C23A59335A}">
      <x14:table altText="Year 6 Eligibility: State &amp; Local Funds Per Capita" altTextSummary="This table displays information for Year 6 for the Eligibility Standard for the State &amp; Local Funds Per Capita method. The final row in the table displays the MOE result for Year 6."/>
    </ext>
  </extLst>
</table>
</file>

<file path=xl/tables/table3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7" xr:uid="{00000000-000C-0000-FFFF-FFFF51010000}" name="StateLocalPerCapitaComplianceYear6" displayName="StateLocalPerCapitaComplianceYear6" ref="E50:F55" headerRowCount="0" totalsRowShown="0" headerRowBorderDxfId="298" tableBorderDxfId="297" totalsRowBorderDxfId="296">
  <tableColumns count="2">
    <tableColumn id="1" xr3:uid="{00000000-0010-0000-5101-000001000000}" name="Column1" headerRowDxfId="295" dataDxfId="294"/>
    <tableColumn id="2" xr3:uid="{00000000-0010-0000-5101-000002000000}" name="Column2" headerRowDxfId="293" dataDxfId="292"/>
  </tableColumns>
  <tableStyleInfo name="TableStyleLight18" showFirstColumn="0" showLastColumn="0" showRowStripes="0" showColumnStripes="0"/>
  <extLst>
    <ext xmlns:x14="http://schemas.microsoft.com/office/spreadsheetml/2009/9/main" uri="{504A1905-F514-4f6f-8877-14C23A59335A}">
      <x14:table altText="Year 6 Compliance: State &amp; Local Funds Per Capita" altTextSummary="This table displays information for Year 6 for the Compliance Standard for the State &amp; Local Funds Per Capita method. The final row in the table displays the MOE result for Year 6."/>
    </ext>
  </extLst>
</table>
</file>

<file path=xl/tables/table3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8" xr:uid="{00000000-000C-0000-FFFF-FFFF52010000}" name="StateLocalPerCapitaEligibilityYear7" displayName="StateLocalPerCapitaEligibilityYear7" ref="A58:B63" headerRowCount="0" totalsRowShown="0" headerRowBorderDxfId="291" tableBorderDxfId="290" totalsRowBorderDxfId="289">
  <tableColumns count="2">
    <tableColumn id="1" xr3:uid="{00000000-0010-0000-5201-000001000000}" name="Column1" headerRowDxfId="288" dataDxfId="287"/>
    <tableColumn id="2" xr3:uid="{00000000-0010-0000-5201-000002000000}" name="Column2" headerRowDxfId="286" dataDxfId="285"/>
  </tableColumns>
  <tableStyleInfo name="TableStyleLight18" showFirstColumn="0" showLastColumn="0" showRowStripes="0" showColumnStripes="0"/>
  <extLst>
    <ext xmlns:x14="http://schemas.microsoft.com/office/spreadsheetml/2009/9/main" uri="{504A1905-F514-4f6f-8877-14C23A59335A}">
      <x14:table altText="Year 7 Eligibility: State &amp; Local Funds Per Capita" altTextSummary="This table displays information for Year 7 for the Eligibility Standard for the State &amp; Local Funds Per Capita method. The final row in the table displays the MOE result for Year 7."/>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21000000}" name="ExcAReplaceDataYear2Budget" displayName="ExcAReplaceDataYear2Budget" ref="A15:F21" totalsRowShown="0" headerRowDxfId="2386" dataDxfId="2384" headerRowBorderDxfId="2385" tableBorderDxfId="2383">
  <tableColumns count="6">
    <tableColumn id="1" xr3:uid="{00000000-0010-0000-2100-000001000000}" name="Position Title" dataDxfId="2382"/>
    <tableColumn id="2" xr3:uid="{00000000-0010-0000-2100-000002000000}" name="Employee Name" dataDxfId="2381"/>
    <tableColumn id="3" xr3:uid="{00000000-0010-0000-2100-000003000000}" name="This column intentionally left blank" dataDxfId="2380"/>
    <tableColumn id="4" xr3:uid="{00000000-0010-0000-2100-000004000000}" name="Salary" dataDxfId="2379" dataCellStyle="Currency"/>
    <tableColumn id="5" xr3:uid="{00000000-0010-0000-2100-000005000000}" name="Benefits" dataDxfId="2378" dataCellStyle="Currency"/>
    <tableColumn id="8" xr3:uid="{00000000-0010-0000-2100-000008000000}" name="Total Budget" dataDxfId="2377"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2 Eligibility Standard" altTextSummary="Users can enter data in this table for any replacement personnel projected for Year 2. This table is for the eligiblity standard and is based on budget amounts."/>
    </ext>
  </extLst>
</table>
</file>

<file path=xl/tables/table3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9" xr:uid="{00000000-000C-0000-FFFF-FFFF53010000}" name="StateLocalPerCapitaComplianceYear7" displayName="StateLocalPerCapitaComplianceYear7" ref="E58:F63" headerRowCount="0" totalsRowShown="0" headerRowBorderDxfId="284" tableBorderDxfId="283" totalsRowBorderDxfId="282">
  <tableColumns count="2">
    <tableColumn id="1" xr3:uid="{00000000-0010-0000-5301-000001000000}" name="Column1" headerRowDxfId="281" dataDxfId="280"/>
    <tableColumn id="2" xr3:uid="{00000000-0010-0000-5301-000002000000}" name="Column2" headerRowDxfId="279" dataDxfId="278"/>
  </tableColumns>
  <tableStyleInfo name="TableStyleLight18" showFirstColumn="0" showLastColumn="0" showRowStripes="0" showColumnStripes="0"/>
  <extLst>
    <ext xmlns:x14="http://schemas.microsoft.com/office/spreadsheetml/2009/9/main" uri="{504A1905-F514-4f6f-8877-14C23A59335A}">
      <x14:table altText="Year 7 Compliance: State &amp; Local Funds Per Capita" altTextSummary="This table displays information for Year 7 for the Compliance Standard for the State &amp; Local Funds Per Capita method. The final row in the table displays the MOE result for Year 7."/>
    </ext>
  </extLst>
</table>
</file>

<file path=xl/tables/table3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0" xr:uid="{00000000-000C-0000-FFFF-FFFF54010000}" name="StateLocalPerCapitaEligibilityYear8" displayName="StateLocalPerCapitaEligibilityYear8" ref="A66:B71" headerRowCount="0" totalsRowShown="0" headerRowBorderDxfId="277" tableBorderDxfId="276" totalsRowBorderDxfId="275">
  <tableColumns count="2">
    <tableColumn id="1" xr3:uid="{00000000-0010-0000-5401-000001000000}" name="Column1" headerRowDxfId="274" dataDxfId="273"/>
    <tableColumn id="2" xr3:uid="{00000000-0010-0000-5401-000002000000}" name="Column2" headerRowDxfId="272" dataDxfId="271"/>
  </tableColumns>
  <tableStyleInfo name="TableStyleLight18" showFirstColumn="0" showLastColumn="0" showRowStripes="0" showColumnStripes="0"/>
  <extLst>
    <ext xmlns:x14="http://schemas.microsoft.com/office/spreadsheetml/2009/9/main" uri="{504A1905-F514-4f6f-8877-14C23A59335A}">
      <x14:table altText="Year 8 Eligibility: State &amp; Local Funds Per Capita" altTextSummary="This table displays information for Year 8 for the Eligibility Standard for the State &amp; Local Funds Per Capita method. The final row in the table displays the MOE result for Year 8."/>
    </ext>
  </extLst>
</table>
</file>

<file path=xl/tables/table3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1" xr:uid="{00000000-000C-0000-FFFF-FFFF55010000}" name="StateLocalPerCapitaComplianceYear8" displayName="StateLocalPerCapitaComplianceYear8" ref="E66:F71" headerRowCount="0" totalsRowShown="0" headerRowBorderDxfId="270" tableBorderDxfId="269" totalsRowBorderDxfId="268">
  <tableColumns count="2">
    <tableColumn id="1" xr3:uid="{00000000-0010-0000-5501-000001000000}" name="Column1" headerRowDxfId="267" dataDxfId="266"/>
    <tableColumn id="2" xr3:uid="{00000000-0010-0000-5501-000002000000}" name="Column2" headerRowDxfId="265" dataDxfId="264"/>
  </tableColumns>
  <tableStyleInfo name="TableStyleLight18" showFirstColumn="0" showLastColumn="0" showRowStripes="0" showColumnStripes="0"/>
  <extLst>
    <ext xmlns:x14="http://schemas.microsoft.com/office/spreadsheetml/2009/9/main" uri="{504A1905-F514-4f6f-8877-14C23A59335A}">
      <x14:table altText="Year 8 Compliance: State &amp; Local Funds Per Capita" altTextSummary="This table displays information for Year 8 for the Compliance Standard for the State &amp; Local Funds Per Capita method. The final row in the table displays the MOE result for Year 8."/>
    </ext>
  </extLst>
</table>
</file>

<file path=xl/tables/table3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2" xr:uid="{00000000-000C-0000-FFFF-FFFF56010000}" name="StateLocalPerCapitaEligibilityYear9" displayName="StateLocalPerCapitaEligibilityYear9" ref="A74:B79" headerRowCount="0" totalsRowShown="0" headerRowBorderDxfId="263" tableBorderDxfId="262" totalsRowBorderDxfId="261">
  <tableColumns count="2">
    <tableColumn id="1" xr3:uid="{00000000-0010-0000-5601-000001000000}" name="Column1" headerRowDxfId="260" dataDxfId="259"/>
    <tableColumn id="2" xr3:uid="{00000000-0010-0000-5601-000002000000}" name="Column2" headerRowDxfId="258" dataDxfId="257"/>
  </tableColumns>
  <tableStyleInfo name="TableStyleLight18" showFirstColumn="0" showLastColumn="0" showRowStripes="0" showColumnStripes="0"/>
  <extLst>
    <ext xmlns:x14="http://schemas.microsoft.com/office/spreadsheetml/2009/9/main" uri="{504A1905-F514-4f6f-8877-14C23A59335A}">
      <x14:table altText="Year 9 Eligibility: State &amp; Local Funds Per Capita" altTextSummary="This table displays information for Year 9 for the Eligibility Standard for the State &amp; Local Funds Per Capita method. The final row in the table displays the MOE result for Year 9."/>
    </ext>
  </extLst>
</table>
</file>

<file path=xl/tables/table3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3" xr:uid="{00000000-000C-0000-FFFF-FFFF57010000}" name="StateLocalPerCapitaComplianceYear9" displayName="StateLocalPerCapitaComplianceYear9" ref="E74:F79" headerRowCount="0" totalsRowShown="0" headerRowBorderDxfId="256" tableBorderDxfId="255" totalsRowBorderDxfId="254">
  <tableColumns count="2">
    <tableColumn id="1" xr3:uid="{00000000-0010-0000-5701-000001000000}" name="Column1" headerRowDxfId="253" dataDxfId="252"/>
    <tableColumn id="2" xr3:uid="{00000000-0010-0000-5701-000002000000}" name="Column2" headerRowDxfId="251" dataDxfId="250"/>
  </tableColumns>
  <tableStyleInfo name="TableStyleLight18" showFirstColumn="0" showLastColumn="0" showRowStripes="0" showColumnStripes="0"/>
  <extLst>
    <ext xmlns:x14="http://schemas.microsoft.com/office/spreadsheetml/2009/9/main" uri="{504A1905-F514-4f6f-8877-14C23A59335A}">
      <x14:table altText="Year 9 Compliance: State &amp; Local Funds Per Capita" altTextSummary="This table displays information for Year 9 for the Compliance Standard for the State &amp; Local Funds Per Capita method. The final row in the table displays the MOE result for Year 9."/>
    </ext>
  </extLst>
</table>
</file>

<file path=xl/tables/table3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4" xr:uid="{00000000-000C-0000-FFFF-FFFF58010000}" name="StateLocalPerCapitaEligibilityYear10" displayName="StateLocalPerCapitaEligibilityYear10" ref="A82:B87" headerRowCount="0" totalsRowShown="0" headerRowBorderDxfId="249" tableBorderDxfId="248" totalsRowBorderDxfId="247">
  <tableColumns count="2">
    <tableColumn id="1" xr3:uid="{00000000-0010-0000-5801-000001000000}" name="Column1" headerRowDxfId="246" dataDxfId="245"/>
    <tableColumn id="2" xr3:uid="{00000000-0010-0000-5801-000002000000}" name="Column2" headerRowDxfId="244" dataDxfId="243"/>
  </tableColumns>
  <tableStyleInfo name="TableStyleLight18" showFirstColumn="0" showLastColumn="0" showRowStripes="0" showColumnStripes="0"/>
  <extLst>
    <ext xmlns:x14="http://schemas.microsoft.com/office/spreadsheetml/2009/9/main" uri="{504A1905-F514-4f6f-8877-14C23A59335A}">
      <x14:table altText="Year 10 Eligibility: State &amp; Local Funds Per Capita" altTextSummary="This table displays information for Year 10 for the Eligibility Standard for the State &amp; Local Funds Per Capita method. The final row in the table displays the MOE result for Year 10."/>
    </ext>
  </extLst>
</table>
</file>

<file path=xl/tables/table3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5" xr:uid="{00000000-000C-0000-FFFF-FFFF59010000}" name="StateLocalPerCapitaComplianceYear10" displayName="StateLocalPerCapitaComplianceYear10" ref="E82:F87" headerRowCount="0" totalsRowShown="0" headerRowBorderDxfId="242" tableBorderDxfId="241" totalsRowBorderDxfId="240">
  <tableColumns count="2">
    <tableColumn id="1" xr3:uid="{00000000-0010-0000-5901-000001000000}" name="Column1" headerRowDxfId="239" dataDxfId="238"/>
    <tableColumn id="2" xr3:uid="{00000000-0010-0000-5901-000002000000}" name="Column2" headerRowDxfId="237" dataDxfId="236"/>
  </tableColumns>
  <tableStyleInfo name="TableStyleLight18" showFirstColumn="0" showLastColumn="0" showRowStripes="0" showColumnStripes="0"/>
  <extLst>
    <ext xmlns:x14="http://schemas.microsoft.com/office/spreadsheetml/2009/9/main" uri="{504A1905-F514-4f6f-8877-14C23A59335A}">
      <x14:table altText="Year 10 Compliance: State &amp; Local Funds Per Capita" altTextSummary="This table displays information for Year 10 for the Compliance Standard for the State &amp; Local Funds Per Capita method. The final row in the table displays the MOE result for Year 10."/>
    </ext>
  </extLst>
</table>
</file>

<file path=xl/tables/table3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6" xr:uid="{00000000-000C-0000-FFFF-FFFF5A010000}" name="StateLocalPerCapitaEligibilityYear11" displayName="StateLocalPerCapitaEligibilityYear11" ref="A90:B95" headerRowCount="0" totalsRowShown="0" headerRowBorderDxfId="235" tableBorderDxfId="234" totalsRowBorderDxfId="233">
  <tableColumns count="2">
    <tableColumn id="1" xr3:uid="{00000000-0010-0000-5A01-000001000000}" name="Column1" headerRowDxfId="232" dataDxfId="231"/>
    <tableColumn id="2" xr3:uid="{00000000-0010-0000-5A01-000002000000}" name="Column2" headerRowDxfId="230" dataDxfId="229"/>
  </tableColumns>
  <tableStyleInfo name="TableStyleLight18" showFirstColumn="0" showLastColumn="0" showRowStripes="0" showColumnStripes="0"/>
  <extLst>
    <ext xmlns:x14="http://schemas.microsoft.com/office/spreadsheetml/2009/9/main" uri="{504A1905-F514-4f6f-8877-14C23A59335A}">
      <x14:table altText="Year 11 Eligibility: State &amp; Local Funds Per Capita" altTextSummary="This table displays information for Year 11 for the Eligibility Standard for the State &amp; Local Funds Per Capita method. The final row in the table displays the MOE result for Year 11."/>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22000000}" name="ExcDDataYear2Budget" displayName="ExcDDataYear2Budget" ref="A47:B53" totalsRowShown="0" headerRowDxfId="2376" dataDxfId="2374" headerRowBorderDxfId="2375" tableBorderDxfId="2373">
  <tableColumns count="2">
    <tableColumn id="1" xr3:uid="{00000000-0010-0000-2200-000001000000}" name="Description" dataDxfId="2372"/>
    <tableColumn id="2" xr3:uid="{00000000-0010-0000-2200-000002000000}" name="Budgeted Cost in Final Year" dataDxfId="2371"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2 Eligiblity Standard" altTextSummary="Users can enter data in this table for the projected termination of costly expenditures for long-term purchases for Year 2. This table is for the eligiblity standard and is based on budget amounts."/>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23000000}" name="AdjDataYear2Budget" displayName="AdjDataYear2Budget" ref="A71:B72" totalsRowShown="0" headerRowDxfId="2370" dataDxfId="2368" headerRowBorderDxfId="2369" tableBorderDxfId="2367" totalsRowBorderDxfId="2366">
  <tableColumns count="2">
    <tableColumn id="1" xr3:uid="{00000000-0010-0000-2300-000001000000}" name="Column1" dataDxfId="2365"/>
    <tableColumn id="2" xr3:uid="{00000000-0010-0000-2300-000002000000}" name="Projected Adjustment" dataDxfId="2364"/>
  </tableColumns>
  <tableStyleInfo name="TableStyleMedium9" showFirstColumn="0" showLastColumn="0" showRowStripes="0" showColumnStripes="0"/>
  <extLst>
    <ext xmlns:x14="http://schemas.microsoft.com/office/spreadsheetml/2009/9/main" uri="{504A1905-F514-4f6f-8877-14C23A59335A}">
      <x14:table altText="MOE Adjustment Data Entry for Year 2 Eligiblity Standard" altTextSummary="Users can enter data in this table for the projected Adjustment to MOE for Year 2. This table is for the eligiblity standard and is based on budget amounts. Use IDC's MOE Reduction Decision Tree and Calculator to determine the adjustment amount."/>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24000000}" name="ExcCDataYear2Budget" displayName="ExcCDataYear2Budget" ref="A37:C43" totalsRowShown="0" headerRowDxfId="2363" dataDxfId="2362" tableBorderDxfId="2361">
  <tableColumns count="3">
    <tableColumn id="1" xr3:uid="{00000000-0010-0000-2400-000001000000}" name="Student Identifier" dataDxfId="2360"/>
    <tableColumn id="2" xr3:uid="{00000000-0010-0000-2400-000002000000}" name="Reason" dataDxfId="2359"/>
    <tableColumn id="3" xr3:uid="{00000000-0010-0000-2400-000003000000}" name="Budgeted Cost" dataDxfId="2358"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2 Eligiblity Standard" altTextSummary="Users can enter data in this table for the projected termination of the obligation to provide special education to a particular student that is an exceptionally costly program projected for Year 2. This table is for the eligiblity standard and is based on budget amounts."/>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25000000}" name="ExcEDataYear2Budget" displayName="ExcEDataYear2Budget" ref="A57:B63" totalsRowShown="0" headerRowDxfId="2357" tableBorderDxfId="2356">
  <tableColumns count="2">
    <tableColumn id="1" xr3:uid="{00000000-0010-0000-2500-000001000000}" name="Student Identifier" dataDxfId="2355"/>
    <tableColumn id="2" xr3:uid="{00000000-0010-0000-2500-000002000000}" name="Budgeted Cost Assumed by SEA" dataDxfId="2354"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2 Eligiblity Standard" altTextSummary="Users can enter data for the projected assumption of cost by the high cost fund operated by the SEA for Year 2. This table is for the eligibility standard and uses budget data. The table will not calculate a total if tab 3b indicates that the SEA does not have a high cost fund in Year 2."/>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6000000}" name="ExcBChildCountDataYear2Budget" displayName="ExcBChildCountDataYear2Budget" ref="A25:B29" totalsRowShown="0" headerRowDxfId="2353" dataDxfId="2352">
  <tableColumns count="2">
    <tableColumn id="1" xr3:uid="{00000000-0010-0000-2600-000001000000}" name="Column1" dataDxfId="2351"/>
    <tableColumn id="2" xr3:uid="{00000000-0010-0000-2600-000002000000}" name="Column2" dataDxfId="2350"/>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2 Eligibility Standard" altTextSummary="This table automatically calculates the change in enrollment for Year 2 to determine whether the LEA can apply exception (b). This table is for the eligibility standar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6" xr:uid="{00000000-000C-0000-FFFF-FFFF03000000}" name="InterveningYears" displayName="InterveningYears" ref="A3:C23" totalsRowShown="0" tableBorderDxfId="2611">
  <autoFilter ref="A3:C23" xr:uid="{00000000-0009-0000-0100-0000C4000000}">
    <filterColumn colId="0" hiddenButton="1"/>
    <filterColumn colId="1" hiddenButton="1"/>
    <filterColumn colId="2" hiddenButton="1"/>
  </autoFilter>
  <tableColumns count="3">
    <tableColumn id="1" xr3:uid="{00000000-0010-0000-0300-000001000000}" name="Year" dataDxfId="2610"/>
    <tableColumn id="2" xr3:uid="{00000000-0010-0000-0300-000002000000}" name="Total taken Exceptions &amp; Adjustment: Local Funds Only" dataDxfId="2609"/>
    <tableColumn id="3" xr3:uid="{00000000-0010-0000-0300-000003000000}" name="Total taken Exceptions &amp; Adjustment: State and Local Funds" dataDxfId="2608"/>
  </tableColumns>
  <tableStyleInfo name="TableStyleLight18" showFirstColumn="0" showLastColumn="0" showRowStripes="0" showColumnStripes="0"/>
  <extLst>
    <ext xmlns:x14="http://schemas.microsoft.com/office/spreadsheetml/2009/9/main" uri="{504A1905-F514-4f6f-8877-14C23A59335A}">
      <x14:table altText="Intervening Years Exceptions" altTextSummary="Enter data for exceptions for intervening years. Years will populate in the first column based on data entered on the Getting Started tab. For each year, enter total taken Exceptions and Adjustment."/>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7000000}" name="ExcBFundsDataYear2Budget" displayName="ExcBFundsDataYear2Budget" ref="A30:C32" totalsRowShown="0" headerRowDxfId="2349" dataDxfId="2347" headerRowBorderDxfId="2348" tableBorderDxfId="2346" totalsRowBorderDxfId="2345">
  <tableColumns count="3">
    <tableColumn id="1" xr3:uid="{00000000-0010-0000-2700-000001000000}" name="Column1" dataDxfId="2344"/>
    <tableColumn id="2" xr3:uid="{00000000-0010-0000-2700-000002000000}" name="Total Local Funds" dataDxfId="2343">
      <calculatedColumnFormula>'2. Getting Started'!C17</calculatedColumnFormula>
    </tableColumn>
    <tableColumn id="3" xr3:uid="{00000000-0010-0000-2700-000003000000}" name="Total State and Local Funds" dataDxfId="2342">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2 Eligiblity Standard" altTextSummary="This table automatically calculates the projected reduction based on a decrease in enrollment for Year 2. This table is for the eligibility standard and uses budget data. The row for Projected Reduction will be blank if there is no decrease in child count."/>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8000000}" name="ExcADepartingDataYear2Expenditures" displayName="ExcADepartingDataYear2Expenditures" ref="H7:M13" totalsRowShown="0" headerRowDxfId="2341" dataDxfId="2339" headerRowBorderDxfId="2340" tableBorderDxfId="2338">
  <tableColumns count="6">
    <tableColumn id="1" xr3:uid="{00000000-0010-0000-2800-000001000000}" name="Position Title" dataDxfId="2337"/>
    <tableColumn id="2" xr3:uid="{00000000-0010-0000-2800-000002000000}" name="Employee Name" dataDxfId="2336"/>
    <tableColumn id="3" xr3:uid="{00000000-0010-0000-2800-000003000000}" name="Reason for Leaving" dataDxfId="2335"/>
    <tableColumn id="4" xr3:uid="{00000000-0010-0000-2800-000004000000}" name="Salary" dataDxfId="2334" dataCellStyle="Currency"/>
    <tableColumn id="5" xr3:uid="{00000000-0010-0000-2800-000005000000}" name="Benefits" dataDxfId="2333" dataCellStyle="Currency"/>
    <tableColumn id="8" xr3:uid="{00000000-0010-0000-2800-000008000000}" name="Total Expenditures" dataDxfId="2332"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2 Compliance Standard" altTextSummary="Users can enter data in this table for any departing personnel for Year 2. This table is for the compliance standard and is based on final expenditures."/>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9000000}" name="ExcAReplaceDataYear2Expenditures" displayName="ExcAReplaceDataYear2Expenditures" ref="H15:M21" totalsRowShown="0" headerRowDxfId="2331" dataDxfId="2329" headerRowBorderDxfId="2330" tableBorderDxfId="2328">
  <tableColumns count="6">
    <tableColumn id="1" xr3:uid="{00000000-0010-0000-2900-000001000000}" name="Position Title" dataDxfId="2327"/>
    <tableColumn id="2" xr3:uid="{00000000-0010-0000-2900-000002000000}" name="Employee Name" dataDxfId="2326"/>
    <tableColumn id="3" xr3:uid="{00000000-0010-0000-2900-000003000000}" name="This column intentionally left blank" dataDxfId="2325"/>
    <tableColumn id="4" xr3:uid="{00000000-0010-0000-2900-000004000000}" name="Salary" dataDxfId="2324" dataCellStyle="Currency"/>
    <tableColumn id="5" xr3:uid="{00000000-0010-0000-2900-000005000000}" name="Benefits" dataDxfId="2323" dataCellStyle="Currency"/>
    <tableColumn id="8" xr3:uid="{00000000-0010-0000-2900-000008000000}" name="Total Expenditures" dataDxfId="2322"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2 Compliance Standard" altTextSummary="Users can enter data in this table for any replacement personnel for Year 2. This table is for the compliance standard and is based on final expenditures."/>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A000000}" name="ExcDDataYear2Expenditures" displayName="ExcDDataYear2Expenditures" ref="H47:I53" totalsRowShown="0" headerRowDxfId="2321" dataDxfId="2319" headerRowBorderDxfId="2320" tableBorderDxfId="2318">
  <tableColumns count="2">
    <tableColumn id="1" xr3:uid="{00000000-0010-0000-2A00-000001000000}" name="Description" dataDxfId="2317"/>
    <tableColumn id="2" xr3:uid="{00000000-0010-0000-2A00-000002000000}" name="Cost in Final Year of Expenditure" dataDxfId="2316"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2 Compliance Standard" altTextSummary="Users can enter data in this table for the termination of costly expenditures for long-term purchases for Year 2. This table is for the compliance standard and is based on final expenditures."/>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B000000}" name="AdjDataYear2Expenditures" displayName="AdjDataYear2Expenditures" ref="H71:I72" totalsRowShown="0" headerRowDxfId="2315" dataDxfId="2313" headerRowBorderDxfId="2314" tableBorderDxfId="2312" totalsRowBorderDxfId="2311">
  <tableColumns count="2">
    <tableColumn id="1" xr3:uid="{00000000-0010-0000-2B00-000001000000}" name="Column1" dataDxfId="2310"/>
    <tableColumn id="2" xr3:uid="{00000000-0010-0000-2B00-000002000000}" name="Adjustment " dataDxfId="2309"/>
  </tableColumns>
  <tableStyleInfo name="TableStyleMedium9" showFirstColumn="0" showLastColumn="0" showRowStripes="0" showColumnStripes="0"/>
  <extLst>
    <ext xmlns:x14="http://schemas.microsoft.com/office/spreadsheetml/2009/9/main" uri="{504A1905-F514-4f6f-8877-14C23A59335A}">
      <x14:table altText="MOE Adjustment Data Entry for Year 2 Compliance Standard" altTextSummary="Users can enter data in this table for the Adjustment to MOE for Year 2. This table is for the compliance standard and is based on final expenditures. Use IDC's MOE Reduction Decision Tree and Calculator to determine the adjustment amount."/>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C000000}" name="ExcCDataYear2Expenditures" displayName="ExcCDataYear2Expenditures" ref="H37:J43" totalsRowShown="0" headerRowDxfId="2308" dataDxfId="2307" tableBorderDxfId="2306">
  <tableColumns count="3">
    <tableColumn id="1" xr3:uid="{00000000-0010-0000-2C00-000001000000}" name="Student Identifier" dataDxfId="2305"/>
    <tableColumn id="2" xr3:uid="{00000000-0010-0000-2C00-000002000000}" name="Reason" dataDxfId="2304"/>
    <tableColumn id="3" xr3:uid="{00000000-0010-0000-2C00-000003000000}" name="Expenditures" dataDxfId="2303"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2 Compliance Standard" altTextSummary="Users can enter data in this table for the termination of the obligation to provide special education to a particular student that is an exceptionally costly program projected for Year 2. This table is for the compliance standard and is based on final expenditures."/>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D000000}" name="ExcEDataYear2Expenditures" displayName="ExcEDataYear2Expenditures" ref="H57:I63" totalsRowShown="0" headerRowDxfId="2302" tableBorderDxfId="2301">
  <tableColumns count="2">
    <tableColumn id="1" xr3:uid="{00000000-0010-0000-2D00-000001000000}" name="Student Identifier" dataDxfId="2300"/>
    <tableColumn id="2" xr3:uid="{00000000-0010-0000-2D00-000002000000}" name="Cost Assumed by SEA" dataDxfId="2299"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2 Compliance Standard" altTextSummary="Users can enter data for the assumption of cost by the high cost fund operated by the SEA for Year 2. This table is for the compliance standard and uses final expenditures. The table will not calculate a total if tab 3b indicates that the SEA does not have a high cost fund in Year 2."/>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E000000}" name="ExcBChildCountDataYear2Expenditures" displayName="ExcBChildCountDataYear2Expenditures" ref="H25:I29" totalsRowShown="0" headerRowDxfId="2298" dataDxfId="2297">
  <tableColumns count="2">
    <tableColumn id="1" xr3:uid="{00000000-0010-0000-2E00-000001000000}" name="Column1" dataDxfId="2296"/>
    <tableColumn id="2" xr3:uid="{00000000-0010-0000-2E00-000002000000}" name="Column2" dataDxfId="2295"/>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2 Compliance Standard" altTextSummary="This table automatically calculates the change in enrollment for Year 2 to determine whether the LEA can apply exception (b). This table is for the compliance standard."/>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F000000}" name="ExcBFundsDataYear2Expenditures" displayName="ExcBFundsDataYear2Expenditures" ref="H30:J32" totalsRowShown="0" headerRowDxfId="2294" dataDxfId="2292" headerRowBorderDxfId="2293" tableBorderDxfId="2291" totalsRowBorderDxfId="2290">
  <tableColumns count="3">
    <tableColumn id="1" xr3:uid="{00000000-0010-0000-2F00-000001000000}" name="Column1" dataDxfId="2289"/>
    <tableColumn id="2" xr3:uid="{00000000-0010-0000-2F00-000002000000}" name="Local Total" dataDxfId="2288"/>
    <tableColumn id="3" xr3:uid="{00000000-0010-0000-2F00-000003000000}" name="State and Local Total" dataDxfId="2287"/>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2 Compliance Standard" altTextSummary="This table automatically calculates the reduction based on a decrease in enrollment for Year 2. This table is for the compliance standard and uses final expenditures. The row for Allowed Reduction will be blank and blacked out if there is no decrease in child count."/>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3" xr:uid="{00000000-000C-0000-FFFF-FFFF30000000}" name="TotalBudgetedExcYear2" displayName="TotalBudgetedExcYear2" ref="A66:B68" totalsRowShown="0" headerRowDxfId="2286" headerRowBorderDxfId="2285" tableBorderDxfId="2284" totalsRowBorderDxfId="2283">
  <autoFilter ref="A66:B68" xr:uid="{00000000-0009-0000-0100-0000B7000000}">
    <filterColumn colId="0" hiddenButton="1"/>
    <filterColumn colId="1" hiddenButton="1"/>
  </autoFilter>
  <tableColumns count="2">
    <tableColumn id="1" xr3:uid="{00000000-0010-0000-3000-000001000000}" name="Source" dataDxfId="2282" dataCellStyle="Normal 2"/>
    <tableColumn id="2" xr3:uid="{00000000-0010-0000-3000-000002000000}" name="Total" dataDxfId="2281" dataCellStyle="Currency 2">
      <calculatedColumnFormula>IF(B$28&gt;=0,(F$22+C$43+B$53+B$63),(F$22+C$43+B$53+B$63+C$32))</calculatedColumnFormula>
    </tableColumn>
  </tableColumns>
  <tableStyleInfo name="TableStyleMedium2" showFirstColumn="0" showLastColumn="0" showRowStripes="0" showColumnStripes="0"/>
  <extLst>
    <ext xmlns:x14="http://schemas.microsoft.com/office/spreadsheetml/2009/9/main" uri="{504A1905-F514-4f6f-8877-14C23A59335A}">
      <x14:table altText="Total Projected Exceptions for Year 2" altTextSummary="This table displays the total projected exceptions entered for the eligibility standard for Year 2."/>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8" xr:uid="{00000000-000C-0000-FFFF-FFFF04000000}" name="HighCostFund" displayName="HighCostFund" ref="A2:B13" totalsRowShown="0" headerRowDxfId="2607" headerRowBorderDxfId="2606" tableBorderDxfId="2605" totalsRowBorderDxfId="2604">
  <autoFilter ref="A2:B13" xr:uid="{00000000-0009-0000-0100-00005C010000}">
    <filterColumn colId="0" hiddenButton="1"/>
    <filterColumn colId="1" hiddenButton="1"/>
  </autoFilter>
  <tableColumns count="2">
    <tableColumn id="1" xr3:uid="{00000000-0010-0000-0400-000001000000}" name="Fiscal Year" dataDxfId="2603"/>
    <tableColumn id="2" xr3:uid="{00000000-0010-0000-0400-000002000000}" name="Does your state have a high cost fund operated by the SEA under §300.704(c)? " dataDxfId="2602"/>
  </tableColumns>
  <tableStyleInfo name="TableStyleLight18" showFirstColumn="0" showLastColumn="0" showRowStripes="0" showColumnStripes="0"/>
  <extLst>
    <ext xmlns:x14="http://schemas.microsoft.com/office/spreadsheetml/2009/9/main" uri="{504A1905-F514-4f6f-8877-14C23A59335A}">
      <x14:table altText="High Cost Fund" altTextSummary="The years in the first column will populate based on Year 1 entered on the Getting Started tab. For each year, indicate whether or not the SEA has a high cost fund. The default for each year is &quot;no.&quot;"/>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3" xr:uid="{00000000-000C-0000-FFFF-FFFF31000000}" name="TotalExpendituresExcYear2" displayName="TotalExpendituresExcYear2" ref="H66:I68" totalsRowShown="0" headerRowDxfId="2280" headerRowBorderDxfId="2279" tableBorderDxfId="2278" totalsRowBorderDxfId="2277">
  <autoFilter ref="H66:I68" xr:uid="{00000000-0009-0000-0100-0000C1000000}">
    <filterColumn colId="0" hiddenButton="1"/>
    <filterColumn colId="1" hiddenButton="1"/>
  </autoFilter>
  <tableColumns count="2">
    <tableColumn id="1" xr3:uid="{00000000-0010-0000-3100-000001000000}" name="Source" dataDxfId="2276" dataCellStyle="Normal 2"/>
    <tableColumn id="2" xr3:uid="{00000000-0010-0000-3100-000002000000}" name="Total" dataDxfId="2275" dataCellStyle="Currency 2">
      <calculatedColumnFormula>IF(I$28&gt;=0,(M$22+J$43+I$53+I$63),(M$22+J$43+I$53+I$63+J$32))</calculatedColumnFormula>
    </tableColumn>
  </tableColumns>
  <tableStyleInfo name="TableStyleMedium2" showFirstColumn="0" showLastColumn="0" showRowStripes="0" showColumnStripes="0"/>
  <extLst>
    <ext xmlns:x14="http://schemas.microsoft.com/office/spreadsheetml/2009/9/main" uri="{504A1905-F514-4f6f-8877-14C23A59335A}">
      <x14:table altText="Total Exceptions for the Year 2 Compliance Standard" altTextSummary="This table displays the total exceptions entered for the compliance standard for Year 2."/>
    </ext>
  </extLst>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0" xr:uid="{00000000-000C-0000-FFFF-FFFF32000000}" name="EligibilityYear2" displayName="EligibilityYear2" ref="A5:E10" totalsRowShown="0" headerRowDxfId="2274" headerRowBorderDxfId="2273" tableBorderDxfId="2272" totalsRowBorderDxfId="2271">
  <autoFilter ref="A5:E10" xr:uid="{00000000-0009-0000-0100-0000C8000000}">
    <filterColumn colId="0" hiddenButton="1"/>
    <filterColumn colId="1" hiddenButton="1"/>
    <filterColumn colId="2" hiddenButton="1"/>
    <filterColumn colId="3" hiddenButton="1"/>
    <filterColumn colId="4" hiddenButton="1"/>
  </autoFilter>
  <tableColumns count="5">
    <tableColumn id="1" xr3:uid="{00000000-0010-0000-3200-000001000000}" name="MOE Information" dataDxfId="2270"/>
    <tableColumn id="2" xr3:uid="{00000000-0010-0000-3200-000002000000}" name="Total Local Funds"/>
    <tableColumn id="3" xr3:uid="{00000000-0010-0000-3200-000003000000}" name="Total State and Local Funds"/>
    <tableColumn id="4" xr3:uid="{00000000-0010-0000-3200-000004000000}" name="Local Funds Per Capita"/>
    <tableColumn id="5" xr3:uid="{00000000-0010-0000-32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Eligibility Standard for Year 2" altTextSummary="This table displays MOE amounts and results for the eligibility standard for Year 2."/>
    </ext>
  </extLst>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3" xr:uid="{00000000-000C-0000-FFFF-FFFF33000000}" name="ComplianceYear2" displayName="ComplianceYear2" ref="A13:E18" totalsRowShown="0" headerRowDxfId="2269" headerRowBorderDxfId="2268" tableBorderDxfId="2267" totalsRowBorderDxfId="2266">
  <autoFilter ref="A13:E18" xr:uid="{00000000-0009-0000-0100-0000CB000000}">
    <filterColumn colId="0" hiddenButton="1"/>
    <filterColumn colId="1" hiddenButton="1"/>
    <filterColumn colId="2" hiddenButton="1"/>
    <filterColumn colId="3" hiddenButton="1"/>
    <filterColumn colId="4" hiddenButton="1"/>
  </autoFilter>
  <tableColumns count="5">
    <tableColumn id="1" xr3:uid="{00000000-0010-0000-3300-000001000000}" name="MOE Information" dataDxfId="2265"/>
    <tableColumn id="2" xr3:uid="{00000000-0010-0000-3300-000002000000}" name="Total Local Funds" dataDxfId="2264"/>
    <tableColumn id="3" xr3:uid="{00000000-0010-0000-3300-000003000000}" name="Total State and Local Funds" dataDxfId="2263"/>
    <tableColumn id="4" xr3:uid="{00000000-0010-0000-3300-000004000000}" name="Local Funds Per Capita" dataDxfId="2262"/>
    <tableColumn id="5" xr3:uid="{00000000-0010-0000-3300-000005000000}" name="State and Local Funds Per Capita" dataDxfId="2261"/>
  </tableColumns>
  <tableStyleInfo name="TableStyleLight18" showFirstColumn="0" showLastColumn="0" showRowStripes="0" showColumnStripes="0"/>
  <extLst>
    <ext xmlns:x14="http://schemas.microsoft.com/office/spreadsheetml/2009/9/main" uri="{504A1905-F514-4f6f-8877-14C23A59335A}">
      <x14:table altText="Compliance Standard for Year 2" altTextSummary="This table displays MOE amounts and results for the compliance standard for Year 2."/>
    </ext>
  </extLst>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4" xr:uid="{00000000-000C-0000-FFFF-FFFF34000000}" name="RepaymentYear2" displayName="RepaymentYear2" ref="A21:B27" totalsRowShown="0" headerRowDxfId="2260" headerRowBorderDxfId="2259" tableBorderDxfId="2258" totalsRowBorderDxfId="2257">
  <autoFilter ref="A21:B27" xr:uid="{00000000-0009-0000-0100-0000CC000000}">
    <filterColumn colId="0" hiddenButton="1"/>
    <filterColumn colId="1" hiddenButton="1"/>
  </autoFilter>
  <tableColumns count="2">
    <tableColumn id="1" xr3:uid="{00000000-0010-0000-3400-000001000000}" name="Repayment data" dataDxfId="2256"/>
    <tableColumn id="2" xr3:uid="{00000000-0010-0000-3400-000002000000}" name="Data for Year 2" dataDxfId="2255"/>
  </tableColumns>
  <tableStyleInfo name="TableStyleLight18" showFirstColumn="0" showLastColumn="0" showRowStripes="0" showColumnStripes="0"/>
  <extLst>
    <ext xmlns:x14="http://schemas.microsoft.com/office/spreadsheetml/2009/9/main" uri="{504A1905-F514-4f6f-8877-14C23A59335A}">
      <x14:table altText="Repayment for Year 2" altTextSummary="This table calculates the repayment amount for Year 2 if the LEA fails MOE by all four methods for the compliance standard. Users must enter data for IDEA allocations."/>
    </ext>
  </extLst>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8" xr:uid="{00000000-000C-0000-FFFF-FFFF35000000}" name="ExcAdjSummaryYear2" displayName="ExcAdjSummaryYear2" ref="A33:E40" totalsRowShown="0" headerRowDxfId="2254" headerRowBorderDxfId="2253" tableBorderDxfId="2252" totalsRowBorderDxfId="2251">
  <autoFilter ref="A33:E40" xr:uid="{00000000-0009-0000-0100-000052010000}">
    <filterColumn colId="0" hiddenButton="1"/>
    <filterColumn colId="1" hiddenButton="1"/>
    <filterColumn colId="2" hiddenButton="1"/>
    <filterColumn colId="3" hiddenButton="1"/>
    <filterColumn colId="4" hiddenButton="1"/>
  </autoFilter>
  <tableColumns count="5">
    <tableColumn id="1" xr3:uid="{00000000-0010-0000-3500-000001000000}" name="Exception or Adjustment" dataDxfId="2250"/>
    <tableColumn id="2" xr3:uid="{00000000-0010-0000-3500-000002000000}" name="Projected Local Funds" dataDxfId="2249"/>
    <tableColumn id="3" xr3:uid="{00000000-0010-0000-3500-000003000000}" name="Projected State and Local Funds" dataDxfId="2248"/>
    <tableColumn id="4" xr3:uid="{00000000-0010-0000-3500-000004000000}" name="Local Funds" dataDxfId="2247"/>
    <tableColumn id="5" xr3:uid="{00000000-0010-0000-3500-000005000000}" name="State and Local Funds" dataDxfId="2246"/>
  </tableColumns>
  <tableStyleInfo name="TableStyleLight18" showFirstColumn="0" showLastColumn="0" showRowStripes="0" showColumnStripes="0"/>
  <extLst>
    <ext xmlns:x14="http://schemas.microsoft.com/office/spreadsheetml/2009/9/main" uri="{504A1905-F514-4f6f-8877-14C23A59335A}">
      <x14:table altText="Exceptions and Adjustments summary for Year 2" altTextSummary="This table presents a summary of all exceptions taken for Year 2. Detailed data on the exceptions are entered on the Exc &amp; Adj tab for Year 2."/>
    </ext>
  </extLst>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36000000}" name="BudgetYear3" displayName="BudgetYear3" ref="A4:F31" totalsRowShown="0" headerRowDxfId="2245" tableBorderDxfId="2244">
  <tableColumns count="6">
    <tableColumn id="1" xr3:uid="{00000000-0010-0000-3600-000001000000}" name="Object Description" dataDxfId="2243"/>
    <tableColumn id="2" xr3:uid="{00000000-0010-0000-3600-000002000000}" name="Code 1" dataDxfId="2242"/>
    <tableColumn id="7" xr3:uid="{00000000-0010-0000-3600-000007000000}" name="Code 2" dataDxfId="2241"/>
    <tableColumn id="3" xr3:uid="{00000000-0010-0000-3600-000003000000}" name="Local" dataDxfId="2240" dataCellStyle="Currency"/>
    <tableColumn id="4" xr3:uid="{00000000-0010-0000-3600-000004000000}" name="State" dataDxfId="2239" dataCellStyle="Currency"/>
    <tableColumn id="5" xr3:uid="{00000000-0010-0000-3600-000005000000}" name="State and Local" dataDxfId="2238"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3" altTextSummary="In this table, users will enter their budget amounts for Year 3. The column headers for the first three columns are unlocked and can be edited. If the LEA cannot separately budget for state and local funds, leave the Local column blank."/>
    </ext>
  </extLst>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37000000}" name="ExpendituresYear3" displayName="ExpendituresYear3" ref="H4:M31" totalsRowShown="0" headerRowDxfId="2237" tableBorderDxfId="2236">
  <tableColumns count="6">
    <tableColumn id="1" xr3:uid="{00000000-0010-0000-3700-000001000000}" name="Object Description" dataDxfId="2235"/>
    <tableColumn id="2" xr3:uid="{00000000-0010-0000-3700-000002000000}" name="Code" dataDxfId="2234"/>
    <tableColumn id="6" xr3:uid="{00000000-0010-0000-3700-000006000000}" name="Code 2" dataDxfId="2233"/>
    <tableColumn id="3" xr3:uid="{00000000-0010-0000-3700-000003000000}" name="Local" dataDxfId="2232" dataCellStyle="Currency"/>
    <tableColumn id="4" xr3:uid="{00000000-0010-0000-3700-000004000000}" name="State" dataDxfId="2231" dataCellStyle="Currency"/>
    <tableColumn id="5" xr3:uid="{00000000-0010-0000-3700-000005000000}" name="State and Local" dataDxfId="2230"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3" altTextSummary="In this table, users will enter the LEA's final expenditures for Year 3. The column headers for the first three columns are unlocked and can be edited. If the LEA cannot separately budget for state and local funds, leave the Local column blank."/>
    </ext>
  </extLst>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38000000}" name="ExcADepartingDataYear3Budget" displayName="ExcADepartingDataYear3Budget" ref="A7:F13" totalsRowShown="0" headerRowDxfId="2229" dataDxfId="2227" headerRowBorderDxfId="2228" tableBorderDxfId="2226">
  <tableColumns count="6">
    <tableColumn id="1" xr3:uid="{00000000-0010-0000-3800-000001000000}" name="Position Title" dataDxfId="2225"/>
    <tableColumn id="2" xr3:uid="{00000000-0010-0000-3800-000002000000}" name="Employee Name" dataDxfId="2224"/>
    <tableColumn id="3" xr3:uid="{00000000-0010-0000-3800-000003000000}" name="Reason for Leaving" dataDxfId="2223"/>
    <tableColumn id="4" xr3:uid="{00000000-0010-0000-3800-000004000000}" name="Salary" dataDxfId="2222" dataCellStyle="Currency"/>
    <tableColumn id="5" xr3:uid="{00000000-0010-0000-3800-000005000000}" name="Benefits" dataDxfId="2221" dataCellStyle="Currency"/>
    <tableColumn id="8" xr3:uid="{00000000-0010-0000-3800-000008000000}" name="Total Budget" dataDxfId="222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3 Eligiblity Standard" altTextSummary="Users can enter data in this table for any departing personnel projected for Year 3. This table is for the eligiblity standard and is based on budget amounts."/>
    </ext>
  </extLst>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39000000}" name="ExcAReplaceDataYear3Budget" displayName="ExcAReplaceDataYear3Budget" ref="A15:F21" totalsRowShown="0" headerRowDxfId="2219" dataDxfId="2217" headerRowBorderDxfId="2218" tableBorderDxfId="2216">
  <tableColumns count="6">
    <tableColumn id="1" xr3:uid="{00000000-0010-0000-3900-000001000000}" name="Position Title" dataDxfId="2215"/>
    <tableColumn id="2" xr3:uid="{00000000-0010-0000-3900-000002000000}" name="Employee Name" dataDxfId="2214"/>
    <tableColumn id="3" xr3:uid="{00000000-0010-0000-3900-000003000000}" name="This column intentionally left blank" dataDxfId="2213"/>
    <tableColumn id="4" xr3:uid="{00000000-0010-0000-3900-000004000000}" name="Salary" dataDxfId="2212" dataCellStyle="Currency"/>
    <tableColumn id="5" xr3:uid="{00000000-0010-0000-3900-000005000000}" name="Benefits" dataDxfId="2211" dataCellStyle="Currency"/>
    <tableColumn id="8" xr3:uid="{00000000-0010-0000-3900-000008000000}" name="Total Budget" dataDxfId="221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3 Eligibility Standard" altTextSummary="Users can enter data in this table for any replacement personnel projected for Year 3. This table is for the eligiblity standard and is based on budget amounts."/>
    </ext>
  </extLst>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3A000000}" name="ExcDDataYear3Budget" displayName="ExcDDataYear3Budget" ref="A47:B53" totalsRowShown="0" headerRowDxfId="2209" dataDxfId="2207" headerRowBorderDxfId="2208" tableBorderDxfId="2206">
  <tableColumns count="2">
    <tableColumn id="1" xr3:uid="{00000000-0010-0000-3A00-000001000000}" name="Description" dataDxfId="2205"/>
    <tableColumn id="2" xr3:uid="{00000000-0010-0000-3A00-000002000000}" name="Budgeted Cost in Final Year" dataDxfId="220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3 Eligiblity Standard" altTextSummary="Users can enter data in this table for the projected termination of costly expenditures for long-term purchases for Year 3. This table is for the eligiblity standard and is based on budget amount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MultiYearSummary" displayName="MultiYearSummary" ref="A2:L13" totalsRowShown="0" headerRowDxfId="2601" dataDxfId="2599" headerRowBorderDxfId="2600" tableBorderDxfId="2598" totalsRowBorderDxfId="2597">
  <tableColumns count="12">
    <tableColumn id="24" xr3:uid="{00000000-0010-0000-0500-000018000000}" name="Year in Calculator" dataDxfId="2596" dataCellStyle="Normal 2"/>
    <tableColumn id="6" xr3:uid="{00000000-0010-0000-0500-000006000000}" name="Fiscal Year" dataDxfId="2595" dataCellStyle="Normal 2"/>
    <tableColumn id="1" xr3:uid="{00000000-0010-0000-0500-000001000000}" name="Standard" dataDxfId="2594"/>
    <tableColumn id="11" xr3:uid="{00000000-0010-0000-0500-00000B000000}" name="Child Count" dataDxfId="2593" dataCellStyle="Normal 2"/>
    <tableColumn id="2" xr3:uid="{00000000-0010-0000-0500-000002000000}" name="Total Local Funds" dataDxfId="2592"/>
    <tableColumn id="7" xr3:uid="{00000000-0010-0000-0500-000007000000}" name="Total Local Funds MOE Result" dataDxfId="2591"/>
    <tableColumn id="3" xr3:uid="{00000000-0010-0000-0500-000003000000}" name="Total State and Local Funds Amount" dataDxfId="2590" dataCellStyle="Currency"/>
    <tableColumn id="8" xr3:uid="{00000000-0010-0000-0500-000008000000}" name="Total State and Local Funds MOE Result" dataDxfId="2589"/>
    <tableColumn id="4" xr3:uid="{00000000-0010-0000-0500-000004000000}" name="Local Funds Per Capita Amount" dataDxfId="2588" dataCellStyle="Currency"/>
    <tableColumn id="9" xr3:uid="{00000000-0010-0000-0500-000009000000}" name="Local Funds Per Capita MOE Result" dataDxfId="2587"/>
    <tableColumn id="5" xr3:uid="{00000000-0010-0000-0500-000005000000}" name="State and Local Funds Per Capita Amount" dataDxfId="2586" dataCellStyle="Currency"/>
    <tableColumn id="10" xr3:uid="{00000000-0010-0000-0500-00000A000000}" name="State and Local Funds Per Capita MOE Result" dataDxfId="2585"/>
  </tableColumns>
  <tableStyleInfo name="TableStyleMedium9" showFirstColumn="0" showLastColumn="0" showRowStripes="0" showColumnStripes="0"/>
  <extLst>
    <ext xmlns:x14="http://schemas.microsoft.com/office/spreadsheetml/2009/9/main" uri="{504A1905-F514-4f6f-8877-14C23A59335A}">
      <x14:table altText="Multi-Year MOE Summary" altTextSummary="This table will display MOE amounts and results for all 10 years in the Calculator. The first row will display information for the last year met prior to Year 1. The second row displays data for Year 1. Users can use the dropdown in the third column to select which standard (eligibility or compliance) to display. The default is compliance."/>
    </ext>
  </extLst>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3B000000}" name="AdjDataYear3Budget" displayName="AdjDataYear3Budget" ref="A71:B72" totalsRowShown="0" headerRowDxfId="2203" dataDxfId="2201" headerRowBorderDxfId="2202" tableBorderDxfId="2200" totalsRowBorderDxfId="2199">
  <tableColumns count="2">
    <tableColumn id="1" xr3:uid="{00000000-0010-0000-3B00-000001000000}" name="Column1" dataDxfId="2198"/>
    <tableColumn id="2" xr3:uid="{00000000-0010-0000-3B00-000002000000}" name="Projected Adjustment" dataDxfId="2197"/>
  </tableColumns>
  <tableStyleInfo name="TableStyleMedium9" showFirstColumn="0" showLastColumn="0" showRowStripes="0" showColumnStripes="0"/>
  <extLst>
    <ext xmlns:x14="http://schemas.microsoft.com/office/spreadsheetml/2009/9/main" uri="{504A1905-F514-4f6f-8877-14C23A59335A}">
      <x14:table altText="MOE Adjustment Data Entry for Year 3 Eligiblity Standard" altTextSummary="Users can enter data in this table for the projected Adjustment to MOE for Year 3. This table is for the eligiblity standard and is based on budget amounts. Use IDC's MOE Reduction Decision Tree and Calculator to determine the adjustment amount."/>
    </ext>
  </extLst>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C000000}" name="ExcCDataYear3Budget" displayName="ExcCDataYear3Budget" ref="A37:C43" totalsRowShown="0" headerRowDxfId="2196" dataDxfId="2195" tableBorderDxfId="2194">
  <tableColumns count="3">
    <tableColumn id="1" xr3:uid="{00000000-0010-0000-3C00-000001000000}" name="Student Identifier" dataDxfId="2193"/>
    <tableColumn id="2" xr3:uid="{00000000-0010-0000-3C00-000002000000}" name="Reason" dataDxfId="2192"/>
    <tableColumn id="3" xr3:uid="{00000000-0010-0000-3C00-000003000000}" name="Budgeted Cost" dataDxfId="219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3 Eligiblity Standard" altTextSummary="Users can enter data in this table for the projected termination of the obligation to provide special education to a particular student that is an exceptionally costly program projected for Year 3. This table is for the eligiblity standard and is based on budget amounts."/>
    </ext>
  </extLst>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3D000000}" name="ExcEDataYear3Budget" displayName="ExcEDataYear3Budget" ref="A57:B63" totalsRowShown="0" headerRowDxfId="2190" tableBorderDxfId="2189">
  <tableColumns count="2">
    <tableColumn id="1" xr3:uid="{00000000-0010-0000-3D00-000001000000}" name="Student Identifier" dataDxfId="2188"/>
    <tableColumn id="2" xr3:uid="{00000000-0010-0000-3D00-000002000000}" name="Budgeted Cost Assumed by SEA" dataDxfId="2187"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3 Eligiblity Standard" altTextSummary="Users can enter data for the projected assumption of cost by the high cost fund operated by the SEA for Year 3. This table is for the eligibility standard and uses budget data. The table will not calculate a total if tab 3b indicates that the SEA does not have a high cost fund in Year 3."/>
    </ext>
  </extLst>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3E000000}" name="ExcBChildCountDataYear3Budget" displayName="ExcBChildCountDataYear3Budget" ref="A25:B29" totalsRowShown="0" headerRowDxfId="2186" dataDxfId="2185">
  <tableColumns count="2">
    <tableColumn id="1" xr3:uid="{00000000-0010-0000-3E00-000001000000}" name="Column1" dataDxfId="2184"/>
    <tableColumn id="2" xr3:uid="{00000000-0010-0000-3E00-000002000000}" name="Column2" dataDxfId="2183"/>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3 Eligibility Standard" altTextSummary="This table automatically calculates the change in enrollment for Year 3 to determine whether the LEA can apply exception (b). This table is for the eligibility standard."/>
    </ext>
  </extLst>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3F000000}" name="ExcBFundsDataYear3Budget" displayName="ExcBFundsDataYear3Budget" ref="A30:C32" totalsRowShown="0" headerRowDxfId="2182" dataDxfId="2180" headerRowBorderDxfId="2181" tableBorderDxfId="2179" totalsRowBorderDxfId="2178">
  <tableColumns count="3">
    <tableColumn id="1" xr3:uid="{00000000-0010-0000-3F00-000001000000}" name="Column1" dataDxfId="2177"/>
    <tableColumn id="2" xr3:uid="{00000000-0010-0000-3F00-000002000000}" name="Total Local Funds" dataDxfId="2176">
      <calculatedColumnFormula>'2. Getting Started'!C17</calculatedColumnFormula>
    </tableColumn>
    <tableColumn id="3" xr3:uid="{00000000-0010-0000-3F00-000003000000}" name="Total State and Local Funds" dataDxfId="2175">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3 Eligiblity Standard" altTextSummary="This table automatically calculates the projected reduction based on a decrease in enrollment for Year 3. This table is for the eligibility standard and uses budget data. The row for Projected Reduction will be blank if there is no decrease in child count."/>
    </ext>
  </extLst>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40000000}" name="ExcADepartingDataYear3Expenditures" displayName="ExcADepartingDataYear3Expenditures" ref="H7:M13" totalsRowShown="0" headerRowDxfId="2174" dataDxfId="2172" headerRowBorderDxfId="2173" tableBorderDxfId="2171">
  <tableColumns count="6">
    <tableColumn id="1" xr3:uid="{00000000-0010-0000-4000-000001000000}" name="Position Title" dataDxfId="2170"/>
    <tableColumn id="2" xr3:uid="{00000000-0010-0000-4000-000002000000}" name="Employee Name" dataDxfId="2169"/>
    <tableColumn id="3" xr3:uid="{00000000-0010-0000-4000-000003000000}" name="Reason for Leaving" dataDxfId="2168"/>
    <tableColumn id="4" xr3:uid="{00000000-0010-0000-4000-000004000000}" name="Salary" dataDxfId="2167" dataCellStyle="Currency"/>
    <tableColumn id="5" xr3:uid="{00000000-0010-0000-4000-000005000000}" name="Benefits" dataDxfId="2166" dataCellStyle="Currency"/>
    <tableColumn id="8" xr3:uid="{00000000-0010-0000-4000-000008000000}" name="Total Expenditures" dataDxfId="2165"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3 Compliance Standard" altTextSummary="Users can enter data in this table for any departing personnel for Year 3. This table is for the compliance standard and is based on final expenditures."/>
    </ext>
  </extLst>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41000000}" name="ExcAReplaceDataYear3Expenditures" displayName="ExcAReplaceDataYear3Expenditures" ref="H15:M21" totalsRowShown="0" headerRowDxfId="2164" dataDxfId="2162" headerRowBorderDxfId="2163" tableBorderDxfId="2161">
  <tableColumns count="6">
    <tableColumn id="1" xr3:uid="{00000000-0010-0000-4100-000001000000}" name="Position Title" dataDxfId="2160"/>
    <tableColumn id="2" xr3:uid="{00000000-0010-0000-4100-000002000000}" name="Employee Name" dataDxfId="2159"/>
    <tableColumn id="3" xr3:uid="{00000000-0010-0000-4100-000003000000}" name="This column intentionally left blank" dataDxfId="2158"/>
    <tableColumn id="4" xr3:uid="{00000000-0010-0000-4100-000004000000}" name="Salary" dataDxfId="2157" dataCellStyle="Currency"/>
    <tableColumn id="5" xr3:uid="{00000000-0010-0000-4100-000005000000}" name="Benefits" dataDxfId="2156" dataCellStyle="Currency"/>
    <tableColumn id="8" xr3:uid="{00000000-0010-0000-4100-000008000000}" name="Total Expenditures" dataDxfId="2155"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3 Compliance Standard" altTextSummary="Users can enter data in this table for any replacement personnel for Year 3. This table is for the compliance standard and is based on final expenditures."/>
    </ext>
  </extLst>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42000000}" name="ExcDDataYear3Expenditures" displayName="ExcDDataYear3Expenditures" ref="H47:I53" totalsRowShown="0" headerRowDxfId="2154" dataDxfId="2152" headerRowBorderDxfId="2153" tableBorderDxfId="2151">
  <tableColumns count="2">
    <tableColumn id="1" xr3:uid="{00000000-0010-0000-4200-000001000000}" name="Description" dataDxfId="2150"/>
    <tableColumn id="2" xr3:uid="{00000000-0010-0000-4200-000002000000}" name="Cost in Final Year of Expenditure" dataDxfId="2149"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3 Compliance Standard" altTextSummary="Users can enter data in this table for the termination of costly expenditures for long-term purchases for Year 3. This table is for the compliance standard and is based on final expenditures."/>
    </ext>
  </extLst>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43000000}" name="AdjDataYear3Expenditures" displayName="AdjDataYear3Expenditures" ref="H71:I72" totalsRowShown="0" headerRowDxfId="2148" dataDxfId="2146" headerRowBorderDxfId="2147" tableBorderDxfId="2145" totalsRowBorderDxfId="2144">
  <tableColumns count="2">
    <tableColumn id="1" xr3:uid="{00000000-0010-0000-4300-000001000000}" name="Column1" dataDxfId="2143"/>
    <tableColumn id="2" xr3:uid="{00000000-0010-0000-4300-000002000000}" name="Adjustment " dataDxfId="2142"/>
  </tableColumns>
  <tableStyleInfo name="TableStyleMedium9" showFirstColumn="0" showLastColumn="0" showRowStripes="0" showColumnStripes="0"/>
  <extLst>
    <ext xmlns:x14="http://schemas.microsoft.com/office/spreadsheetml/2009/9/main" uri="{504A1905-F514-4f6f-8877-14C23A59335A}">
      <x14:table altText="MOE Adjustment Data Entry for Year 3 Compliance Standard" altTextSummary="Users can enter data in this table for the Adjustment to MOE for Year 3. This table is for the compliance standard and is based on final expenditures. Use IDC's MOE Reduction Decision Tree and Calculator to determine the adjustment amount."/>
    </ext>
  </extLst>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44000000}" name="ExcCDataYear3Expenditures" displayName="ExcCDataYear3Expenditures" ref="H37:J43" totalsRowShown="0" headerRowDxfId="2141" dataDxfId="2140" tableBorderDxfId="2139">
  <tableColumns count="3">
    <tableColumn id="1" xr3:uid="{00000000-0010-0000-4400-000001000000}" name="Student Identifier" dataDxfId="2138"/>
    <tableColumn id="2" xr3:uid="{00000000-0010-0000-4400-000002000000}" name="Reason" dataDxfId="2137"/>
    <tableColumn id="3" xr3:uid="{00000000-0010-0000-4400-000003000000}" name="Expenditures" dataDxfId="2136"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3 Compliance Standard" altTextSummary="Users can enter data in this table for the termination of the obligation to provide special education to a particular student that is an exceptionally costly program projected for Year 3. This table is for the compliance standard and is based on final expenditur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BudgetYear1" displayName="BudgetYear1" ref="A4:F31" totalsRowShown="0" headerRowDxfId="2584" tableBorderDxfId="2583">
  <tableColumns count="6">
    <tableColumn id="1" xr3:uid="{00000000-0010-0000-0600-000001000000}" name="Object Description" dataDxfId="2582"/>
    <tableColumn id="2" xr3:uid="{00000000-0010-0000-0600-000002000000}" name="Code 1" dataDxfId="2581"/>
    <tableColumn id="7" xr3:uid="{00000000-0010-0000-0600-000007000000}" name="Code 2" dataDxfId="2580"/>
    <tableColumn id="3" xr3:uid="{00000000-0010-0000-0600-000003000000}" name="Local" dataDxfId="2579" dataCellStyle="Currency"/>
    <tableColumn id="4" xr3:uid="{00000000-0010-0000-0600-000004000000}" name="State" dataDxfId="2578" dataCellStyle="Currency"/>
    <tableColumn id="5" xr3:uid="{00000000-0010-0000-0600-000005000000}" name="State and Local" dataDxfId="2577"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1" altTextSummary="In this table, users will enter their budget amounts for Year 1. The column headers for the first three columns are unlocked and can be edited. If the LEA cannot separately budget for state and local funds, leave the Local column blank."/>
    </ext>
  </extLst>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45000000}" name="ExcEDataYear3Expenditures" displayName="ExcEDataYear3Expenditures" ref="H57:I63" totalsRowShown="0" headerRowDxfId="2135" tableBorderDxfId="2134">
  <tableColumns count="2">
    <tableColumn id="1" xr3:uid="{00000000-0010-0000-4500-000001000000}" name="Student Identifier" dataDxfId="2133"/>
    <tableColumn id="2" xr3:uid="{00000000-0010-0000-4500-000002000000}" name="Cost Assumed by SEA" dataDxfId="213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3 Compliance Standard" altTextSummary="Users can enter data for the assumption of cost by the high cost fund operated by the SEA for Year 3. This table is for the compliance standard and uses final expenditures. The table will not calculate a total if tab 3b indicates that the SEA does not have a high cost fund in Year 3."/>
    </ext>
  </extLst>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46000000}" name="ExcBChildCountDataYear3Expenditures" displayName="ExcBChildCountDataYear3Expenditures" ref="H25:I29" totalsRowShown="0" headerRowDxfId="2131" dataDxfId="2130">
  <tableColumns count="2">
    <tableColumn id="1" xr3:uid="{00000000-0010-0000-4600-000001000000}" name="Column1" dataDxfId="2129"/>
    <tableColumn id="2" xr3:uid="{00000000-0010-0000-4600-000002000000}" name="Column2" dataDxfId="212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3 Compliance Standard" altTextSummary="This table automatically calculates the change in enrollment for Year 3 to determine whether the LEA can apply exception (b). This table is for the compliance standard."/>
    </ext>
  </extLst>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47000000}" name="ExcBFundsDataYear3Expenditures" displayName="ExcBFundsDataYear3Expenditures" ref="H30:J32" totalsRowShown="0" headerRowDxfId="2127" dataDxfId="2125" headerRowBorderDxfId="2126" tableBorderDxfId="2124" totalsRowBorderDxfId="2123">
  <tableColumns count="3">
    <tableColumn id="1" xr3:uid="{00000000-0010-0000-4700-000001000000}" name="Column1" dataDxfId="2122"/>
    <tableColumn id="2" xr3:uid="{00000000-0010-0000-4700-000002000000}" name="Local Total" dataDxfId="2121"/>
    <tableColumn id="3" xr3:uid="{00000000-0010-0000-4700-000003000000}" name="State and Local Total" dataDxfId="2120"/>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3 Compliance Standard" altTextSummary="This table automatically calculates the reduction based on a decrease in enrollment for Year 3. This table is for the compliance standard and uses final expenditures. The row for Allowed Reduction will be blank and blacked out if there is no decrease in child count."/>
    </ext>
  </extLst>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5" xr:uid="{00000000-000C-0000-FFFF-FFFF48000000}" name="TotalBudgetedExcYear3" displayName="TotalBudgetedExcYear3" ref="A66:B68" totalsRowShown="0" headerRowDxfId="2119" headerRowBorderDxfId="2118" tableBorderDxfId="2117" totalsRowBorderDxfId="2116">
  <autoFilter ref="A66:B68" xr:uid="{00000000-0009-0000-0100-0000CD000000}">
    <filterColumn colId="0" hiddenButton="1"/>
    <filterColumn colId="1" hiddenButton="1"/>
  </autoFilter>
  <tableColumns count="2">
    <tableColumn id="1" xr3:uid="{00000000-0010-0000-4800-000001000000}" name="Source" dataDxfId="2115" dataCellStyle="Normal 2"/>
    <tableColumn id="2" xr3:uid="{00000000-0010-0000-4800-000002000000}" name="Total" dataDxfId="2114" dataCellStyle="Currency 2">
      <calculatedColumnFormula>IF(B$28&gt;=0,(F$22+C$43+B$53+B$63),(F$22+C$43+B$53+B$63+C$32))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Projected Exceptions for Year 3 Eligibility Standard" altTextSummary="This table displays the total projected exceptions entered for the eligibility standard for Year 3."/>
    </ext>
  </extLst>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6" xr:uid="{00000000-000C-0000-FFFF-FFFF49000000}" name="TotalExpendituresExcYear3" displayName="TotalExpendituresExcYear3" ref="H66:I68" totalsRowShown="0" headerRowDxfId="2113" headerRowBorderDxfId="2112" tableBorderDxfId="2111" totalsRowBorderDxfId="2110">
  <autoFilter ref="H66:I68" xr:uid="{00000000-0009-0000-0100-0000CE000000}">
    <filterColumn colId="0" hiddenButton="1"/>
    <filterColumn colId="1" hiddenButton="1"/>
  </autoFilter>
  <tableColumns count="2">
    <tableColumn id="1" xr3:uid="{00000000-0010-0000-4900-000001000000}" name="Source" dataDxfId="2109" dataCellStyle="Normal 2"/>
    <tableColumn id="2" xr3:uid="{00000000-0010-0000-4900-000002000000}" name="Total" dataDxfId="2108" dataCellStyle="Currency 2">
      <calculatedColumnFormula>IF(I$28&gt;=0,(M$22+J$43+I$53+I$63),(M$22+J$43+I$53+I$63+J$32))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Exceptions for Year 3 Compliance Standard" altTextSummary="This table displays the total exceptions entered for the compliance standard for Year 3."/>
    </ext>
  </extLst>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7" xr:uid="{00000000-000C-0000-FFFF-FFFF4A000000}" name="EligibilityYear3" displayName="EligibilityYear3" ref="A5:E10" totalsRowShown="0" headerRowDxfId="2107" headerRowBorderDxfId="2106" tableBorderDxfId="2105" totalsRowBorderDxfId="2104">
  <autoFilter ref="A5:E10" xr:uid="{00000000-0009-0000-0100-0000CF000000}">
    <filterColumn colId="0" hiddenButton="1"/>
    <filterColumn colId="1" hiddenButton="1"/>
    <filterColumn colId="2" hiddenButton="1"/>
    <filterColumn colId="3" hiddenButton="1"/>
    <filterColumn colId="4" hiddenButton="1"/>
  </autoFilter>
  <tableColumns count="5">
    <tableColumn id="1" xr3:uid="{00000000-0010-0000-4A00-000001000000}" name="MOE Information" dataDxfId="2103"/>
    <tableColumn id="2" xr3:uid="{00000000-0010-0000-4A00-000002000000}" name="Total Local Funds"/>
    <tableColumn id="3" xr3:uid="{00000000-0010-0000-4A00-000003000000}" name="Total State and Local Funds"/>
    <tableColumn id="4" xr3:uid="{00000000-0010-0000-4A00-000004000000}" name="Local Funds Per Capita"/>
    <tableColumn id="5" xr3:uid="{00000000-0010-0000-4A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3 Eligibility Standard" altTextSummary="This table displays MOE amounts and results for the eligibility standard for Year 3."/>
    </ext>
  </extLst>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8" xr:uid="{00000000-000C-0000-FFFF-FFFF4B000000}" name="ComplianceYear3" displayName="ComplianceYear3" ref="A13:E18" totalsRowShown="0" headerRowDxfId="2102" headerRowBorderDxfId="2101" tableBorderDxfId="2100" totalsRowBorderDxfId="2099">
  <autoFilter ref="A13:E18" xr:uid="{00000000-0009-0000-0100-0000D0000000}">
    <filterColumn colId="0" hiddenButton="1"/>
    <filterColumn colId="1" hiddenButton="1"/>
    <filterColumn colId="2" hiddenButton="1"/>
    <filterColumn colId="3" hiddenButton="1"/>
    <filterColumn colId="4" hiddenButton="1"/>
  </autoFilter>
  <tableColumns count="5">
    <tableColumn id="1" xr3:uid="{00000000-0010-0000-4B00-000001000000}" name="MOE Information" dataDxfId="2098"/>
    <tableColumn id="2" xr3:uid="{00000000-0010-0000-4B00-000002000000}" name="Total Local Funds" dataDxfId="2097"/>
    <tableColumn id="3" xr3:uid="{00000000-0010-0000-4B00-000003000000}" name="Total State and Local Funds" dataDxfId="2096"/>
    <tableColumn id="4" xr3:uid="{00000000-0010-0000-4B00-000004000000}" name="Local Funds Per Capita" dataDxfId="2095"/>
    <tableColumn id="5" xr3:uid="{00000000-0010-0000-4B00-000005000000}" name="State and Local Funds Per Capita" dataDxfId="2094"/>
  </tableColumns>
  <tableStyleInfo name="TableStyleLight18" showFirstColumn="0" showLastColumn="0" showRowStripes="0" showColumnStripes="0"/>
  <extLst>
    <ext xmlns:x14="http://schemas.microsoft.com/office/spreadsheetml/2009/9/main" uri="{504A1905-F514-4f6f-8877-14C23A59335A}">
      <x14:table altText="Compliance Standard for Year 3" altTextSummary="This table displays MOE amounts and results for the compliance standard for Year 3."/>
    </ext>
  </extLst>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9" xr:uid="{00000000-000C-0000-FFFF-FFFF4C000000}" name="RepaymentYear3" displayName="RepaymentYear3" ref="A21:B27" totalsRowShown="0" headerRowBorderDxfId="2093" tableBorderDxfId="2092" totalsRowBorderDxfId="2091">
  <autoFilter ref="A21:B27" xr:uid="{00000000-0009-0000-0100-0000D1000000}">
    <filterColumn colId="0" hiddenButton="1"/>
    <filterColumn colId="1" hiddenButton="1"/>
  </autoFilter>
  <tableColumns count="2">
    <tableColumn id="1" xr3:uid="{00000000-0010-0000-4C00-000001000000}" name="Repayment data" dataDxfId="2090"/>
    <tableColumn id="2" xr3:uid="{00000000-0010-0000-4C00-000002000000}" name="Data for Year 3"/>
  </tableColumns>
  <tableStyleInfo name="TableStyleLight18" showFirstColumn="0" showLastColumn="0" showRowStripes="0" showColumnStripes="0"/>
  <extLst>
    <ext xmlns:x14="http://schemas.microsoft.com/office/spreadsheetml/2009/9/main" uri="{504A1905-F514-4f6f-8877-14C23A59335A}">
      <x14:table altText="Repayment for Year 3" altTextSummary="This table calculates the repayment amount for Year 3 if the LEA fails MOE by all four methods for the compliance standard. Users must enter data for IDEA allocations."/>
    </ext>
  </extLst>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9" xr:uid="{00000000-000C-0000-FFFF-FFFF4D000000}" name="ExcAdjSummaryYear3" displayName="ExcAdjSummaryYear3" ref="A33:E40" totalsRowShown="0" headerRowDxfId="2089" headerRowBorderDxfId="2088" tableBorderDxfId="2087" totalsRowBorderDxfId="2086">
  <autoFilter ref="A33:E40" xr:uid="{00000000-0009-0000-0100-000053010000}">
    <filterColumn colId="0" hiddenButton="1"/>
    <filterColumn colId="1" hiddenButton="1"/>
    <filterColumn colId="2" hiddenButton="1"/>
    <filterColumn colId="3" hiddenButton="1"/>
    <filterColumn colId="4" hiddenButton="1"/>
  </autoFilter>
  <tableColumns count="5">
    <tableColumn id="1" xr3:uid="{00000000-0010-0000-4D00-000001000000}" name="Exception or Adjustment" dataDxfId="2085"/>
    <tableColumn id="2" xr3:uid="{00000000-0010-0000-4D00-000002000000}" name="Projected Local Funds" dataDxfId="2084"/>
    <tableColumn id="3" xr3:uid="{00000000-0010-0000-4D00-000003000000}" name="Projected State and Local Funds" dataDxfId="2083"/>
    <tableColumn id="4" xr3:uid="{00000000-0010-0000-4D00-000004000000}" name="Local Funds" dataDxfId="2082"/>
    <tableColumn id="5" xr3:uid="{00000000-0010-0000-4D00-000005000000}" name="State and Local Funds" dataDxfId="2081"/>
  </tableColumns>
  <tableStyleInfo name="TableStyleLight18" showFirstColumn="0" showLastColumn="0" showRowStripes="0" showColumnStripes="0"/>
  <extLst>
    <ext xmlns:x14="http://schemas.microsoft.com/office/spreadsheetml/2009/9/main" uri="{504A1905-F514-4f6f-8877-14C23A59335A}">
      <x14:table altText="Exceptions and Adjustment for Year 3" altTextSummary="This table presents a summary of all exceptions taken for Year 3. Detailed data on the exceptions are entered on the Exc &amp; Adj tab for Year 3."/>
    </ext>
  </extLst>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4E000000}" name="BudgetYear4" displayName="BudgetYear4" ref="A4:F31" totalsRowShown="0" headerRowDxfId="2080" tableBorderDxfId="2079">
  <tableColumns count="6">
    <tableColumn id="1" xr3:uid="{00000000-0010-0000-4E00-000001000000}" name="Object Description" dataDxfId="2078"/>
    <tableColumn id="2" xr3:uid="{00000000-0010-0000-4E00-000002000000}" name="Code 1" dataDxfId="2077"/>
    <tableColumn id="7" xr3:uid="{00000000-0010-0000-4E00-000007000000}" name="Code 2" dataDxfId="2076"/>
    <tableColumn id="3" xr3:uid="{00000000-0010-0000-4E00-000003000000}" name="Local" dataDxfId="2075" dataCellStyle="Currency"/>
    <tableColumn id="4" xr3:uid="{00000000-0010-0000-4E00-000004000000}" name="State" dataDxfId="2074" dataCellStyle="Currency"/>
    <tableColumn id="5" xr3:uid="{00000000-0010-0000-4E00-000005000000}" name="State and Local" dataDxfId="2073"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4" altTextSummary="In this table, users will enter their budget amounts for Year 4. The column headers for the first three columns are unlocked and can be edited. If the LEA cannot separately budget for state and local funds, leave the Local column blank."/>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7000000}" name="ExpendituresYear1" displayName="ExpendituresYear1" ref="H4:M31" totalsRowShown="0" headerRowDxfId="2576" tableBorderDxfId="2575">
  <tableColumns count="6">
    <tableColumn id="1" xr3:uid="{00000000-0010-0000-0700-000001000000}" name="Object Description" dataDxfId="2574"/>
    <tableColumn id="2" xr3:uid="{00000000-0010-0000-0700-000002000000}" name="Code" dataDxfId="2573"/>
    <tableColumn id="6" xr3:uid="{00000000-0010-0000-0700-000006000000}" name="Code 2" dataDxfId="2572"/>
    <tableColumn id="3" xr3:uid="{00000000-0010-0000-0700-000003000000}" name="Local" dataDxfId="2571" dataCellStyle="Currency"/>
    <tableColumn id="4" xr3:uid="{00000000-0010-0000-0700-000004000000}" name="State" dataDxfId="2570" dataCellStyle="Currency"/>
    <tableColumn id="5" xr3:uid="{00000000-0010-0000-0700-000005000000}" name="State and Local" dataDxfId="2569"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1" altTextSummary="In this table, users will enter the LEA's final expenditures for Year 1. The column headers for the first three columns are unlocked and can be edited. If the LEA cannot separately budget for state and local funds, leave the Local column blank."/>
    </ext>
  </extLst>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4F000000}" name="ExpendituresYear4" displayName="ExpendituresYear4" ref="H4:M31" totalsRowShown="0" headerRowDxfId="2072" tableBorderDxfId="2071">
  <tableColumns count="6">
    <tableColumn id="1" xr3:uid="{00000000-0010-0000-4F00-000001000000}" name="Object Description" dataDxfId="2070"/>
    <tableColumn id="2" xr3:uid="{00000000-0010-0000-4F00-000002000000}" name="Code" dataDxfId="2069"/>
    <tableColumn id="6" xr3:uid="{00000000-0010-0000-4F00-000006000000}" name="Code 2" dataDxfId="2068"/>
    <tableColumn id="3" xr3:uid="{00000000-0010-0000-4F00-000003000000}" name="Local" dataDxfId="2067" dataCellStyle="Currency"/>
    <tableColumn id="4" xr3:uid="{00000000-0010-0000-4F00-000004000000}" name="State" dataDxfId="2066" dataCellStyle="Currency"/>
    <tableColumn id="5" xr3:uid="{00000000-0010-0000-4F00-000005000000}" name="State and Local" dataDxfId="2065"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4" altTextSummary="In this table, users will enter the LEA's final expenditures for Year 4. The column headers for the first three columns are unlocked and can be edited. If the LEA cannot separately budget for state and local funds, leave the Local column blank."/>
    </ext>
  </extLst>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50000000}" name="ExcADepartingDataYear4Budget" displayName="ExcADepartingDataYear4Budget" ref="A7:F13" totalsRowShown="0" headerRowDxfId="2064" dataDxfId="2062" headerRowBorderDxfId="2063" tableBorderDxfId="2061">
  <tableColumns count="6">
    <tableColumn id="1" xr3:uid="{00000000-0010-0000-5000-000001000000}" name="Position Title" dataDxfId="2060"/>
    <tableColumn id="2" xr3:uid="{00000000-0010-0000-5000-000002000000}" name="Employee Name" dataDxfId="2059"/>
    <tableColumn id="3" xr3:uid="{00000000-0010-0000-5000-000003000000}" name="Reason for Leaving" dataDxfId="2058"/>
    <tableColumn id="4" xr3:uid="{00000000-0010-0000-5000-000004000000}" name="Salary" dataDxfId="2057" dataCellStyle="Currency"/>
    <tableColumn id="5" xr3:uid="{00000000-0010-0000-5000-000005000000}" name="Benefits" dataDxfId="2056" dataCellStyle="Currency"/>
    <tableColumn id="8" xr3:uid="{00000000-0010-0000-5000-000008000000}" name="Total Budget" dataDxfId="2055"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4 Eligiblity Standard" altTextSummary="Users can enter data in this table for any departing personnel projected for Year 4. This table is for the eligiblity standard and is based on budget amounts."/>
    </ext>
  </extLst>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51000000}" name="ExcAReplaceDataYear4Budget" displayName="ExcAReplaceDataYear4Budget" ref="A15:F21" totalsRowShown="0" headerRowDxfId="2054" dataDxfId="2052" headerRowBorderDxfId="2053" tableBorderDxfId="2051">
  <tableColumns count="6">
    <tableColumn id="1" xr3:uid="{00000000-0010-0000-5100-000001000000}" name="Position Title" dataDxfId="2050"/>
    <tableColumn id="2" xr3:uid="{00000000-0010-0000-5100-000002000000}" name="Employee Name" dataDxfId="2049"/>
    <tableColumn id="3" xr3:uid="{00000000-0010-0000-5100-000003000000}" name="This column intentionally left blank" dataDxfId="2048"/>
    <tableColumn id="4" xr3:uid="{00000000-0010-0000-5100-000004000000}" name="Salary" dataDxfId="2047" dataCellStyle="Currency"/>
    <tableColumn id="5" xr3:uid="{00000000-0010-0000-5100-000005000000}" name="Benefits" dataDxfId="2046" dataCellStyle="Currency"/>
    <tableColumn id="8" xr3:uid="{00000000-0010-0000-5100-000008000000}" name="Total Budget" dataDxfId="2045"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4 Eligibility Standard" altTextSummary="Users can enter data in this table for any replacement personnel projected for Year 4. This table is for the eligiblity standard and is based on budget amounts."/>
    </ext>
  </extLst>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52000000}" name="ExcDDataYear4Budget" displayName="ExcDDataYear4Budget" ref="A47:B53" totalsRowShown="0" headerRowDxfId="2044" dataDxfId="2042" headerRowBorderDxfId="2043" tableBorderDxfId="2041">
  <tableColumns count="2">
    <tableColumn id="1" xr3:uid="{00000000-0010-0000-5200-000001000000}" name="Description" dataDxfId="2040"/>
    <tableColumn id="2" xr3:uid="{00000000-0010-0000-5200-000002000000}" name="Budgeted Cost in Final Year" dataDxfId="2039"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4 Eligiblity Standard" altTextSummary="Users can enter data in this table for the projected termination of costly expenditures for long-term purchases for Year 4. This table is for the eligiblity standard and is based on budget amounts."/>
    </ext>
  </extLst>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53000000}" name="AdjDataYear4Budget" displayName="AdjDataYear4Budget" ref="A71:B72" totalsRowShown="0" headerRowDxfId="2038" dataDxfId="2036" headerRowBorderDxfId="2037" tableBorderDxfId="2035" totalsRowBorderDxfId="2034">
  <tableColumns count="2">
    <tableColumn id="1" xr3:uid="{00000000-0010-0000-5300-000001000000}" name="Column1" dataDxfId="2033"/>
    <tableColumn id="2" xr3:uid="{00000000-0010-0000-5300-000002000000}" name="Projected Adjustment" dataDxfId="2032"/>
  </tableColumns>
  <tableStyleInfo name="TableStyleMedium9" showFirstColumn="0" showLastColumn="0" showRowStripes="0" showColumnStripes="0"/>
  <extLst>
    <ext xmlns:x14="http://schemas.microsoft.com/office/spreadsheetml/2009/9/main" uri="{504A1905-F514-4f6f-8877-14C23A59335A}">
      <x14:table altText="MOE Adjustment Data Entry for Year 4 Eligiblity Standard" altTextSummary="Users can enter data in this table for the projected Adjustment to MOE for Year 4. This table is for the eligiblity standard and is based on budget amounts. Use IDC's MOE Reduction Decision Tree and Calculator to determine the adjustment amount."/>
    </ext>
  </extLst>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54000000}" name="ExcCDataYear4Budget" displayName="ExcCDataYear4Budget" ref="A37:C43" totalsRowShown="0" headerRowDxfId="2031" dataDxfId="2030" tableBorderDxfId="2029">
  <tableColumns count="3">
    <tableColumn id="1" xr3:uid="{00000000-0010-0000-5400-000001000000}" name="Student Identifier" dataDxfId="2028"/>
    <tableColumn id="2" xr3:uid="{00000000-0010-0000-5400-000002000000}" name="Reason" dataDxfId="2027"/>
    <tableColumn id="3" xr3:uid="{00000000-0010-0000-5400-000003000000}" name="Budgeted Cost" dataDxfId="2026"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4 Eligiblity Standard" altTextSummary="Users can enter data in this table for the projected termination of the obligation to provide special education to a particular student that is an exceptionally costly program projected for Year 4. This table is for the eligiblity standard and is based on budget amounts."/>
    </ext>
  </extLst>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55000000}" name="ExcEDataYear4Budget" displayName="ExcEDataYear4Budget" ref="A57:B63" totalsRowShown="0" headerRowDxfId="2025" tableBorderDxfId="2024">
  <tableColumns count="2">
    <tableColumn id="1" xr3:uid="{00000000-0010-0000-5500-000001000000}" name="Student Identifier" dataDxfId="2023"/>
    <tableColumn id="2" xr3:uid="{00000000-0010-0000-5500-000002000000}" name="Budgeted Cost Assumed by SEA" dataDxfId="202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4 Eligiblity Standard" altTextSummary="Users can enter data for the projected assumption of cost by the high cost fund operated by the SEA for Year 4. This table is for the eligibility standard and uses budget data. The table will not calculate a total if tab 3b indicates that the SEA does not have a high cost fund in Year 4."/>
    </ext>
  </extLst>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56000000}" name="ExcBChildCountDataYear4Budget" displayName="ExcBChildCountDataYear4Budget" ref="A25:B29" totalsRowShown="0" headerRowDxfId="2021" dataDxfId="2020">
  <tableColumns count="2">
    <tableColumn id="1" xr3:uid="{00000000-0010-0000-5600-000001000000}" name="Column1" dataDxfId="2019"/>
    <tableColumn id="2" xr3:uid="{00000000-0010-0000-5600-000002000000}" name="Column2" dataDxfId="201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4 Eligibility Standard" altTextSummary="This table automatically calculates the change in enrollment for Year 4 to determine whether the LEA can apply exception (b). This table is for the eligibility standard."/>
    </ext>
  </extLst>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57000000}" name="ExcBFundsDataYear4Budget" displayName="ExcBFundsDataYear4Budget" ref="A30:C32" totalsRowShown="0" headerRowDxfId="2017" dataDxfId="2015" headerRowBorderDxfId="2016" tableBorderDxfId="2014" totalsRowBorderDxfId="2013">
  <tableColumns count="3">
    <tableColumn id="1" xr3:uid="{00000000-0010-0000-5700-000001000000}" name="Column1" dataDxfId="2012"/>
    <tableColumn id="2" xr3:uid="{00000000-0010-0000-5700-000002000000}" name="Total Local Funds" dataDxfId="2011">
      <calculatedColumnFormula>'2. Getting Started'!C17</calculatedColumnFormula>
    </tableColumn>
    <tableColumn id="3" xr3:uid="{00000000-0010-0000-5700-000003000000}" name="Total State and Local Funds" dataDxfId="2010">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4 Eligiblity Standard" altTextSummary="This table automatically calculates the projected reduction based on a decrease in enrollment for Year 4. This table is for the eligibility standard and uses budget data. The row for Projected Reduction will be blank if there is no decrease in child count."/>
    </ext>
  </extLst>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58000000}" name="ExcADepartingDataYear4Expenditures314967" displayName="ExcADepartingDataYear4Expenditures314967" ref="H7:M13" totalsRowShown="0" headerRowDxfId="2009" dataDxfId="2007" headerRowBorderDxfId="2008" tableBorderDxfId="2006">
  <tableColumns count="6">
    <tableColumn id="1" xr3:uid="{00000000-0010-0000-5800-000001000000}" name="Position Title" dataDxfId="2005"/>
    <tableColumn id="2" xr3:uid="{00000000-0010-0000-5800-000002000000}" name="Employee Name" dataDxfId="2004"/>
    <tableColumn id="3" xr3:uid="{00000000-0010-0000-5800-000003000000}" name="Reason for Leaving" dataDxfId="2003"/>
    <tableColumn id="4" xr3:uid="{00000000-0010-0000-5800-000004000000}" name="Salary" dataDxfId="2002" dataCellStyle="Currency"/>
    <tableColumn id="5" xr3:uid="{00000000-0010-0000-5800-000005000000}" name="Benefits" dataDxfId="2001" dataCellStyle="Currency"/>
    <tableColumn id="8" xr3:uid="{00000000-0010-0000-5800-000008000000}" name="Total Expenditures" dataDxfId="200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4 Compliance Standard" altTextSummary="Users can enter data in this table for any departing personnel for Year 4. This table is for the compliance standard and is based on final expenditur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8000000}" name="ExcADepartingDataYear1Budget" displayName="ExcADepartingDataYear1Budget" ref="A7:F13" totalsRowShown="0" headerRowDxfId="2568" dataDxfId="2566" headerRowBorderDxfId="2567" tableBorderDxfId="2565">
  <tableColumns count="6">
    <tableColumn id="1" xr3:uid="{00000000-0010-0000-0800-000001000000}" name="Position Title" dataDxfId="2564"/>
    <tableColumn id="2" xr3:uid="{00000000-0010-0000-0800-000002000000}" name="Employee Name" dataDxfId="2563"/>
    <tableColumn id="3" xr3:uid="{00000000-0010-0000-0800-000003000000}" name="Reason for Leaving" dataDxfId="2562"/>
    <tableColumn id="4" xr3:uid="{00000000-0010-0000-0800-000004000000}" name="Salary" dataDxfId="2561" dataCellStyle="Currency"/>
    <tableColumn id="5" xr3:uid="{00000000-0010-0000-0800-000005000000}" name="Benefits" dataDxfId="2560" dataCellStyle="Currency"/>
    <tableColumn id="8" xr3:uid="{00000000-0010-0000-0800-000008000000}" name="Total Budget" dataDxfId="2559"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1 Eligiblity Standard" altTextSummary="Users can enter data in this table for any departing personnel projected for Year 1. This table is for the eligiblity standard and is based on budget amounts."/>
    </ext>
  </extLst>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59000000}" name="ExcAReplaceDataYear4Expenditures" displayName="ExcAReplaceDataYear4Expenditures" ref="H15:M21" totalsRowShown="0" headerRowDxfId="1999" dataDxfId="1997" headerRowBorderDxfId="1998" tableBorderDxfId="1996">
  <tableColumns count="6">
    <tableColumn id="1" xr3:uid="{00000000-0010-0000-5900-000001000000}" name="Position Title" dataDxfId="1995"/>
    <tableColumn id="2" xr3:uid="{00000000-0010-0000-5900-000002000000}" name="Employee Name" dataDxfId="1994"/>
    <tableColumn id="3" xr3:uid="{00000000-0010-0000-5900-000003000000}" name="This column intentionally left blank" dataDxfId="1993"/>
    <tableColumn id="4" xr3:uid="{00000000-0010-0000-5900-000004000000}" name="Salary" dataDxfId="1992" dataCellStyle="Currency"/>
    <tableColumn id="5" xr3:uid="{00000000-0010-0000-5900-000005000000}" name="Benefits" dataDxfId="1991" dataCellStyle="Currency"/>
    <tableColumn id="8" xr3:uid="{00000000-0010-0000-5900-000008000000}" name="Total Expenditures" dataDxfId="199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4 Compliance Standard" altTextSummary="Users can enter data in this table for any replacement personnel for Year 4. This table is for the compliance standard and is based on final expenditures."/>
    </ext>
  </extLst>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5A000000}" name="ExcDDataYear4Expenditures" displayName="ExcDDataYear4Expenditures" ref="H47:I53" totalsRowShown="0" headerRowDxfId="1989" dataDxfId="1987" headerRowBorderDxfId="1988" tableBorderDxfId="1986">
  <tableColumns count="2">
    <tableColumn id="1" xr3:uid="{00000000-0010-0000-5A00-000001000000}" name="Description" dataDxfId="1985"/>
    <tableColumn id="2" xr3:uid="{00000000-0010-0000-5A00-000002000000}" name="Cost in Final Year of Expenditure" dataDxfId="198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4 Compliance Standard" altTextSummary="Users can enter data in this table for the termination of costly expenditures for long-term purchases for Year 4. This table is for the compliance standard and is based on final expenditures."/>
    </ext>
  </extLst>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5B000000}" name="AdjDataYear4Expenditures" displayName="AdjDataYear4Expenditures" ref="H71:I72" totalsRowShown="0" headerRowDxfId="1983" dataDxfId="1981" headerRowBorderDxfId="1982" tableBorderDxfId="1980" totalsRowBorderDxfId="1979">
  <tableColumns count="2">
    <tableColumn id="1" xr3:uid="{00000000-0010-0000-5B00-000001000000}" name="Column1" dataDxfId="1978"/>
    <tableColumn id="2" xr3:uid="{00000000-0010-0000-5B00-000002000000}" name="Adjustment " dataDxfId="1977"/>
  </tableColumns>
  <tableStyleInfo name="TableStyleMedium9" showFirstColumn="0" showLastColumn="0" showRowStripes="0" showColumnStripes="0"/>
  <extLst>
    <ext xmlns:x14="http://schemas.microsoft.com/office/spreadsheetml/2009/9/main" uri="{504A1905-F514-4f6f-8877-14C23A59335A}">
      <x14:table altText="MOE Adjustment Data Entry for Year 4 Compliance Standard" altTextSummary="Users can enter data in this table for the Adjustment to MOE for Year 4. This table is for the compliance standard and is based on final expenditures. Use IDC's MOE Reduction Decision Tree and Calculator to determine the adjustment amount."/>
    </ext>
  </extLst>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5C000000}" name="ExcCDataYear4Expenditures" displayName="ExcCDataYear4Expenditures" ref="H37:J43" totalsRowShown="0" headerRowDxfId="1976" dataDxfId="1975" tableBorderDxfId="1974">
  <tableColumns count="3">
    <tableColumn id="1" xr3:uid="{00000000-0010-0000-5C00-000001000000}" name="Student Identifier" dataDxfId="1973"/>
    <tableColumn id="2" xr3:uid="{00000000-0010-0000-5C00-000002000000}" name="Reason" dataDxfId="1972"/>
    <tableColumn id="3" xr3:uid="{00000000-0010-0000-5C00-000003000000}" name="Expenditures" dataDxfId="197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4 Compliance Standard" altTextSummary="Users can enter data in this table for the termination of the obligation to provide special education to a particular student that is an exceptionally costly program projected for Year 4. This table is for the compliance standard and is based on final expenditures."/>
    </ext>
  </extLst>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5D000000}" name="ExcEDataYear4Expenditures" displayName="ExcEDataYear4Expenditures" ref="H57:I63" totalsRowShown="0" headerRowDxfId="1970" tableBorderDxfId="1969">
  <tableColumns count="2">
    <tableColumn id="1" xr3:uid="{00000000-0010-0000-5D00-000001000000}" name="Student Identifier" dataDxfId="1968"/>
    <tableColumn id="2" xr3:uid="{00000000-0010-0000-5D00-000002000000}" name="Cost Assumed by SEA" dataDxfId="1967"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4 Compliance Standard" altTextSummary="Users can enter data for the assumption of cost by the high cost fund operated by the SEA for Year 4. This table is for the compliance standard and uses final expenditures. The table will not calculate a total if tab 3b indicates that the SEA does not have a high cost fund in Year 4."/>
    </ext>
  </extLst>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5E000000}" name="ExcBChildCountDataYear4Expenditures" displayName="ExcBChildCountDataYear4Expenditures" ref="H25:I29" totalsRowShown="0" headerRowDxfId="1966" dataDxfId="1965">
  <tableColumns count="2">
    <tableColumn id="1" xr3:uid="{00000000-0010-0000-5E00-000001000000}" name="Column1" dataDxfId="1964"/>
    <tableColumn id="2" xr3:uid="{00000000-0010-0000-5E00-000002000000}" name="Column2" dataDxfId="1963"/>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4 Compliance Standard" altTextSummary="This table automatically calculates the change in enrollment for Year 4 to determine whether the LEA can apply exception (b). This table is for the compliance standard."/>
    </ext>
  </extLst>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5F000000}" name="ExcBFundsDataYear4Expenditures" displayName="ExcBFundsDataYear4Expenditures" ref="H30:J32" totalsRowShown="0" headerRowDxfId="1962" dataDxfId="1960" headerRowBorderDxfId="1961" tableBorderDxfId="1959" totalsRowBorderDxfId="1958">
  <tableColumns count="3">
    <tableColumn id="1" xr3:uid="{00000000-0010-0000-5F00-000001000000}" name="Column1" dataDxfId="1957"/>
    <tableColumn id="2" xr3:uid="{00000000-0010-0000-5F00-000002000000}" name="Local Total" dataDxfId="1956"/>
    <tableColumn id="3" xr3:uid="{00000000-0010-0000-5F00-000003000000}" name="State and Local Total" dataDxfId="1955"/>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4 Compliance Standard" altTextSummary="This table automatically calculates the reduction based on a decrease in enrollment for Year 4. This table is for the compliance standard and uses final expenditures. The row for Allowed Reduction will be blank and blacked out if there is no decrease in child count."/>
    </ext>
  </extLst>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0" xr:uid="{00000000-000C-0000-FFFF-FFFF60000000}" name="TotalBudgetedExcYear4" displayName="TotalBudgetedExcYear4" ref="A66:B68" totalsRowShown="0" headerRowDxfId="1954" headerRowBorderDxfId="1953" tableBorderDxfId="1952" totalsRowBorderDxfId="1951">
  <autoFilter ref="A66:B68" xr:uid="{00000000-0009-0000-0100-0000D2000000}">
    <filterColumn colId="0" hiddenButton="1"/>
    <filterColumn colId="1" hiddenButton="1"/>
  </autoFilter>
  <tableColumns count="2">
    <tableColumn id="1" xr3:uid="{00000000-0010-0000-6000-000001000000}" name="Source" dataDxfId="1950" dataCellStyle="Normal 2"/>
    <tableColumn id="2" xr3:uid="{00000000-0010-0000-6000-000002000000}" name="Total" dataDxfId="1949" dataCellStyle="Currency 2">
      <calculatedColumnFormula>IF(B$28&gt;=0,(F$22+C$43+B$53+B$63),(F$22+C$43+B$53+B$63+C$32))</calculatedColumnFormula>
    </tableColumn>
  </tableColumns>
  <tableStyleInfo name="TableStyleMedium2" showFirstColumn="0" showLastColumn="0" showRowStripes="0" showColumnStripes="0"/>
  <extLst>
    <ext xmlns:x14="http://schemas.microsoft.com/office/spreadsheetml/2009/9/main" uri="{504A1905-F514-4f6f-8877-14C23A59335A}">
      <x14:table altText="Total Exceptions for Year 4 Eligibility Standard" altTextSummary="This table displays the total projected exceptions entered for the eligibility standard for Year 4."/>
    </ext>
  </extLst>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1" xr:uid="{00000000-000C-0000-FFFF-FFFF61000000}" name="TotalExpendituresExcYear4" displayName="TotalExpendituresExcYear4" ref="H66:I68" totalsRowShown="0" headerRowDxfId="1948" headerRowBorderDxfId="1947" tableBorderDxfId="1946" totalsRowBorderDxfId="1945">
  <autoFilter ref="H66:I68" xr:uid="{00000000-0009-0000-0100-0000D3000000}">
    <filterColumn colId="0" hiddenButton="1"/>
    <filterColumn colId="1" hiddenButton="1"/>
  </autoFilter>
  <tableColumns count="2">
    <tableColumn id="1" xr3:uid="{00000000-0010-0000-6100-000001000000}" name="Source" dataDxfId="1944" dataCellStyle="Normal 2"/>
    <tableColumn id="2" xr3:uid="{00000000-0010-0000-6100-000002000000}" name="Total" dataDxfId="1943" dataCellStyle="Currency 2">
      <calculatedColumnFormula>IF(I$28&gt;=0,(M$22+J$43+I$53+I$63),(M$22+J$43+I$53+I$63+J$32))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Exceptions for Year 4 Compliance Standard" altTextSummary="This table displays the total exceptions entered for the compliance standard for Year 4."/>
    </ext>
  </extLst>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2" xr:uid="{00000000-000C-0000-FFFF-FFFF62000000}" name="EligibilityYear4" displayName="EligibilityYear4" ref="A5:E10" totalsRowShown="0" headerRowDxfId="1942" headerRowBorderDxfId="1941" tableBorderDxfId="1940" totalsRowBorderDxfId="1939">
  <autoFilter ref="A5:E10" xr:uid="{00000000-0009-0000-0100-0000D4000000}">
    <filterColumn colId="0" hiddenButton="1"/>
    <filterColumn colId="1" hiddenButton="1"/>
    <filterColumn colId="2" hiddenButton="1"/>
    <filterColumn colId="3" hiddenButton="1"/>
    <filterColumn colId="4" hiddenButton="1"/>
  </autoFilter>
  <tableColumns count="5">
    <tableColumn id="1" xr3:uid="{00000000-0010-0000-6200-000001000000}" name="MOE Information" dataDxfId="1938"/>
    <tableColumn id="2" xr3:uid="{00000000-0010-0000-6200-000002000000}" name="Total Local Funds"/>
    <tableColumn id="3" xr3:uid="{00000000-0010-0000-6200-000003000000}" name="Total State and Local Funds"/>
    <tableColumn id="4" xr3:uid="{00000000-0010-0000-6200-000004000000}" name="Local Funds Per Capita"/>
    <tableColumn id="5" xr3:uid="{00000000-0010-0000-62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4 Eligibility Standard" altTextSummary="This table displays MOE amounts and results for the eligibility standard for Year 4."/>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36.xml"/><Relationship Id="rId13" Type="http://schemas.openxmlformats.org/officeDocument/2006/relationships/table" Target="../tables/table41.xml"/><Relationship Id="rId18" Type="http://schemas.openxmlformats.org/officeDocument/2006/relationships/table" Target="../tables/table46.xml"/><Relationship Id="rId3" Type="http://schemas.openxmlformats.org/officeDocument/2006/relationships/hyperlink" Target="https://cifr.wested.org/resource/lea-moe-calculator/" TargetMode="External"/><Relationship Id="rId21" Type="http://schemas.openxmlformats.org/officeDocument/2006/relationships/table" Target="../tables/table49.xml"/><Relationship Id="rId7" Type="http://schemas.openxmlformats.org/officeDocument/2006/relationships/table" Target="../tables/table35.xml"/><Relationship Id="rId12" Type="http://schemas.openxmlformats.org/officeDocument/2006/relationships/table" Target="../tables/table40.xml"/><Relationship Id="rId17" Type="http://schemas.openxmlformats.org/officeDocument/2006/relationships/table" Target="../tables/table45.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44.xml"/><Relationship Id="rId20" Type="http://schemas.openxmlformats.org/officeDocument/2006/relationships/table" Target="../tables/table48.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34.xml"/><Relationship Id="rId11" Type="http://schemas.openxmlformats.org/officeDocument/2006/relationships/table" Target="../tables/table39.xml"/><Relationship Id="rId5" Type="http://schemas.openxmlformats.org/officeDocument/2006/relationships/table" Target="../tables/table33.xml"/><Relationship Id="rId15" Type="http://schemas.openxmlformats.org/officeDocument/2006/relationships/table" Target="../tables/table43.xml"/><Relationship Id="rId10" Type="http://schemas.openxmlformats.org/officeDocument/2006/relationships/table" Target="../tables/table38.xml"/><Relationship Id="rId19" Type="http://schemas.openxmlformats.org/officeDocument/2006/relationships/table" Target="../tables/table47.xml"/><Relationship Id="rId4" Type="http://schemas.openxmlformats.org/officeDocument/2006/relationships/printerSettings" Target="../printerSettings/printerSettings10.bin"/><Relationship Id="rId9" Type="http://schemas.openxmlformats.org/officeDocument/2006/relationships/table" Target="../tables/table37.xml"/><Relationship Id="rId14" Type="http://schemas.openxmlformats.org/officeDocument/2006/relationships/table" Target="../tables/table42.xml"/><Relationship Id="rId22" Type="http://schemas.openxmlformats.org/officeDocument/2006/relationships/table" Target="../tables/table5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51.xml"/><Relationship Id="rId2" Type="http://schemas.openxmlformats.org/officeDocument/2006/relationships/printerSettings" Target="../printerSettings/printerSettings11.bin"/><Relationship Id="rId1" Type="http://schemas.openxmlformats.org/officeDocument/2006/relationships/hyperlink" Target="https://cifr.wested.org/resource/lea-moe-calculator/" TargetMode="External"/><Relationship Id="rId6" Type="http://schemas.openxmlformats.org/officeDocument/2006/relationships/table" Target="../tables/table54.xml"/><Relationship Id="rId5" Type="http://schemas.openxmlformats.org/officeDocument/2006/relationships/table" Target="../tables/table53.xml"/><Relationship Id="rId4" Type="http://schemas.openxmlformats.org/officeDocument/2006/relationships/table" Target="../tables/table5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55.xml"/><Relationship Id="rId2" Type="http://schemas.openxmlformats.org/officeDocument/2006/relationships/printerSettings" Target="../printerSettings/printerSettings12.bin"/><Relationship Id="rId1" Type="http://schemas.openxmlformats.org/officeDocument/2006/relationships/hyperlink" Target="https://cifr.wested.org/resource/lea-moe-calculator/" TargetMode="External"/><Relationship Id="rId4" Type="http://schemas.openxmlformats.org/officeDocument/2006/relationships/table" Target="../tables/table56.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60.xml"/><Relationship Id="rId13" Type="http://schemas.openxmlformats.org/officeDocument/2006/relationships/table" Target="../tables/table65.xml"/><Relationship Id="rId18" Type="http://schemas.openxmlformats.org/officeDocument/2006/relationships/table" Target="../tables/table70.xml"/><Relationship Id="rId3" Type="http://schemas.openxmlformats.org/officeDocument/2006/relationships/hyperlink" Target="https://cifr.wested.org/resource/lea-moe-calculator/" TargetMode="External"/><Relationship Id="rId21" Type="http://schemas.openxmlformats.org/officeDocument/2006/relationships/table" Target="../tables/table73.xml"/><Relationship Id="rId7" Type="http://schemas.openxmlformats.org/officeDocument/2006/relationships/table" Target="../tables/table59.xml"/><Relationship Id="rId12" Type="http://schemas.openxmlformats.org/officeDocument/2006/relationships/table" Target="../tables/table64.xml"/><Relationship Id="rId17" Type="http://schemas.openxmlformats.org/officeDocument/2006/relationships/table" Target="../tables/table69.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68.xml"/><Relationship Id="rId20" Type="http://schemas.openxmlformats.org/officeDocument/2006/relationships/table" Target="../tables/table72.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58.xml"/><Relationship Id="rId11" Type="http://schemas.openxmlformats.org/officeDocument/2006/relationships/table" Target="../tables/table63.xml"/><Relationship Id="rId5" Type="http://schemas.openxmlformats.org/officeDocument/2006/relationships/table" Target="../tables/table57.xml"/><Relationship Id="rId15" Type="http://schemas.openxmlformats.org/officeDocument/2006/relationships/table" Target="../tables/table67.xml"/><Relationship Id="rId10" Type="http://schemas.openxmlformats.org/officeDocument/2006/relationships/table" Target="../tables/table62.xml"/><Relationship Id="rId19" Type="http://schemas.openxmlformats.org/officeDocument/2006/relationships/table" Target="../tables/table71.xml"/><Relationship Id="rId4" Type="http://schemas.openxmlformats.org/officeDocument/2006/relationships/printerSettings" Target="../printerSettings/printerSettings13.bin"/><Relationship Id="rId9" Type="http://schemas.openxmlformats.org/officeDocument/2006/relationships/table" Target="../tables/table61.xml"/><Relationship Id="rId14" Type="http://schemas.openxmlformats.org/officeDocument/2006/relationships/table" Target="../tables/table66.xml"/><Relationship Id="rId22" Type="http://schemas.openxmlformats.org/officeDocument/2006/relationships/table" Target="../tables/table74.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75.xml"/><Relationship Id="rId2" Type="http://schemas.openxmlformats.org/officeDocument/2006/relationships/printerSettings" Target="../printerSettings/printerSettings14.bin"/><Relationship Id="rId1" Type="http://schemas.openxmlformats.org/officeDocument/2006/relationships/hyperlink" Target="https://cifr.wested.org/resource/lea-moe-calculator/" TargetMode="External"/><Relationship Id="rId6" Type="http://schemas.openxmlformats.org/officeDocument/2006/relationships/table" Target="../tables/table78.xml"/><Relationship Id="rId5" Type="http://schemas.openxmlformats.org/officeDocument/2006/relationships/table" Target="../tables/table77.xml"/><Relationship Id="rId4" Type="http://schemas.openxmlformats.org/officeDocument/2006/relationships/table" Target="../tables/table76.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79.xml"/><Relationship Id="rId2" Type="http://schemas.openxmlformats.org/officeDocument/2006/relationships/printerSettings" Target="../printerSettings/printerSettings15.bin"/><Relationship Id="rId1" Type="http://schemas.openxmlformats.org/officeDocument/2006/relationships/hyperlink" Target="https://cifr.wested.org/resource/lea-moe-calculator/" TargetMode="External"/><Relationship Id="rId4" Type="http://schemas.openxmlformats.org/officeDocument/2006/relationships/table" Target="../tables/table80.xml"/></Relationships>
</file>

<file path=xl/worksheets/_rels/sheet16.xml.rels><?xml version="1.0" encoding="UTF-8" standalone="yes"?>
<Relationships xmlns="http://schemas.openxmlformats.org/package/2006/relationships"><Relationship Id="rId8" Type="http://schemas.openxmlformats.org/officeDocument/2006/relationships/table" Target="../tables/table84.xml"/><Relationship Id="rId13" Type="http://schemas.openxmlformats.org/officeDocument/2006/relationships/table" Target="../tables/table89.xml"/><Relationship Id="rId18" Type="http://schemas.openxmlformats.org/officeDocument/2006/relationships/table" Target="../tables/table94.xml"/><Relationship Id="rId3" Type="http://schemas.openxmlformats.org/officeDocument/2006/relationships/hyperlink" Target="https://cifr.wested.org/resource/lea-moe-calculator/" TargetMode="External"/><Relationship Id="rId21" Type="http://schemas.openxmlformats.org/officeDocument/2006/relationships/table" Target="../tables/table97.xml"/><Relationship Id="rId7" Type="http://schemas.openxmlformats.org/officeDocument/2006/relationships/table" Target="../tables/table83.xml"/><Relationship Id="rId12" Type="http://schemas.openxmlformats.org/officeDocument/2006/relationships/table" Target="../tables/table88.xml"/><Relationship Id="rId17" Type="http://schemas.openxmlformats.org/officeDocument/2006/relationships/table" Target="../tables/table93.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92.xml"/><Relationship Id="rId20" Type="http://schemas.openxmlformats.org/officeDocument/2006/relationships/table" Target="../tables/table96.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82.xml"/><Relationship Id="rId11" Type="http://schemas.openxmlformats.org/officeDocument/2006/relationships/table" Target="../tables/table87.xml"/><Relationship Id="rId5" Type="http://schemas.openxmlformats.org/officeDocument/2006/relationships/table" Target="../tables/table81.xml"/><Relationship Id="rId15" Type="http://schemas.openxmlformats.org/officeDocument/2006/relationships/table" Target="../tables/table91.xml"/><Relationship Id="rId10" Type="http://schemas.openxmlformats.org/officeDocument/2006/relationships/table" Target="../tables/table86.xml"/><Relationship Id="rId19" Type="http://schemas.openxmlformats.org/officeDocument/2006/relationships/table" Target="../tables/table95.xml"/><Relationship Id="rId4" Type="http://schemas.openxmlformats.org/officeDocument/2006/relationships/printerSettings" Target="../printerSettings/printerSettings16.bin"/><Relationship Id="rId9" Type="http://schemas.openxmlformats.org/officeDocument/2006/relationships/table" Target="../tables/table85.xml"/><Relationship Id="rId14" Type="http://schemas.openxmlformats.org/officeDocument/2006/relationships/table" Target="../tables/table90.xml"/><Relationship Id="rId22" Type="http://schemas.openxmlformats.org/officeDocument/2006/relationships/table" Target="../tables/table98.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99.xml"/><Relationship Id="rId2" Type="http://schemas.openxmlformats.org/officeDocument/2006/relationships/printerSettings" Target="../printerSettings/printerSettings17.bin"/><Relationship Id="rId1" Type="http://schemas.openxmlformats.org/officeDocument/2006/relationships/hyperlink" Target="https://cifr.wested.org/resource/lea-moe-calculator/" TargetMode="External"/><Relationship Id="rId6" Type="http://schemas.openxmlformats.org/officeDocument/2006/relationships/table" Target="../tables/table102.xml"/><Relationship Id="rId5" Type="http://schemas.openxmlformats.org/officeDocument/2006/relationships/table" Target="../tables/table101.xml"/><Relationship Id="rId4" Type="http://schemas.openxmlformats.org/officeDocument/2006/relationships/table" Target="../tables/table100.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103.xml"/><Relationship Id="rId2" Type="http://schemas.openxmlformats.org/officeDocument/2006/relationships/printerSettings" Target="../printerSettings/printerSettings18.bin"/><Relationship Id="rId1" Type="http://schemas.openxmlformats.org/officeDocument/2006/relationships/hyperlink" Target="https://cifr.wested.org/resource/lea-moe-calculator/" TargetMode="External"/><Relationship Id="rId4" Type="http://schemas.openxmlformats.org/officeDocument/2006/relationships/table" Target="../tables/table104.xml"/></Relationships>
</file>

<file path=xl/worksheets/_rels/sheet19.xml.rels><?xml version="1.0" encoding="UTF-8" standalone="yes"?>
<Relationships xmlns="http://schemas.openxmlformats.org/package/2006/relationships"><Relationship Id="rId8" Type="http://schemas.openxmlformats.org/officeDocument/2006/relationships/table" Target="../tables/table108.xml"/><Relationship Id="rId13" Type="http://schemas.openxmlformats.org/officeDocument/2006/relationships/table" Target="../tables/table113.xml"/><Relationship Id="rId18" Type="http://schemas.openxmlformats.org/officeDocument/2006/relationships/table" Target="../tables/table118.xml"/><Relationship Id="rId3" Type="http://schemas.openxmlformats.org/officeDocument/2006/relationships/hyperlink" Target="https://cifr.wested.org/resource/lea-moe-calculator/" TargetMode="External"/><Relationship Id="rId21" Type="http://schemas.openxmlformats.org/officeDocument/2006/relationships/table" Target="../tables/table121.xml"/><Relationship Id="rId7" Type="http://schemas.openxmlformats.org/officeDocument/2006/relationships/table" Target="../tables/table107.xml"/><Relationship Id="rId12" Type="http://schemas.openxmlformats.org/officeDocument/2006/relationships/table" Target="../tables/table112.xml"/><Relationship Id="rId17" Type="http://schemas.openxmlformats.org/officeDocument/2006/relationships/table" Target="../tables/table117.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116.xml"/><Relationship Id="rId20" Type="http://schemas.openxmlformats.org/officeDocument/2006/relationships/table" Target="../tables/table120.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106.xml"/><Relationship Id="rId11" Type="http://schemas.openxmlformats.org/officeDocument/2006/relationships/table" Target="../tables/table111.xml"/><Relationship Id="rId5" Type="http://schemas.openxmlformats.org/officeDocument/2006/relationships/table" Target="../tables/table105.xml"/><Relationship Id="rId15" Type="http://schemas.openxmlformats.org/officeDocument/2006/relationships/table" Target="../tables/table115.xml"/><Relationship Id="rId10" Type="http://schemas.openxmlformats.org/officeDocument/2006/relationships/table" Target="../tables/table110.xml"/><Relationship Id="rId19" Type="http://schemas.openxmlformats.org/officeDocument/2006/relationships/table" Target="../tables/table119.xml"/><Relationship Id="rId4" Type="http://schemas.openxmlformats.org/officeDocument/2006/relationships/printerSettings" Target="../printerSettings/printerSettings19.bin"/><Relationship Id="rId9" Type="http://schemas.openxmlformats.org/officeDocument/2006/relationships/table" Target="../tables/table109.xml"/><Relationship Id="rId14" Type="http://schemas.openxmlformats.org/officeDocument/2006/relationships/table" Target="../tables/table114.xml"/><Relationship Id="rId22" Type="http://schemas.openxmlformats.org/officeDocument/2006/relationships/table" Target="../tables/table12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cifr.wested.org/resource/lea-moe-calculator/" TargetMode="External"/><Relationship Id="rId5" Type="http://schemas.openxmlformats.org/officeDocument/2006/relationships/table" Target="../tables/table3.xml"/><Relationship Id="rId4"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123.xml"/><Relationship Id="rId2" Type="http://schemas.openxmlformats.org/officeDocument/2006/relationships/printerSettings" Target="../printerSettings/printerSettings20.bin"/><Relationship Id="rId1" Type="http://schemas.openxmlformats.org/officeDocument/2006/relationships/hyperlink" Target="https://cifr.wested.org/resource/lea-moe-calculator/" TargetMode="External"/><Relationship Id="rId6" Type="http://schemas.openxmlformats.org/officeDocument/2006/relationships/table" Target="../tables/table126.xml"/><Relationship Id="rId5" Type="http://schemas.openxmlformats.org/officeDocument/2006/relationships/table" Target="../tables/table125.xml"/><Relationship Id="rId4" Type="http://schemas.openxmlformats.org/officeDocument/2006/relationships/table" Target="../tables/table124.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127.xml"/><Relationship Id="rId2" Type="http://schemas.openxmlformats.org/officeDocument/2006/relationships/printerSettings" Target="../printerSettings/printerSettings21.bin"/><Relationship Id="rId1" Type="http://schemas.openxmlformats.org/officeDocument/2006/relationships/hyperlink" Target="https://cifr.wested.org/resource/lea-moe-calculator/" TargetMode="External"/><Relationship Id="rId4" Type="http://schemas.openxmlformats.org/officeDocument/2006/relationships/table" Target="../tables/table128.xml"/></Relationships>
</file>

<file path=xl/worksheets/_rels/sheet22.xml.rels><?xml version="1.0" encoding="UTF-8" standalone="yes"?>
<Relationships xmlns="http://schemas.openxmlformats.org/package/2006/relationships"><Relationship Id="rId8" Type="http://schemas.openxmlformats.org/officeDocument/2006/relationships/table" Target="../tables/table132.xml"/><Relationship Id="rId13" Type="http://schemas.openxmlformats.org/officeDocument/2006/relationships/table" Target="../tables/table137.xml"/><Relationship Id="rId18" Type="http://schemas.openxmlformats.org/officeDocument/2006/relationships/table" Target="../tables/table142.xml"/><Relationship Id="rId3" Type="http://schemas.openxmlformats.org/officeDocument/2006/relationships/hyperlink" Target="https://cifr.wested.org/resource/lea-moe-calculator/" TargetMode="External"/><Relationship Id="rId21" Type="http://schemas.openxmlformats.org/officeDocument/2006/relationships/table" Target="../tables/table145.xml"/><Relationship Id="rId7" Type="http://schemas.openxmlformats.org/officeDocument/2006/relationships/table" Target="../tables/table131.xml"/><Relationship Id="rId12" Type="http://schemas.openxmlformats.org/officeDocument/2006/relationships/table" Target="../tables/table136.xml"/><Relationship Id="rId17" Type="http://schemas.openxmlformats.org/officeDocument/2006/relationships/table" Target="../tables/table141.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140.xml"/><Relationship Id="rId20" Type="http://schemas.openxmlformats.org/officeDocument/2006/relationships/table" Target="../tables/table144.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130.xml"/><Relationship Id="rId11" Type="http://schemas.openxmlformats.org/officeDocument/2006/relationships/table" Target="../tables/table135.xml"/><Relationship Id="rId5" Type="http://schemas.openxmlformats.org/officeDocument/2006/relationships/table" Target="../tables/table129.xml"/><Relationship Id="rId15" Type="http://schemas.openxmlformats.org/officeDocument/2006/relationships/table" Target="../tables/table139.xml"/><Relationship Id="rId10" Type="http://schemas.openxmlformats.org/officeDocument/2006/relationships/table" Target="../tables/table134.xml"/><Relationship Id="rId19" Type="http://schemas.openxmlformats.org/officeDocument/2006/relationships/table" Target="../tables/table143.xml"/><Relationship Id="rId4" Type="http://schemas.openxmlformats.org/officeDocument/2006/relationships/printerSettings" Target="../printerSettings/printerSettings22.bin"/><Relationship Id="rId9" Type="http://schemas.openxmlformats.org/officeDocument/2006/relationships/table" Target="../tables/table133.xml"/><Relationship Id="rId14" Type="http://schemas.openxmlformats.org/officeDocument/2006/relationships/table" Target="../tables/table138.xml"/><Relationship Id="rId22" Type="http://schemas.openxmlformats.org/officeDocument/2006/relationships/table" Target="../tables/table146.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147.xml"/><Relationship Id="rId2" Type="http://schemas.openxmlformats.org/officeDocument/2006/relationships/printerSettings" Target="../printerSettings/printerSettings23.bin"/><Relationship Id="rId1" Type="http://schemas.openxmlformats.org/officeDocument/2006/relationships/hyperlink" Target="https://cifr.wested.org/resource/lea-moe-calculator/" TargetMode="External"/><Relationship Id="rId6" Type="http://schemas.openxmlformats.org/officeDocument/2006/relationships/table" Target="../tables/table150.xml"/><Relationship Id="rId5" Type="http://schemas.openxmlformats.org/officeDocument/2006/relationships/table" Target="../tables/table149.xml"/><Relationship Id="rId4" Type="http://schemas.openxmlformats.org/officeDocument/2006/relationships/table" Target="../tables/table148.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151.xml"/><Relationship Id="rId2" Type="http://schemas.openxmlformats.org/officeDocument/2006/relationships/printerSettings" Target="../printerSettings/printerSettings24.bin"/><Relationship Id="rId1" Type="http://schemas.openxmlformats.org/officeDocument/2006/relationships/hyperlink" Target="https://cifr.wested.org/resource/lea-moe-calculator/" TargetMode="External"/><Relationship Id="rId4" Type="http://schemas.openxmlformats.org/officeDocument/2006/relationships/table" Target="../tables/table152.xml"/></Relationships>
</file>

<file path=xl/worksheets/_rels/sheet25.xml.rels><?xml version="1.0" encoding="UTF-8" standalone="yes"?>
<Relationships xmlns="http://schemas.openxmlformats.org/package/2006/relationships"><Relationship Id="rId8" Type="http://schemas.openxmlformats.org/officeDocument/2006/relationships/table" Target="../tables/table156.xml"/><Relationship Id="rId13" Type="http://schemas.openxmlformats.org/officeDocument/2006/relationships/table" Target="../tables/table161.xml"/><Relationship Id="rId18" Type="http://schemas.openxmlformats.org/officeDocument/2006/relationships/table" Target="../tables/table166.xml"/><Relationship Id="rId3" Type="http://schemas.openxmlformats.org/officeDocument/2006/relationships/hyperlink" Target="https://cifr.wested.org/resource/lea-moe-calculator/" TargetMode="External"/><Relationship Id="rId21" Type="http://schemas.openxmlformats.org/officeDocument/2006/relationships/table" Target="../tables/table169.xml"/><Relationship Id="rId7" Type="http://schemas.openxmlformats.org/officeDocument/2006/relationships/table" Target="../tables/table155.xml"/><Relationship Id="rId12" Type="http://schemas.openxmlformats.org/officeDocument/2006/relationships/table" Target="../tables/table160.xml"/><Relationship Id="rId17" Type="http://schemas.openxmlformats.org/officeDocument/2006/relationships/table" Target="../tables/table165.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164.xml"/><Relationship Id="rId20" Type="http://schemas.openxmlformats.org/officeDocument/2006/relationships/table" Target="../tables/table168.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154.xml"/><Relationship Id="rId11" Type="http://schemas.openxmlformats.org/officeDocument/2006/relationships/table" Target="../tables/table159.xml"/><Relationship Id="rId5" Type="http://schemas.openxmlformats.org/officeDocument/2006/relationships/table" Target="../tables/table153.xml"/><Relationship Id="rId15" Type="http://schemas.openxmlformats.org/officeDocument/2006/relationships/table" Target="../tables/table163.xml"/><Relationship Id="rId10" Type="http://schemas.openxmlformats.org/officeDocument/2006/relationships/table" Target="../tables/table158.xml"/><Relationship Id="rId19" Type="http://schemas.openxmlformats.org/officeDocument/2006/relationships/table" Target="../tables/table167.xml"/><Relationship Id="rId4" Type="http://schemas.openxmlformats.org/officeDocument/2006/relationships/printerSettings" Target="../printerSettings/printerSettings25.bin"/><Relationship Id="rId9" Type="http://schemas.openxmlformats.org/officeDocument/2006/relationships/table" Target="../tables/table157.xml"/><Relationship Id="rId14" Type="http://schemas.openxmlformats.org/officeDocument/2006/relationships/table" Target="../tables/table162.xml"/><Relationship Id="rId22" Type="http://schemas.openxmlformats.org/officeDocument/2006/relationships/table" Target="../tables/table170.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171.xml"/><Relationship Id="rId2" Type="http://schemas.openxmlformats.org/officeDocument/2006/relationships/printerSettings" Target="../printerSettings/printerSettings26.bin"/><Relationship Id="rId1" Type="http://schemas.openxmlformats.org/officeDocument/2006/relationships/hyperlink" Target="https://cifr.wested.org/resource/lea-moe-calculator/" TargetMode="External"/><Relationship Id="rId6" Type="http://schemas.openxmlformats.org/officeDocument/2006/relationships/table" Target="../tables/table174.xml"/><Relationship Id="rId5" Type="http://schemas.openxmlformats.org/officeDocument/2006/relationships/table" Target="../tables/table173.xml"/><Relationship Id="rId4" Type="http://schemas.openxmlformats.org/officeDocument/2006/relationships/table" Target="../tables/table172.xml"/></Relationships>
</file>

<file path=xl/worksheets/_rels/sheet27.xml.rels><?xml version="1.0" encoding="UTF-8" standalone="yes"?>
<Relationships xmlns="http://schemas.openxmlformats.org/package/2006/relationships"><Relationship Id="rId3" Type="http://schemas.openxmlformats.org/officeDocument/2006/relationships/table" Target="../tables/table175.xml"/><Relationship Id="rId2" Type="http://schemas.openxmlformats.org/officeDocument/2006/relationships/printerSettings" Target="../printerSettings/printerSettings27.bin"/><Relationship Id="rId1" Type="http://schemas.openxmlformats.org/officeDocument/2006/relationships/hyperlink" Target="https://cifr.wested.org/resource/lea-moe-calculator/" TargetMode="External"/><Relationship Id="rId4" Type="http://schemas.openxmlformats.org/officeDocument/2006/relationships/table" Target="../tables/table176.xml"/></Relationships>
</file>

<file path=xl/worksheets/_rels/sheet28.xml.rels><?xml version="1.0" encoding="UTF-8" standalone="yes"?>
<Relationships xmlns="http://schemas.openxmlformats.org/package/2006/relationships"><Relationship Id="rId8" Type="http://schemas.openxmlformats.org/officeDocument/2006/relationships/table" Target="../tables/table180.xml"/><Relationship Id="rId13" Type="http://schemas.openxmlformats.org/officeDocument/2006/relationships/table" Target="../tables/table185.xml"/><Relationship Id="rId18" Type="http://schemas.openxmlformats.org/officeDocument/2006/relationships/table" Target="../tables/table190.xml"/><Relationship Id="rId3" Type="http://schemas.openxmlformats.org/officeDocument/2006/relationships/hyperlink" Target="https://cifr.wested.org/resource/lea-moe-calculator/" TargetMode="External"/><Relationship Id="rId21" Type="http://schemas.openxmlformats.org/officeDocument/2006/relationships/table" Target="../tables/table193.xml"/><Relationship Id="rId7" Type="http://schemas.openxmlformats.org/officeDocument/2006/relationships/table" Target="../tables/table179.xml"/><Relationship Id="rId12" Type="http://schemas.openxmlformats.org/officeDocument/2006/relationships/table" Target="../tables/table184.xml"/><Relationship Id="rId17" Type="http://schemas.openxmlformats.org/officeDocument/2006/relationships/table" Target="../tables/table189.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188.xml"/><Relationship Id="rId20" Type="http://schemas.openxmlformats.org/officeDocument/2006/relationships/table" Target="../tables/table192.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178.xml"/><Relationship Id="rId11" Type="http://schemas.openxmlformats.org/officeDocument/2006/relationships/table" Target="../tables/table183.xml"/><Relationship Id="rId5" Type="http://schemas.openxmlformats.org/officeDocument/2006/relationships/table" Target="../tables/table177.xml"/><Relationship Id="rId15" Type="http://schemas.openxmlformats.org/officeDocument/2006/relationships/table" Target="../tables/table187.xml"/><Relationship Id="rId10" Type="http://schemas.openxmlformats.org/officeDocument/2006/relationships/table" Target="../tables/table182.xml"/><Relationship Id="rId19" Type="http://schemas.openxmlformats.org/officeDocument/2006/relationships/table" Target="../tables/table191.xml"/><Relationship Id="rId4" Type="http://schemas.openxmlformats.org/officeDocument/2006/relationships/printerSettings" Target="../printerSettings/printerSettings28.bin"/><Relationship Id="rId9" Type="http://schemas.openxmlformats.org/officeDocument/2006/relationships/table" Target="../tables/table181.xml"/><Relationship Id="rId14" Type="http://schemas.openxmlformats.org/officeDocument/2006/relationships/table" Target="../tables/table186.xml"/><Relationship Id="rId22" Type="http://schemas.openxmlformats.org/officeDocument/2006/relationships/table" Target="../tables/table194.xml"/></Relationships>
</file>

<file path=xl/worksheets/_rels/sheet29.xml.rels><?xml version="1.0" encoding="UTF-8" standalone="yes"?>
<Relationships xmlns="http://schemas.openxmlformats.org/package/2006/relationships"><Relationship Id="rId3" Type="http://schemas.openxmlformats.org/officeDocument/2006/relationships/table" Target="../tables/table195.xml"/><Relationship Id="rId2" Type="http://schemas.openxmlformats.org/officeDocument/2006/relationships/printerSettings" Target="../printerSettings/printerSettings29.bin"/><Relationship Id="rId1" Type="http://schemas.openxmlformats.org/officeDocument/2006/relationships/hyperlink" Target="https://cifr.wested.org/resource/lea-moe-calculator/" TargetMode="External"/><Relationship Id="rId6" Type="http://schemas.openxmlformats.org/officeDocument/2006/relationships/table" Target="../tables/table198.xml"/><Relationship Id="rId5" Type="http://schemas.openxmlformats.org/officeDocument/2006/relationships/table" Target="../tables/table197.xml"/><Relationship Id="rId4" Type="http://schemas.openxmlformats.org/officeDocument/2006/relationships/table" Target="../tables/table196.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3.bin"/><Relationship Id="rId1" Type="http://schemas.openxmlformats.org/officeDocument/2006/relationships/hyperlink" Target="https://cifr.wested.org/resource/lea-moe-calculator/" TargetMode="External"/></Relationships>
</file>

<file path=xl/worksheets/_rels/sheet30.xml.rels><?xml version="1.0" encoding="UTF-8" standalone="yes"?>
<Relationships xmlns="http://schemas.openxmlformats.org/package/2006/relationships"><Relationship Id="rId3" Type="http://schemas.openxmlformats.org/officeDocument/2006/relationships/table" Target="../tables/table199.xml"/><Relationship Id="rId2" Type="http://schemas.openxmlformats.org/officeDocument/2006/relationships/printerSettings" Target="../printerSettings/printerSettings30.bin"/><Relationship Id="rId1" Type="http://schemas.openxmlformats.org/officeDocument/2006/relationships/hyperlink" Target="https://cifr.wested.org/resource/lea-moe-calculator/" TargetMode="External"/><Relationship Id="rId4" Type="http://schemas.openxmlformats.org/officeDocument/2006/relationships/table" Target="../tables/table200.xml"/></Relationships>
</file>

<file path=xl/worksheets/_rels/sheet31.xml.rels><?xml version="1.0" encoding="UTF-8" standalone="yes"?>
<Relationships xmlns="http://schemas.openxmlformats.org/package/2006/relationships"><Relationship Id="rId8" Type="http://schemas.openxmlformats.org/officeDocument/2006/relationships/table" Target="../tables/table204.xml"/><Relationship Id="rId13" Type="http://schemas.openxmlformats.org/officeDocument/2006/relationships/table" Target="../tables/table209.xml"/><Relationship Id="rId18" Type="http://schemas.openxmlformats.org/officeDocument/2006/relationships/table" Target="../tables/table214.xml"/><Relationship Id="rId3" Type="http://schemas.openxmlformats.org/officeDocument/2006/relationships/hyperlink" Target="https://cifr.wested.org/resource/lea-moe-calculator/" TargetMode="External"/><Relationship Id="rId21" Type="http://schemas.openxmlformats.org/officeDocument/2006/relationships/table" Target="../tables/table217.xml"/><Relationship Id="rId7" Type="http://schemas.openxmlformats.org/officeDocument/2006/relationships/table" Target="../tables/table203.xml"/><Relationship Id="rId12" Type="http://schemas.openxmlformats.org/officeDocument/2006/relationships/table" Target="../tables/table208.xml"/><Relationship Id="rId17" Type="http://schemas.openxmlformats.org/officeDocument/2006/relationships/table" Target="../tables/table213.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212.xml"/><Relationship Id="rId20" Type="http://schemas.openxmlformats.org/officeDocument/2006/relationships/table" Target="../tables/table216.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02.xml"/><Relationship Id="rId11" Type="http://schemas.openxmlformats.org/officeDocument/2006/relationships/table" Target="../tables/table207.xml"/><Relationship Id="rId5" Type="http://schemas.openxmlformats.org/officeDocument/2006/relationships/table" Target="../tables/table201.xml"/><Relationship Id="rId15" Type="http://schemas.openxmlformats.org/officeDocument/2006/relationships/table" Target="../tables/table211.xml"/><Relationship Id="rId10" Type="http://schemas.openxmlformats.org/officeDocument/2006/relationships/table" Target="../tables/table206.xml"/><Relationship Id="rId19" Type="http://schemas.openxmlformats.org/officeDocument/2006/relationships/table" Target="../tables/table215.xml"/><Relationship Id="rId4" Type="http://schemas.openxmlformats.org/officeDocument/2006/relationships/printerSettings" Target="../printerSettings/printerSettings31.bin"/><Relationship Id="rId9" Type="http://schemas.openxmlformats.org/officeDocument/2006/relationships/table" Target="../tables/table205.xml"/><Relationship Id="rId14" Type="http://schemas.openxmlformats.org/officeDocument/2006/relationships/table" Target="../tables/table210.xml"/><Relationship Id="rId22" Type="http://schemas.openxmlformats.org/officeDocument/2006/relationships/table" Target="../tables/table218.xml"/></Relationships>
</file>

<file path=xl/worksheets/_rels/sheet32.xml.rels><?xml version="1.0" encoding="UTF-8" standalone="yes"?>
<Relationships xmlns="http://schemas.openxmlformats.org/package/2006/relationships"><Relationship Id="rId3" Type="http://schemas.openxmlformats.org/officeDocument/2006/relationships/table" Target="../tables/table219.xml"/><Relationship Id="rId2" Type="http://schemas.openxmlformats.org/officeDocument/2006/relationships/printerSettings" Target="../printerSettings/printerSettings32.bin"/><Relationship Id="rId1" Type="http://schemas.openxmlformats.org/officeDocument/2006/relationships/hyperlink" Target="https://cifr.wested.org/resource/lea-moe-calculator/" TargetMode="External"/><Relationship Id="rId6" Type="http://schemas.openxmlformats.org/officeDocument/2006/relationships/table" Target="../tables/table222.xml"/><Relationship Id="rId5" Type="http://schemas.openxmlformats.org/officeDocument/2006/relationships/table" Target="../tables/table221.xml"/><Relationship Id="rId4" Type="http://schemas.openxmlformats.org/officeDocument/2006/relationships/table" Target="../tables/table220.xml"/></Relationships>
</file>

<file path=xl/worksheets/_rels/sheet33.xml.rels><?xml version="1.0" encoding="UTF-8" standalone="yes"?>
<Relationships xmlns="http://schemas.openxmlformats.org/package/2006/relationships"><Relationship Id="rId3" Type="http://schemas.openxmlformats.org/officeDocument/2006/relationships/table" Target="../tables/table223.xml"/><Relationship Id="rId2" Type="http://schemas.openxmlformats.org/officeDocument/2006/relationships/printerSettings" Target="../printerSettings/printerSettings33.bin"/><Relationship Id="rId1" Type="http://schemas.openxmlformats.org/officeDocument/2006/relationships/hyperlink" Target="https://cifr.wested.org/resource/lea-moe-calculator/" TargetMode="External"/><Relationship Id="rId4" Type="http://schemas.openxmlformats.org/officeDocument/2006/relationships/table" Target="../tables/table224.xml"/></Relationships>
</file>

<file path=xl/worksheets/_rels/sheet34.xml.rels><?xml version="1.0" encoding="UTF-8" standalone="yes"?>
<Relationships xmlns="http://schemas.openxmlformats.org/package/2006/relationships"><Relationship Id="rId8" Type="http://schemas.openxmlformats.org/officeDocument/2006/relationships/table" Target="../tables/table228.xml"/><Relationship Id="rId13" Type="http://schemas.openxmlformats.org/officeDocument/2006/relationships/table" Target="../tables/table233.xml"/><Relationship Id="rId18" Type="http://schemas.openxmlformats.org/officeDocument/2006/relationships/table" Target="../tables/table238.xml"/><Relationship Id="rId3" Type="http://schemas.openxmlformats.org/officeDocument/2006/relationships/hyperlink" Target="https://cifr.wested.org/resource/lea-moe-calculator/" TargetMode="External"/><Relationship Id="rId21" Type="http://schemas.openxmlformats.org/officeDocument/2006/relationships/table" Target="../tables/table241.xml"/><Relationship Id="rId7" Type="http://schemas.openxmlformats.org/officeDocument/2006/relationships/table" Target="../tables/table227.xml"/><Relationship Id="rId12" Type="http://schemas.openxmlformats.org/officeDocument/2006/relationships/table" Target="../tables/table232.xml"/><Relationship Id="rId17" Type="http://schemas.openxmlformats.org/officeDocument/2006/relationships/table" Target="../tables/table237.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236.xml"/><Relationship Id="rId20" Type="http://schemas.openxmlformats.org/officeDocument/2006/relationships/table" Target="../tables/table240.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26.xml"/><Relationship Id="rId11" Type="http://schemas.openxmlformats.org/officeDocument/2006/relationships/table" Target="../tables/table231.xml"/><Relationship Id="rId5" Type="http://schemas.openxmlformats.org/officeDocument/2006/relationships/table" Target="../tables/table225.xml"/><Relationship Id="rId15" Type="http://schemas.openxmlformats.org/officeDocument/2006/relationships/table" Target="../tables/table235.xml"/><Relationship Id="rId10" Type="http://schemas.openxmlformats.org/officeDocument/2006/relationships/table" Target="../tables/table230.xml"/><Relationship Id="rId19" Type="http://schemas.openxmlformats.org/officeDocument/2006/relationships/table" Target="../tables/table239.xml"/><Relationship Id="rId4" Type="http://schemas.openxmlformats.org/officeDocument/2006/relationships/printerSettings" Target="../printerSettings/printerSettings34.bin"/><Relationship Id="rId9" Type="http://schemas.openxmlformats.org/officeDocument/2006/relationships/table" Target="../tables/table229.xml"/><Relationship Id="rId14" Type="http://schemas.openxmlformats.org/officeDocument/2006/relationships/table" Target="../tables/table234.xml"/><Relationship Id="rId22" Type="http://schemas.openxmlformats.org/officeDocument/2006/relationships/table" Target="../tables/table242.xml"/></Relationships>
</file>

<file path=xl/worksheets/_rels/sheet35.xml.rels><?xml version="1.0" encoding="UTF-8" standalone="yes"?>
<Relationships xmlns="http://schemas.openxmlformats.org/package/2006/relationships"><Relationship Id="rId3" Type="http://schemas.openxmlformats.org/officeDocument/2006/relationships/table" Target="../tables/table243.xml"/><Relationship Id="rId2" Type="http://schemas.openxmlformats.org/officeDocument/2006/relationships/printerSettings" Target="../printerSettings/printerSettings35.bin"/><Relationship Id="rId1" Type="http://schemas.openxmlformats.org/officeDocument/2006/relationships/hyperlink" Target="https://cifr.wested.org/resource/lea-moe-calculator/" TargetMode="External"/><Relationship Id="rId6" Type="http://schemas.openxmlformats.org/officeDocument/2006/relationships/table" Target="../tables/table246.xml"/><Relationship Id="rId5" Type="http://schemas.openxmlformats.org/officeDocument/2006/relationships/table" Target="../tables/table245.xml"/><Relationship Id="rId4" Type="http://schemas.openxmlformats.org/officeDocument/2006/relationships/table" Target="../tables/table244.xml"/></Relationships>
</file>

<file path=xl/worksheets/_rels/sheet36.xml.rels><?xml version="1.0" encoding="UTF-8" standalone="yes"?>
<Relationships xmlns="http://schemas.openxmlformats.org/package/2006/relationships"><Relationship Id="rId3" Type="http://schemas.openxmlformats.org/officeDocument/2006/relationships/table" Target="../tables/table247.xml"/><Relationship Id="rId2" Type="http://schemas.openxmlformats.org/officeDocument/2006/relationships/printerSettings" Target="../printerSettings/printerSettings36.bin"/><Relationship Id="rId1" Type="http://schemas.openxmlformats.org/officeDocument/2006/relationships/hyperlink" Target="https://cifr.wested.org/resource/lea-moe-calculator/" TargetMode="External"/></Relationships>
</file>

<file path=xl/worksheets/_rels/sheet37.xml.rels><?xml version="1.0" encoding="UTF-8" standalone="yes"?>
<Relationships xmlns="http://schemas.openxmlformats.org/package/2006/relationships"><Relationship Id="rId8" Type="http://schemas.openxmlformats.org/officeDocument/2006/relationships/table" Target="../tables/table252.xml"/><Relationship Id="rId3" Type="http://schemas.openxmlformats.org/officeDocument/2006/relationships/printerSettings" Target="../printerSettings/printerSettings37.bin"/><Relationship Id="rId7" Type="http://schemas.openxmlformats.org/officeDocument/2006/relationships/table" Target="../tables/table251.xml"/><Relationship Id="rId12" Type="http://schemas.openxmlformats.org/officeDocument/2006/relationships/table" Target="../tables/table256.xml"/><Relationship Id="rId2" Type="http://schemas.openxmlformats.org/officeDocument/2006/relationships/hyperlink" Target="https://cifr.wested.org/resource/lea-moe-calculator/" TargetMode="Externa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50.xml"/><Relationship Id="rId11" Type="http://schemas.openxmlformats.org/officeDocument/2006/relationships/table" Target="../tables/table255.xml"/><Relationship Id="rId5" Type="http://schemas.openxmlformats.org/officeDocument/2006/relationships/table" Target="../tables/table249.xml"/><Relationship Id="rId10" Type="http://schemas.openxmlformats.org/officeDocument/2006/relationships/table" Target="../tables/table254.xml"/><Relationship Id="rId4" Type="http://schemas.openxmlformats.org/officeDocument/2006/relationships/table" Target="../tables/table248.xml"/><Relationship Id="rId9" Type="http://schemas.openxmlformats.org/officeDocument/2006/relationships/table" Target="../tables/table253.xml"/></Relationships>
</file>

<file path=xl/worksheets/_rels/sheet38.xml.rels><?xml version="1.0" encoding="UTF-8" standalone="yes"?>
<Relationships xmlns="http://schemas.openxmlformats.org/package/2006/relationships"><Relationship Id="rId3" Type="http://schemas.openxmlformats.org/officeDocument/2006/relationships/table" Target="../tables/table257.xml"/><Relationship Id="rId2" Type="http://schemas.openxmlformats.org/officeDocument/2006/relationships/printerSettings" Target="../printerSettings/printerSettings38.bin"/><Relationship Id="rId1" Type="http://schemas.openxmlformats.org/officeDocument/2006/relationships/hyperlink" Target="https://cifr.wested.org/resource/lea-moe-calculator/" TargetMode="External"/><Relationship Id="rId5" Type="http://schemas.openxmlformats.org/officeDocument/2006/relationships/table" Target="../tables/table259.xml"/><Relationship Id="rId4" Type="http://schemas.openxmlformats.org/officeDocument/2006/relationships/table" Target="../tables/table258.xml"/></Relationships>
</file>

<file path=xl/worksheets/_rels/sheet39.xml.rels><?xml version="1.0" encoding="UTF-8" standalone="yes"?>
<Relationships xmlns="http://schemas.openxmlformats.org/package/2006/relationships"><Relationship Id="rId8" Type="http://schemas.openxmlformats.org/officeDocument/2006/relationships/table" Target="../tables/table265.xml"/><Relationship Id="rId13" Type="http://schemas.openxmlformats.org/officeDocument/2006/relationships/table" Target="../tables/table270.xml"/><Relationship Id="rId18" Type="http://schemas.openxmlformats.org/officeDocument/2006/relationships/table" Target="../tables/table275.xml"/><Relationship Id="rId3" Type="http://schemas.openxmlformats.org/officeDocument/2006/relationships/table" Target="../tables/table260.xml"/><Relationship Id="rId21" Type="http://schemas.openxmlformats.org/officeDocument/2006/relationships/table" Target="../tables/table278.xml"/><Relationship Id="rId7" Type="http://schemas.openxmlformats.org/officeDocument/2006/relationships/table" Target="../tables/table264.xml"/><Relationship Id="rId12" Type="http://schemas.openxmlformats.org/officeDocument/2006/relationships/table" Target="../tables/table269.xml"/><Relationship Id="rId17" Type="http://schemas.openxmlformats.org/officeDocument/2006/relationships/table" Target="../tables/table274.xml"/><Relationship Id="rId2" Type="http://schemas.openxmlformats.org/officeDocument/2006/relationships/printerSettings" Target="../printerSettings/printerSettings39.bin"/><Relationship Id="rId16" Type="http://schemas.openxmlformats.org/officeDocument/2006/relationships/table" Target="../tables/table273.xml"/><Relationship Id="rId20" Type="http://schemas.openxmlformats.org/officeDocument/2006/relationships/table" Target="../tables/table277.xml"/><Relationship Id="rId1" Type="http://schemas.openxmlformats.org/officeDocument/2006/relationships/hyperlink" Target="https://cifr.wested.org/resource/lea-moe-calculator/" TargetMode="External"/><Relationship Id="rId6" Type="http://schemas.openxmlformats.org/officeDocument/2006/relationships/table" Target="../tables/table263.xml"/><Relationship Id="rId11" Type="http://schemas.openxmlformats.org/officeDocument/2006/relationships/table" Target="../tables/table268.xml"/><Relationship Id="rId24" Type="http://schemas.openxmlformats.org/officeDocument/2006/relationships/table" Target="../tables/table281.xml"/><Relationship Id="rId5" Type="http://schemas.openxmlformats.org/officeDocument/2006/relationships/table" Target="../tables/table262.xml"/><Relationship Id="rId15" Type="http://schemas.openxmlformats.org/officeDocument/2006/relationships/table" Target="../tables/table272.xml"/><Relationship Id="rId23" Type="http://schemas.openxmlformats.org/officeDocument/2006/relationships/table" Target="../tables/table280.xml"/><Relationship Id="rId10" Type="http://schemas.openxmlformats.org/officeDocument/2006/relationships/table" Target="../tables/table267.xml"/><Relationship Id="rId19" Type="http://schemas.openxmlformats.org/officeDocument/2006/relationships/table" Target="../tables/table276.xml"/><Relationship Id="rId4" Type="http://schemas.openxmlformats.org/officeDocument/2006/relationships/table" Target="../tables/table261.xml"/><Relationship Id="rId9" Type="http://schemas.openxmlformats.org/officeDocument/2006/relationships/table" Target="../tables/table266.xml"/><Relationship Id="rId14" Type="http://schemas.openxmlformats.org/officeDocument/2006/relationships/table" Target="../tables/table271.xml"/><Relationship Id="rId22" Type="http://schemas.openxmlformats.org/officeDocument/2006/relationships/table" Target="../tables/table279.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4.bin"/><Relationship Id="rId1" Type="http://schemas.openxmlformats.org/officeDocument/2006/relationships/hyperlink" Target="https://cifr.wested.org/resource/lea-moe-calculator/" TargetMode="External"/></Relationships>
</file>

<file path=xl/worksheets/_rels/sheet40.xml.rels><?xml version="1.0" encoding="UTF-8" standalone="yes"?>
<Relationships xmlns="http://schemas.openxmlformats.org/package/2006/relationships"><Relationship Id="rId8" Type="http://schemas.openxmlformats.org/officeDocument/2006/relationships/table" Target="../tables/table287.xml"/><Relationship Id="rId13" Type="http://schemas.openxmlformats.org/officeDocument/2006/relationships/table" Target="../tables/table292.xml"/><Relationship Id="rId18" Type="http://schemas.openxmlformats.org/officeDocument/2006/relationships/table" Target="../tables/table297.xml"/><Relationship Id="rId3" Type="http://schemas.openxmlformats.org/officeDocument/2006/relationships/table" Target="../tables/table282.xml"/><Relationship Id="rId21" Type="http://schemas.openxmlformats.org/officeDocument/2006/relationships/table" Target="../tables/table300.xml"/><Relationship Id="rId7" Type="http://schemas.openxmlformats.org/officeDocument/2006/relationships/table" Target="../tables/table286.xml"/><Relationship Id="rId12" Type="http://schemas.openxmlformats.org/officeDocument/2006/relationships/table" Target="../tables/table291.xml"/><Relationship Id="rId17" Type="http://schemas.openxmlformats.org/officeDocument/2006/relationships/table" Target="../tables/table296.xml"/><Relationship Id="rId2" Type="http://schemas.openxmlformats.org/officeDocument/2006/relationships/printerSettings" Target="../printerSettings/printerSettings40.bin"/><Relationship Id="rId16" Type="http://schemas.openxmlformats.org/officeDocument/2006/relationships/table" Target="../tables/table295.xml"/><Relationship Id="rId20" Type="http://schemas.openxmlformats.org/officeDocument/2006/relationships/table" Target="../tables/table299.xml"/><Relationship Id="rId1" Type="http://schemas.openxmlformats.org/officeDocument/2006/relationships/hyperlink" Target="https://cifr.wested.org/resource/lea-moe-calculator/" TargetMode="External"/><Relationship Id="rId6" Type="http://schemas.openxmlformats.org/officeDocument/2006/relationships/table" Target="../tables/table285.xml"/><Relationship Id="rId11" Type="http://schemas.openxmlformats.org/officeDocument/2006/relationships/table" Target="../tables/table290.xml"/><Relationship Id="rId24" Type="http://schemas.openxmlformats.org/officeDocument/2006/relationships/table" Target="../tables/table303.xml"/><Relationship Id="rId5" Type="http://schemas.openxmlformats.org/officeDocument/2006/relationships/table" Target="../tables/table284.xml"/><Relationship Id="rId15" Type="http://schemas.openxmlformats.org/officeDocument/2006/relationships/table" Target="../tables/table294.xml"/><Relationship Id="rId23" Type="http://schemas.openxmlformats.org/officeDocument/2006/relationships/table" Target="../tables/table302.xml"/><Relationship Id="rId10" Type="http://schemas.openxmlformats.org/officeDocument/2006/relationships/table" Target="../tables/table289.xml"/><Relationship Id="rId19" Type="http://schemas.openxmlformats.org/officeDocument/2006/relationships/table" Target="../tables/table298.xml"/><Relationship Id="rId4" Type="http://schemas.openxmlformats.org/officeDocument/2006/relationships/table" Target="../tables/table283.xml"/><Relationship Id="rId9" Type="http://schemas.openxmlformats.org/officeDocument/2006/relationships/table" Target="../tables/table288.xml"/><Relationship Id="rId14" Type="http://schemas.openxmlformats.org/officeDocument/2006/relationships/table" Target="../tables/table293.xml"/><Relationship Id="rId22" Type="http://schemas.openxmlformats.org/officeDocument/2006/relationships/table" Target="../tables/table301.xml"/></Relationships>
</file>

<file path=xl/worksheets/_rels/sheet41.xml.rels><?xml version="1.0" encoding="UTF-8" standalone="yes"?>
<Relationships xmlns="http://schemas.openxmlformats.org/package/2006/relationships"><Relationship Id="rId8" Type="http://schemas.openxmlformats.org/officeDocument/2006/relationships/table" Target="../tables/table309.xml"/><Relationship Id="rId13" Type="http://schemas.openxmlformats.org/officeDocument/2006/relationships/table" Target="../tables/table314.xml"/><Relationship Id="rId18" Type="http://schemas.openxmlformats.org/officeDocument/2006/relationships/table" Target="../tables/table319.xml"/><Relationship Id="rId3" Type="http://schemas.openxmlformats.org/officeDocument/2006/relationships/table" Target="../tables/table304.xml"/><Relationship Id="rId21" Type="http://schemas.openxmlformats.org/officeDocument/2006/relationships/table" Target="../tables/table322.xml"/><Relationship Id="rId7" Type="http://schemas.openxmlformats.org/officeDocument/2006/relationships/table" Target="../tables/table308.xml"/><Relationship Id="rId12" Type="http://schemas.openxmlformats.org/officeDocument/2006/relationships/table" Target="../tables/table313.xml"/><Relationship Id="rId17" Type="http://schemas.openxmlformats.org/officeDocument/2006/relationships/table" Target="../tables/table318.xml"/><Relationship Id="rId2" Type="http://schemas.openxmlformats.org/officeDocument/2006/relationships/printerSettings" Target="../printerSettings/printerSettings41.bin"/><Relationship Id="rId16" Type="http://schemas.openxmlformats.org/officeDocument/2006/relationships/table" Target="../tables/table317.xml"/><Relationship Id="rId20" Type="http://schemas.openxmlformats.org/officeDocument/2006/relationships/table" Target="../tables/table321.xml"/><Relationship Id="rId1" Type="http://schemas.openxmlformats.org/officeDocument/2006/relationships/hyperlink" Target="https://cifr.wested.org/resource/lea-moe-calculator/" TargetMode="External"/><Relationship Id="rId6" Type="http://schemas.openxmlformats.org/officeDocument/2006/relationships/table" Target="../tables/table307.xml"/><Relationship Id="rId11" Type="http://schemas.openxmlformats.org/officeDocument/2006/relationships/table" Target="../tables/table312.xml"/><Relationship Id="rId24" Type="http://schemas.openxmlformats.org/officeDocument/2006/relationships/table" Target="../tables/table325.xml"/><Relationship Id="rId5" Type="http://schemas.openxmlformats.org/officeDocument/2006/relationships/table" Target="../tables/table306.xml"/><Relationship Id="rId15" Type="http://schemas.openxmlformats.org/officeDocument/2006/relationships/table" Target="../tables/table316.xml"/><Relationship Id="rId23" Type="http://schemas.openxmlformats.org/officeDocument/2006/relationships/table" Target="../tables/table324.xml"/><Relationship Id="rId10" Type="http://schemas.openxmlformats.org/officeDocument/2006/relationships/table" Target="../tables/table311.xml"/><Relationship Id="rId19" Type="http://schemas.openxmlformats.org/officeDocument/2006/relationships/table" Target="../tables/table320.xml"/><Relationship Id="rId4" Type="http://schemas.openxmlformats.org/officeDocument/2006/relationships/table" Target="../tables/table305.xml"/><Relationship Id="rId9" Type="http://schemas.openxmlformats.org/officeDocument/2006/relationships/table" Target="../tables/table310.xml"/><Relationship Id="rId14" Type="http://schemas.openxmlformats.org/officeDocument/2006/relationships/table" Target="../tables/table315.xml"/><Relationship Id="rId22" Type="http://schemas.openxmlformats.org/officeDocument/2006/relationships/table" Target="../tables/table323.xml"/></Relationships>
</file>

<file path=xl/worksheets/_rels/sheet42.xml.rels><?xml version="1.0" encoding="UTF-8" standalone="yes"?>
<Relationships xmlns="http://schemas.openxmlformats.org/package/2006/relationships"><Relationship Id="rId8" Type="http://schemas.openxmlformats.org/officeDocument/2006/relationships/table" Target="../tables/table331.xml"/><Relationship Id="rId13" Type="http://schemas.openxmlformats.org/officeDocument/2006/relationships/table" Target="../tables/table336.xml"/><Relationship Id="rId18" Type="http://schemas.openxmlformats.org/officeDocument/2006/relationships/table" Target="../tables/table341.xml"/><Relationship Id="rId3" Type="http://schemas.openxmlformats.org/officeDocument/2006/relationships/table" Target="../tables/table326.xml"/><Relationship Id="rId21" Type="http://schemas.openxmlformats.org/officeDocument/2006/relationships/table" Target="../tables/table344.xml"/><Relationship Id="rId7" Type="http://schemas.openxmlformats.org/officeDocument/2006/relationships/table" Target="../tables/table330.xml"/><Relationship Id="rId12" Type="http://schemas.openxmlformats.org/officeDocument/2006/relationships/table" Target="../tables/table335.xml"/><Relationship Id="rId17" Type="http://schemas.openxmlformats.org/officeDocument/2006/relationships/table" Target="../tables/table340.xml"/><Relationship Id="rId2" Type="http://schemas.openxmlformats.org/officeDocument/2006/relationships/printerSettings" Target="../printerSettings/printerSettings42.bin"/><Relationship Id="rId16" Type="http://schemas.openxmlformats.org/officeDocument/2006/relationships/table" Target="../tables/table339.xml"/><Relationship Id="rId20" Type="http://schemas.openxmlformats.org/officeDocument/2006/relationships/table" Target="../tables/table343.xml"/><Relationship Id="rId1" Type="http://schemas.openxmlformats.org/officeDocument/2006/relationships/hyperlink" Target="https://cifr.wested.org/resource/lea-moe-calculator/" TargetMode="External"/><Relationship Id="rId6" Type="http://schemas.openxmlformats.org/officeDocument/2006/relationships/table" Target="../tables/table329.xml"/><Relationship Id="rId11" Type="http://schemas.openxmlformats.org/officeDocument/2006/relationships/table" Target="../tables/table334.xml"/><Relationship Id="rId24" Type="http://schemas.openxmlformats.org/officeDocument/2006/relationships/table" Target="../tables/table347.xml"/><Relationship Id="rId5" Type="http://schemas.openxmlformats.org/officeDocument/2006/relationships/table" Target="../tables/table328.xml"/><Relationship Id="rId15" Type="http://schemas.openxmlformats.org/officeDocument/2006/relationships/table" Target="../tables/table338.xml"/><Relationship Id="rId23" Type="http://schemas.openxmlformats.org/officeDocument/2006/relationships/table" Target="../tables/table346.xml"/><Relationship Id="rId10" Type="http://schemas.openxmlformats.org/officeDocument/2006/relationships/table" Target="../tables/table333.xml"/><Relationship Id="rId19" Type="http://schemas.openxmlformats.org/officeDocument/2006/relationships/table" Target="../tables/table342.xml"/><Relationship Id="rId4" Type="http://schemas.openxmlformats.org/officeDocument/2006/relationships/table" Target="../tables/table327.xml"/><Relationship Id="rId9" Type="http://schemas.openxmlformats.org/officeDocument/2006/relationships/table" Target="../tables/table332.xml"/><Relationship Id="rId14" Type="http://schemas.openxmlformats.org/officeDocument/2006/relationships/table" Target="../tables/table337.xml"/><Relationship Id="rId22" Type="http://schemas.openxmlformats.org/officeDocument/2006/relationships/table" Target="../tables/table34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5.bin"/><Relationship Id="rId1" Type="http://schemas.openxmlformats.org/officeDocument/2006/relationships/hyperlink" Target="https://cifr.wested.org/resource/lea-moe-calculator/"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6.bin"/><Relationship Id="rId1" Type="http://schemas.openxmlformats.org/officeDocument/2006/relationships/hyperlink" Target="https://cifr.wested.org/resource/lea-moe-calculator/" TargetMode="External"/><Relationship Id="rId4" Type="http://schemas.openxmlformats.org/officeDocument/2006/relationships/table" Target="../tables/table8.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18" Type="http://schemas.openxmlformats.org/officeDocument/2006/relationships/table" Target="../tables/table22.xml"/><Relationship Id="rId3" Type="http://schemas.openxmlformats.org/officeDocument/2006/relationships/hyperlink" Target="https://cifr.wested.org/resource/lea-moe-calculator/" TargetMode="External"/><Relationship Id="rId21" Type="http://schemas.openxmlformats.org/officeDocument/2006/relationships/table" Target="../tables/table25.xml"/><Relationship Id="rId7" Type="http://schemas.openxmlformats.org/officeDocument/2006/relationships/table" Target="../tables/table11.xml"/><Relationship Id="rId12" Type="http://schemas.openxmlformats.org/officeDocument/2006/relationships/table" Target="../tables/table16.xml"/><Relationship Id="rId17" Type="http://schemas.openxmlformats.org/officeDocument/2006/relationships/table" Target="../tables/table21.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20.xml"/><Relationship Id="rId20" Type="http://schemas.openxmlformats.org/officeDocument/2006/relationships/table" Target="../tables/table24.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table" Target="../tables/table19.xml"/><Relationship Id="rId10" Type="http://schemas.openxmlformats.org/officeDocument/2006/relationships/table" Target="../tables/table14.xml"/><Relationship Id="rId19" Type="http://schemas.openxmlformats.org/officeDocument/2006/relationships/table" Target="../tables/table23.xml"/><Relationship Id="rId4" Type="http://schemas.openxmlformats.org/officeDocument/2006/relationships/printerSettings" Target="../printerSettings/printerSettings7.bin"/><Relationship Id="rId9" Type="http://schemas.openxmlformats.org/officeDocument/2006/relationships/table" Target="../tables/table13.xml"/><Relationship Id="rId14" Type="http://schemas.openxmlformats.org/officeDocument/2006/relationships/table" Target="../tables/table18.xml"/><Relationship Id="rId22" Type="http://schemas.openxmlformats.org/officeDocument/2006/relationships/table" Target="../tables/table2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printerSettings" Target="../printerSettings/printerSettings8.bin"/><Relationship Id="rId1" Type="http://schemas.openxmlformats.org/officeDocument/2006/relationships/hyperlink" Target="https://cifr.wested.org/resource/lea-moe-calculator/" TargetMode="External"/><Relationship Id="rId6" Type="http://schemas.openxmlformats.org/officeDocument/2006/relationships/table" Target="../tables/table30.xml"/><Relationship Id="rId5" Type="http://schemas.openxmlformats.org/officeDocument/2006/relationships/table" Target="../tables/table29.xml"/><Relationship Id="rId4" Type="http://schemas.openxmlformats.org/officeDocument/2006/relationships/table" Target="../tables/table2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printerSettings" Target="../printerSettings/printerSettings9.bin"/><Relationship Id="rId1" Type="http://schemas.openxmlformats.org/officeDocument/2006/relationships/hyperlink" Target="https://cifr.wested.org/resource/lea-moe-calculator/" TargetMode="External"/><Relationship Id="rId4" Type="http://schemas.openxmlformats.org/officeDocument/2006/relationships/table" Target="../tables/table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AF21E-347E-4E82-83D1-9EAC5F14C08A}">
  <sheetPr codeName="Sheet1">
    <tabColor rgb="FF7030A0"/>
  </sheetPr>
  <dimension ref="A1:A10"/>
  <sheetViews>
    <sheetView showGridLines="0" zoomScaleNormal="100" workbookViewId="0">
      <selection activeCell="A2" sqref="A2"/>
    </sheetView>
  </sheetViews>
  <sheetFormatPr defaultColWidth="0" defaultRowHeight="14.75" zeroHeight="1" x14ac:dyDescent="0.75"/>
  <cols>
    <col min="1" max="1" width="140.54296875" customWidth="1"/>
    <col min="2" max="16384" width="9.1328125" hidden="1"/>
  </cols>
  <sheetData>
    <row r="1" spans="1:1" ht="235.5" customHeight="1" x14ac:dyDescent="0.75">
      <c r="A1" s="288" t="s">
        <v>184</v>
      </c>
    </row>
    <row r="2" spans="1:1" ht="51" customHeight="1" x14ac:dyDescent="0.75">
      <c r="A2" s="367" t="s">
        <v>170</v>
      </c>
    </row>
    <row r="3" spans="1:1" ht="59" x14ac:dyDescent="0.75">
      <c r="A3" s="289" t="s">
        <v>136</v>
      </c>
    </row>
    <row r="4" spans="1:1" x14ac:dyDescent="0.75"/>
    <row r="5" spans="1:1" ht="103.25" x14ac:dyDescent="0.75">
      <c r="A5" s="339" t="s">
        <v>173</v>
      </c>
    </row>
    <row r="6" spans="1:1" ht="158.25" customHeight="1" x14ac:dyDescent="0.8">
      <c r="A6" s="357" t="s">
        <v>181</v>
      </c>
    </row>
    <row r="7" spans="1:1" ht="16" x14ac:dyDescent="0.75">
      <c r="A7" s="359" t="s">
        <v>24</v>
      </c>
    </row>
    <row r="8" spans="1:1" ht="16" hidden="1" x14ac:dyDescent="0.75">
      <c r="A8" s="356"/>
    </row>
    <row r="9" spans="1:1" ht="16" hidden="1" x14ac:dyDescent="0.75">
      <c r="A9" s="356"/>
    </row>
    <row r="10" spans="1:1" ht="16" hidden="1" x14ac:dyDescent="0.75">
      <c r="A10" s="356"/>
    </row>
  </sheetData>
  <pageMargins left="0.7" right="0.7" top="0.75" bottom="0.75" header="0.3" footer="0.3"/>
  <pageSetup orientation="portrait"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pageSetUpPr autoPageBreaks="0"/>
  </sheetPr>
  <dimension ref="A1:AB75"/>
  <sheetViews>
    <sheetView showGridLines="0" zoomScale="90" zoomScaleNormal="90" zoomScalePageLayoutView="90" workbookViewId="0">
      <pane ySplit="3" topLeftCell="A4" activePane="bottomLeft" state="frozen"/>
      <selection activeCell="D21" sqref="D21"/>
      <selection pane="bottomLeft" activeCell="H2" activeCellId="1" sqref="A2 H2"/>
    </sheetView>
  </sheetViews>
  <sheetFormatPr defaultColWidth="0" defaultRowHeight="16" zeroHeight="1" x14ac:dyDescent="0.8"/>
  <cols>
    <col min="1" max="1" width="40.26953125" style="57" customWidth="1"/>
    <col min="2" max="2" width="32.86328125" style="57" bestFit="1" customWidth="1"/>
    <col min="3" max="3" width="28" style="57" customWidth="1"/>
    <col min="4" max="5" width="28.26953125" style="57" customWidth="1"/>
    <col min="6" max="6" width="34" style="57" bestFit="1" customWidth="1"/>
    <col min="7" max="7" width="28.26953125" style="57" customWidth="1"/>
    <col min="8" max="8" width="40.26953125" style="57" customWidth="1"/>
    <col min="9" max="9" width="32.86328125" style="57" bestFit="1" customWidth="1"/>
    <col min="10" max="12" width="28.26953125" style="57" customWidth="1"/>
    <col min="13" max="13" width="34" style="57" bestFit="1" customWidth="1"/>
    <col min="14" max="14" width="0.86328125" style="57" customWidth="1"/>
    <col min="15" max="18" width="12.26953125" style="57" hidden="1" customWidth="1"/>
    <col min="19" max="19" width="13.7265625" style="57" hidden="1" customWidth="1"/>
    <col min="20" max="16384" width="12.26953125" style="57" hidden="1"/>
  </cols>
  <sheetData>
    <row r="1" spans="1:20" ht="25.9" customHeight="1" x14ac:dyDescent="0.8">
      <c r="A1" s="368" t="s">
        <v>58</v>
      </c>
      <c r="D1" s="58" t="s">
        <v>14</v>
      </c>
      <c r="E1" s="10" t="str">
        <f>IF('2. Getting Started'!$B2="","",'2. Getting Started'!$B2)</f>
        <v/>
      </c>
      <c r="G1" s="384" t="s">
        <v>175</v>
      </c>
      <c r="K1" s="58" t="s">
        <v>14</v>
      </c>
      <c r="L1" s="10" t="str">
        <f>IF('2. Getting Started'!$B2="","",'2. Getting Started'!$B2)</f>
        <v/>
      </c>
    </row>
    <row r="2" spans="1:20" ht="25.9" customHeight="1" thickBot="1" x14ac:dyDescent="0.95">
      <c r="A2" s="369" t="s">
        <v>171</v>
      </c>
      <c r="D2" s="58"/>
      <c r="E2" s="10"/>
      <c r="G2" s="384"/>
      <c r="H2" s="369" t="s">
        <v>171</v>
      </c>
      <c r="K2" s="58"/>
      <c r="L2" s="10"/>
    </row>
    <row r="3" spans="1:20" ht="25.9" customHeight="1" thickBot="1" x14ac:dyDescent="0.95">
      <c r="A3" s="59" t="str">
        <f>CONCATENATE("Eligibility Standard -- Exceptions to MOE as Permitted by 34 CFR §300.204 and Adjustment to MOE as Permitted by 34 CFR §300.205 -- Projections for State Fiscal Year ",'2. Getting Started'!B6+1," Budget")</f>
        <v>Eligibility Standard -- Exceptions to MOE as Permitted by 34 CFR §300.204 and Adjustment to MOE as Permitted by 34 CFR §300.205 -- Projections for State Fiscal Year 2025 Budget</v>
      </c>
      <c r="B3" s="60"/>
      <c r="C3" s="60"/>
      <c r="D3" s="60"/>
      <c r="E3" s="60"/>
      <c r="F3" s="61"/>
      <c r="G3" s="384"/>
      <c r="H3" s="59" t="str">
        <f>CONCATENATE("Compliance Standard -- Exceptions to MOE as Permitted by 34 CFR §300.204 and Adjustment to MOE as Permitted by 34 CFR §300.205 -- Final Expenditures for  State Fiscal Year ",'2. Getting Started'!B6+1)</f>
        <v>Compliance Standard -- Exceptions to MOE as Permitted by 34 CFR §300.204 and Adjustment to MOE as Permitted by 34 CFR §300.205 -- Final Expenditures for  State Fiscal Year 2025</v>
      </c>
      <c r="I3" s="60"/>
      <c r="J3" s="60"/>
      <c r="K3" s="60"/>
      <c r="L3" s="60"/>
      <c r="M3" s="61"/>
      <c r="O3" s="63"/>
      <c r="P3" s="63"/>
      <c r="Q3" s="63"/>
      <c r="R3" s="63"/>
      <c r="S3" s="63"/>
      <c r="T3" s="63"/>
    </row>
    <row r="4" spans="1:20" x14ac:dyDescent="0.8">
      <c r="A4" s="64" t="s">
        <v>59</v>
      </c>
      <c r="B4" s="65"/>
      <c r="C4" s="66"/>
      <c r="D4" s="66"/>
      <c r="E4" s="66"/>
      <c r="F4" s="67"/>
      <c r="G4" s="384"/>
      <c r="H4" s="64" t="s">
        <v>59</v>
      </c>
      <c r="I4" s="65"/>
      <c r="J4" s="66"/>
      <c r="K4" s="66"/>
      <c r="L4" s="66"/>
      <c r="M4" s="67"/>
      <c r="N4" s="69"/>
      <c r="O4" s="69"/>
      <c r="P4" s="69"/>
      <c r="Q4" s="69"/>
      <c r="R4" s="69"/>
      <c r="S4" s="69"/>
    </row>
    <row r="5" spans="1:20" x14ac:dyDescent="0.8">
      <c r="A5" s="70" t="s">
        <v>60</v>
      </c>
      <c r="B5" s="71"/>
      <c r="C5" s="68"/>
      <c r="D5" s="68"/>
      <c r="E5" s="68"/>
      <c r="F5" s="72"/>
      <c r="G5" s="384"/>
      <c r="H5" s="70" t="s">
        <v>60</v>
      </c>
      <c r="I5" s="71"/>
      <c r="J5" s="68"/>
      <c r="K5" s="68"/>
      <c r="L5" s="68"/>
      <c r="M5" s="72"/>
      <c r="N5" s="73"/>
      <c r="O5" s="73"/>
      <c r="P5" s="73"/>
      <c r="Q5" s="73"/>
      <c r="R5" s="73"/>
    </row>
    <row r="6" spans="1:20" ht="35.65" customHeight="1" thickBot="1" x14ac:dyDescent="0.95">
      <c r="A6" s="74" t="s">
        <v>61</v>
      </c>
      <c r="B6" s="75"/>
      <c r="C6" s="75"/>
      <c r="D6" s="75"/>
      <c r="E6" s="75"/>
      <c r="F6" s="76"/>
      <c r="G6" s="384"/>
      <c r="H6" s="74" t="s">
        <v>61</v>
      </c>
      <c r="I6" s="75"/>
      <c r="J6" s="75"/>
      <c r="K6" s="75"/>
      <c r="L6" s="75"/>
      <c r="M6" s="76"/>
      <c r="N6" s="73"/>
      <c r="O6" s="73"/>
      <c r="P6" s="73"/>
      <c r="Q6" s="73"/>
      <c r="R6" s="73"/>
      <c r="S6" s="73"/>
    </row>
    <row r="7" spans="1:20" x14ac:dyDescent="0.8">
      <c r="A7" s="77" t="s">
        <v>62</v>
      </c>
      <c r="B7" s="78" t="s">
        <v>63</v>
      </c>
      <c r="C7" s="79" t="s">
        <v>64</v>
      </c>
      <c r="D7" s="79" t="s">
        <v>65</v>
      </c>
      <c r="E7" s="80" t="s">
        <v>66</v>
      </c>
      <c r="F7" s="81" t="s">
        <v>67</v>
      </c>
      <c r="G7" s="384"/>
      <c r="H7" s="77" t="s">
        <v>62</v>
      </c>
      <c r="I7" s="78" t="s">
        <v>63</v>
      </c>
      <c r="J7" s="79" t="s">
        <v>64</v>
      </c>
      <c r="K7" s="79" t="s">
        <v>65</v>
      </c>
      <c r="L7" s="80" t="s">
        <v>66</v>
      </c>
      <c r="M7" s="81" t="s">
        <v>68</v>
      </c>
      <c r="N7" s="73"/>
      <c r="O7" s="73"/>
    </row>
    <row r="8" spans="1:20" x14ac:dyDescent="0.8">
      <c r="A8" s="185"/>
      <c r="B8" s="186"/>
      <c r="C8" s="186"/>
      <c r="D8" s="187"/>
      <c r="E8" s="187"/>
      <c r="F8" s="83">
        <f>D8+E8</f>
        <v>0</v>
      </c>
      <c r="G8" s="384"/>
      <c r="H8" s="185"/>
      <c r="I8" s="186"/>
      <c r="J8" s="186"/>
      <c r="K8" s="187"/>
      <c r="L8" s="187"/>
      <c r="M8" s="83">
        <f>K8+L8</f>
        <v>0</v>
      </c>
      <c r="N8" s="84"/>
      <c r="O8" s="84"/>
    </row>
    <row r="9" spans="1:20" x14ac:dyDescent="0.8">
      <c r="A9" s="185"/>
      <c r="B9" s="186"/>
      <c r="C9" s="186"/>
      <c r="D9" s="187"/>
      <c r="E9" s="187"/>
      <c r="F9" s="83">
        <f>D9+E9</f>
        <v>0</v>
      </c>
      <c r="G9" s="384"/>
      <c r="H9" s="185"/>
      <c r="I9" s="186"/>
      <c r="J9" s="186"/>
      <c r="K9" s="187"/>
      <c r="L9" s="187"/>
      <c r="M9" s="83">
        <f>K9+L9</f>
        <v>0</v>
      </c>
      <c r="N9" s="84"/>
      <c r="O9" s="84"/>
    </row>
    <row r="10" spans="1:20" x14ac:dyDescent="0.8">
      <c r="A10" s="185"/>
      <c r="B10" s="186"/>
      <c r="C10" s="186"/>
      <c r="D10" s="187"/>
      <c r="E10" s="187"/>
      <c r="F10" s="83">
        <f>D10+E10</f>
        <v>0</v>
      </c>
      <c r="G10" s="384"/>
      <c r="H10" s="185"/>
      <c r="I10" s="186"/>
      <c r="J10" s="186"/>
      <c r="K10" s="187"/>
      <c r="L10" s="187"/>
      <c r="M10" s="83">
        <f>K10+L10</f>
        <v>0</v>
      </c>
      <c r="N10" s="84"/>
      <c r="O10" s="84"/>
    </row>
    <row r="11" spans="1:20" x14ac:dyDescent="0.8">
      <c r="A11" s="185"/>
      <c r="B11" s="186"/>
      <c r="C11" s="186"/>
      <c r="D11" s="187"/>
      <c r="E11" s="187"/>
      <c r="F11" s="83">
        <f>D11+E11</f>
        <v>0</v>
      </c>
      <c r="G11" s="384"/>
      <c r="H11" s="185"/>
      <c r="I11" s="186"/>
      <c r="J11" s="186"/>
      <c r="K11" s="187"/>
      <c r="L11" s="187"/>
      <c r="M11" s="83">
        <f>K11+L11</f>
        <v>0</v>
      </c>
      <c r="N11" s="84"/>
      <c r="O11" s="84"/>
    </row>
    <row r="12" spans="1:20" x14ac:dyDescent="0.8">
      <c r="A12" s="185"/>
      <c r="B12" s="186"/>
      <c r="C12" s="186"/>
      <c r="D12" s="187"/>
      <c r="E12" s="187"/>
      <c r="F12" s="83">
        <f>D12+E12</f>
        <v>0</v>
      </c>
      <c r="G12" s="384"/>
      <c r="H12" s="185"/>
      <c r="I12" s="186"/>
      <c r="J12" s="186"/>
      <c r="K12" s="187"/>
      <c r="L12" s="187"/>
      <c r="M12" s="83">
        <f>K12+L12</f>
        <v>0</v>
      </c>
      <c r="N12" s="84"/>
      <c r="O12" s="84"/>
    </row>
    <row r="13" spans="1:20" ht="16.75" thickBot="1" x14ac:dyDescent="0.95">
      <c r="A13" s="85"/>
      <c r="B13" s="86"/>
      <c r="C13" s="87" t="s">
        <v>69</v>
      </c>
      <c r="D13" s="88">
        <f t="shared" ref="D13:F13" si="0">SUM(D8:D12)</f>
        <v>0</v>
      </c>
      <c r="E13" s="88">
        <f t="shared" si="0"/>
        <v>0</v>
      </c>
      <c r="F13" s="89">
        <f t="shared" si="0"/>
        <v>0</v>
      </c>
      <c r="G13" s="384"/>
      <c r="H13" s="85"/>
      <c r="I13" s="86"/>
      <c r="J13" s="87" t="s">
        <v>69</v>
      </c>
      <c r="K13" s="88">
        <f t="shared" ref="K13:M13" si="1">SUM(K8:K12)</f>
        <v>0</v>
      </c>
      <c r="L13" s="88">
        <f t="shared" si="1"/>
        <v>0</v>
      </c>
      <c r="M13" s="89">
        <f t="shared" si="1"/>
        <v>0</v>
      </c>
      <c r="N13" s="84"/>
      <c r="O13" s="84"/>
    </row>
    <row r="14" spans="1:20" ht="40.15" customHeight="1" thickBot="1" x14ac:dyDescent="0.95">
      <c r="A14" s="90" t="s">
        <v>70</v>
      </c>
      <c r="B14" s="91"/>
      <c r="C14" s="91"/>
      <c r="D14" s="91"/>
      <c r="E14" s="91"/>
      <c r="F14" s="92"/>
      <c r="G14" s="384"/>
      <c r="H14" s="90" t="s">
        <v>70</v>
      </c>
      <c r="I14" s="91"/>
      <c r="J14" s="91"/>
      <c r="K14" s="91"/>
      <c r="L14" s="91"/>
      <c r="M14" s="92"/>
      <c r="N14" s="73"/>
      <c r="O14" s="73"/>
      <c r="P14" s="73"/>
      <c r="Q14" s="73"/>
      <c r="R14" s="73"/>
      <c r="S14" s="93"/>
    </row>
    <row r="15" spans="1:20" x14ac:dyDescent="0.8">
      <c r="A15" s="94" t="s">
        <v>62</v>
      </c>
      <c r="B15" s="95" t="s">
        <v>63</v>
      </c>
      <c r="C15" s="96" t="s">
        <v>176</v>
      </c>
      <c r="D15" s="79" t="s">
        <v>65</v>
      </c>
      <c r="E15" s="80" t="s">
        <v>66</v>
      </c>
      <c r="F15" s="81" t="s">
        <v>67</v>
      </c>
      <c r="G15" s="384"/>
      <c r="H15" s="94" t="s">
        <v>62</v>
      </c>
      <c r="I15" s="95" t="s">
        <v>63</v>
      </c>
      <c r="J15" s="96" t="s">
        <v>176</v>
      </c>
      <c r="K15" s="79" t="s">
        <v>65</v>
      </c>
      <c r="L15" s="80" t="s">
        <v>66</v>
      </c>
      <c r="M15" s="81" t="s">
        <v>68</v>
      </c>
      <c r="N15" s="63"/>
      <c r="O15" s="98"/>
    </row>
    <row r="16" spans="1:20" x14ac:dyDescent="0.8">
      <c r="A16" s="188"/>
      <c r="B16" s="189"/>
      <c r="C16" s="99"/>
      <c r="D16" s="187"/>
      <c r="E16" s="187"/>
      <c r="F16" s="83">
        <f t="shared" ref="F16:F20" si="2">D16+E16</f>
        <v>0</v>
      </c>
      <c r="G16" s="384"/>
      <c r="H16" s="188"/>
      <c r="I16" s="189"/>
      <c r="J16" s="99"/>
      <c r="K16" s="187"/>
      <c r="L16" s="187"/>
      <c r="M16" s="83">
        <f t="shared" ref="M16:M20" si="3">K16+L16</f>
        <v>0</v>
      </c>
      <c r="N16" s="84"/>
      <c r="O16" s="84"/>
    </row>
    <row r="17" spans="1:19" x14ac:dyDescent="0.8">
      <c r="A17" s="188"/>
      <c r="B17" s="189"/>
      <c r="C17" s="99"/>
      <c r="D17" s="187"/>
      <c r="E17" s="187"/>
      <c r="F17" s="83">
        <f t="shared" si="2"/>
        <v>0</v>
      </c>
      <c r="G17" s="384"/>
      <c r="H17" s="188"/>
      <c r="I17" s="189"/>
      <c r="J17" s="99"/>
      <c r="K17" s="187"/>
      <c r="L17" s="187"/>
      <c r="M17" s="83">
        <f t="shared" si="3"/>
        <v>0</v>
      </c>
      <c r="N17" s="84"/>
      <c r="O17" s="84"/>
    </row>
    <row r="18" spans="1:19" x14ac:dyDescent="0.8">
      <c r="A18" s="188"/>
      <c r="B18" s="189"/>
      <c r="C18" s="99"/>
      <c r="D18" s="187"/>
      <c r="E18" s="187"/>
      <c r="F18" s="83">
        <f t="shared" si="2"/>
        <v>0</v>
      </c>
      <c r="G18" s="384"/>
      <c r="H18" s="188"/>
      <c r="I18" s="189"/>
      <c r="J18" s="99"/>
      <c r="K18" s="187"/>
      <c r="L18" s="187"/>
      <c r="M18" s="83">
        <f t="shared" si="3"/>
        <v>0</v>
      </c>
      <c r="N18" s="84"/>
      <c r="O18" s="84"/>
    </row>
    <row r="19" spans="1:19" x14ac:dyDescent="0.8">
      <c r="A19" s="188"/>
      <c r="B19" s="189"/>
      <c r="C19" s="99"/>
      <c r="D19" s="187"/>
      <c r="E19" s="187"/>
      <c r="F19" s="83">
        <f t="shared" si="2"/>
        <v>0</v>
      </c>
      <c r="G19" s="384"/>
      <c r="H19" s="188"/>
      <c r="I19" s="189"/>
      <c r="J19" s="99"/>
      <c r="K19" s="187"/>
      <c r="L19" s="187"/>
      <c r="M19" s="83">
        <f t="shared" si="3"/>
        <v>0</v>
      </c>
      <c r="N19" s="84"/>
      <c r="O19" s="84"/>
    </row>
    <row r="20" spans="1:19" x14ac:dyDescent="0.8">
      <c r="A20" s="188"/>
      <c r="B20" s="189"/>
      <c r="C20" s="99"/>
      <c r="D20" s="187"/>
      <c r="E20" s="187"/>
      <c r="F20" s="83">
        <f t="shared" si="2"/>
        <v>0</v>
      </c>
      <c r="G20" s="384"/>
      <c r="H20" s="188"/>
      <c r="I20" s="189"/>
      <c r="J20" s="99"/>
      <c r="K20" s="187"/>
      <c r="L20" s="187"/>
      <c r="M20" s="83">
        <f t="shared" si="3"/>
        <v>0</v>
      </c>
      <c r="N20" s="84"/>
      <c r="O20" s="84"/>
    </row>
    <row r="21" spans="1:19" x14ac:dyDescent="0.8">
      <c r="A21" s="100"/>
      <c r="B21" s="101"/>
      <c r="C21" s="102" t="s">
        <v>72</v>
      </c>
      <c r="D21" s="103">
        <f t="shared" ref="D21:F21" si="4">SUM(D16:D20)</f>
        <v>0</v>
      </c>
      <c r="E21" s="103">
        <f t="shared" si="4"/>
        <v>0</v>
      </c>
      <c r="F21" s="83">
        <f t="shared" si="4"/>
        <v>0</v>
      </c>
      <c r="G21" s="384"/>
      <c r="H21" s="100"/>
      <c r="I21" s="101"/>
      <c r="J21" s="102" t="s">
        <v>72</v>
      </c>
      <c r="K21" s="103">
        <f t="shared" ref="K21:M21" si="5">SUM(K16:K20)</f>
        <v>0</v>
      </c>
      <c r="L21" s="103">
        <f t="shared" si="5"/>
        <v>0</v>
      </c>
      <c r="M21" s="83">
        <f t="shared" si="5"/>
        <v>0</v>
      </c>
      <c r="N21" s="84"/>
      <c r="O21" s="84"/>
    </row>
    <row r="22" spans="1:19" ht="16.75" thickBot="1" x14ac:dyDescent="0.95">
      <c r="A22" s="104"/>
      <c r="B22" s="105"/>
      <c r="C22" s="106"/>
      <c r="D22" s="106"/>
      <c r="E22" s="107" t="s">
        <v>73</v>
      </c>
      <c r="F22" s="108">
        <f>F13-F21</f>
        <v>0</v>
      </c>
      <c r="G22" s="384"/>
      <c r="H22" s="104"/>
      <c r="I22" s="105"/>
      <c r="J22" s="105"/>
      <c r="K22" s="110"/>
      <c r="L22" s="107" t="s">
        <v>74</v>
      </c>
      <c r="M22" s="108">
        <f>M13-M21</f>
        <v>0</v>
      </c>
      <c r="N22" s="93"/>
      <c r="O22" s="93"/>
      <c r="P22" s="93"/>
      <c r="Q22" s="93"/>
      <c r="R22" s="93"/>
      <c r="S22" s="93"/>
    </row>
    <row r="23" spans="1:19" ht="16.75" thickBot="1" x14ac:dyDescent="0.95">
      <c r="A23" s="378" t="s">
        <v>22</v>
      </c>
      <c r="B23" s="378"/>
      <c r="C23" s="378"/>
      <c r="D23" s="378"/>
      <c r="E23" s="378"/>
      <c r="F23" s="378"/>
      <c r="G23" s="384"/>
      <c r="H23" s="378" t="s">
        <v>22</v>
      </c>
      <c r="I23" s="378"/>
      <c r="J23" s="378"/>
      <c r="K23" s="378"/>
      <c r="L23" s="378"/>
      <c r="M23" s="378"/>
      <c r="N23" s="93"/>
      <c r="O23" s="93"/>
      <c r="P23" s="93"/>
      <c r="Q23" s="93"/>
      <c r="R23" s="93"/>
      <c r="S23" s="93"/>
    </row>
    <row r="24" spans="1:19" x14ac:dyDescent="0.8">
      <c r="A24" s="111" t="s">
        <v>105</v>
      </c>
      <c r="B24" s="112"/>
      <c r="C24" s="112"/>
      <c r="D24" s="62"/>
      <c r="E24" s="119"/>
      <c r="F24" s="119"/>
      <c r="G24" s="384"/>
      <c r="H24" s="111" t="s">
        <v>105</v>
      </c>
      <c r="I24" s="112"/>
      <c r="J24" s="112"/>
      <c r="K24" s="62"/>
      <c r="L24" s="119"/>
      <c r="M24" s="119"/>
      <c r="N24" s="118"/>
      <c r="O24" s="118"/>
      <c r="P24" s="118"/>
      <c r="Q24" s="118"/>
    </row>
    <row r="25" spans="1:19" x14ac:dyDescent="0.8">
      <c r="A25" s="120" t="s">
        <v>71</v>
      </c>
      <c r="B25" s="121" t="s">
        <v>77</v>
      </c>
      <c r="C25" s="122"/>
      <c r="D25" s="123"/>
      <c r="E25" s="122"/>
      <c r="F25" s="122"/>
      <c r="G25" s="384"/>
      <c r="H25" s="120" t="s">
        <v>71</v>
      </c>
      <c r="I25" s="121" t="s">
        <v>77</v>
      </c>
      <c r="J25" s="122"/>
      <c r="K25" s="123"/>
      <c r="L25" s="122"/>
      <c r="M25" s="122"/>
      <c r="N25" s="118"/>
      <c r="O25" s="118"/>
      <c r="P25" s="118"/>
      <c r="Q25" s="118"/>
    </row>
    <row r="26" spans="1:19" x14ac:dyDescent="0.8">
      <c r="A26" s="124" t="str">
        <f>CONCATENATE("SFY ",'2. Getting Started'!B6+1," Projected Child Count")</f>
        <v>SFY 2025 Projected Child Count</v>
      </c>
      <c r="B26" s="125" t="str">
        <f>IF('8. Year 2 Amounts'!B1="","",'8. Year 2 Amounts'!B1)</f>
        <v/>
      </c>
      <c r="C26" s="122"/>
      <c r="D26" s="123"/>
      <c r="E26" s="122"/>
      <c r="F26" s="122"/>
      <c r="G26" s="384"/>
      <c r="H26" s="124" t="str">
        <f>CONCATENATE("SFY ",'2. Getting Started'!B6+1," Child Count")</f>
        <v>SFY 2025 Child Count</v>
      </c>
      <c r="I26" s="125" t="str">
        <f>IF('8. Year 2 Amounts'!I1="","",'8. Year 2 Amounts'!I1)</f>
        <v/>
      </c>
      <c r="J26" s="122"/>
      <c r="K26" s="123"/>
      <c r="L26" s="122"/>
      <c r="M26" s="122"/>
      <c r="N26" s="118"/>
      <c r="O26" s="118"/>
      <c r="P26" s="118"/>
      <c r="Q26" s="118"/>
    </row>
    <row r="27" spans="1:19" x14ac:dyDescent="0.8">
      <c r="A27" s="124" t="str">
        <f>CONCATENATE("SFY ",'2. Getting Started'!B6," Projected Child Count")</f>
        <v>SFY 2024 Projected Child Count</v>
      </c>
      <c r="B27" s="125" t="str">
        <f>IF('5. Year 1 Amounts'!B1="","",'5. Year 1 Amounts'!B1)</f>
        <v/>
      </c>
      <c r="C27" s="118"/>
      <c r="D27" s="127"/>
      <c r="E27" s="118"/>
      <c r="F27" s="122"/>
      <c r="G27" s="384"/>
      <c r="H27" s="124" t="str">
        <f>CONCATENATE("SFY ",'2. Getting Started'!B6," Child Count")</f>
        <v>SFY 2024 Child Count</v>
      </c>
      <c r="I27" s="125" t="str">
        <f>IF('5. Year 1 Amounts'!I1="","",'5. Year 1 Amounts'!I1)</f>
        <v/>
      </c>
      <c r="J27" s="118"/>
      <c r="K27" s="127"/>
      <c r="L27" s="118"/>
      <c r="M27" s="122"/>
      <c r="N27" s="128"/>
      <c r="O27" s="128"/>
      <c r="P27" s="128"/>
      <c r="Q27" s="128"/>
    </row>
    <row r="28" spans="1:19" x14ac:dyDescent="0.8">
      <c r="A28" s="126" t="s">
        <v>78</v>
      </c>
      <c r="B28" s="129" t="str">
        <f>IF(B26="","",B26-B27)</f>
        <v/>
      </c>
      <c r="C28" s="122" t="str">
        <f>IF(B28="","",IF(B28&gt;=0,"Not eligible for this exception",""))</f>
        <v/>
      </c>
      <c r="D28" s="123"/>
      <c r="E28" s="122"/>
      <c r="F28" s="122"/>
      <c r="G28" s="384"/>
      <c r="H28" s="126" t="s">
        <v>78</v>
      </c>
      <c r="I28" s="129" t="str">
        <f>IF(I26="","",I26-I27)</f>
        <v/>
      </c>
      <c r="J28" s="122" t="str">
        <f>IF(I28="","",IF(I28&gt;=0,"Not eligible for this exception",""))</f>
        <v/>
      </c>
      <c r="K28" s="123"/>
      <c r="L28" s="122"/>
      <c r="M28" s="122"/>
      <c r="N28" s="131"/>
      <c r="O28" s="131"/>
      <c r="P28" s="131"/>
      <c r="Q28" s="131"/>
    </row>
    <row r="29" spans="1:19" x14ac:dyDescent="0.8">
      <c r="A29" s="132" t="s">
        <v>79</v>
      </c>
      <c r="B29" s="133" t="str">
        <f>IF(B26="","",IF(B28&lt;=0,ABS(B28/B27),""))</f>
        <v/>
      </c>
      <c r="C29" s="134"/>
      <c r="D29" s="135"/>
      <c r="E29" s="134"/>
      <c r="F29" s="10"/>
      <c r="G29" s="384"/>
      <c r="H29" s="132" t="s">
        <v>79</v>
      </c>
      <c r="I29" s="133" t="str">
        <f>IF(I26="","",IF(I28&lt;=0,ABS(I28/I27),""))</f>
        <v/>
      </c>
      <c r="J29" s="134"/>
      <c r="K29" s="135"/>
      <c r="L29" s="134"/>
      <c r="M29" s="10"/>
      <c r="N29" s="136"/>
      <c r="O29" s="136"/>
      <c r="P29" s="137"/>
      <c r="Q29" s="137"/>
    </row>
    <row r="30" spans="1:19" x14ac:dyDescent="0.8">
      <c r="A30" s="114" t="s">
        <v>71</v>
      </c>
      <c r="B30" s="115" t="s">
        <v>0</v>
      </c>
      <c r="C30" s="115" t="s">
        <v>2</v>
      </c>
      <c r="D30" s="10"/>
      <c r="E30" s="71"/>
      <c r="F30" s="71"/>
      <c r="G30" s="384"/>
      <c r="H30" s="114" t="s">
        <v>71</v>
      </c>
      <c r="I30" s="115" t="s">
        <v>75</v>
      </c>
      <c r="J30" s="115" t="s">
        <v>76</v>
      </c>
      <c r="K30" s="10"/>
      <c r="L30" s="71"/>
      <c r="M30" s="71"/>
      <c r="N30" s="137"/>
      <c r="O30" s="137"/>
    </row>
    <row r="31" spans="1:19" x14ac:dyDescent="0.8">
      <c r="A31" s="138" t="str">
        <f>CONCATENATE("SFY ",'2. Getting Started'!B6," Budget")</f>
        <v>SFY 2024 Budget</v>
      </c>
      <c r="B31" s="139" t="str">
        <f>IF('5. Year 1 Amounts'!D30="","",'5. Year 1 Amounts'!D30)</f>
        <v/>
      </c>
      <c r="C31" s="139" t="str">
        <f>IF('5. Year 1 Amounts'!F30="","",'5. Year 1 Amounts'!F30)</f>
        <v/>
      </c>
      <c r="D31" s="140"/>
      <c r="E31" s="73"/>
      <c r="F31" s="73"/>
      <c r="G31" s="384"/>
      <c r="H31" s="138" t="str">
        <f>CONCATENATE("SFY ",'2. Getting Started'!B6," Final Expenditures")</f>
        <v>SFY 2024 Final Expenditures</v>
      </c>
      <c r="I31" s="139" t="str">
        <f>IF('5. Year 1 Amounts'!K30="","",'5. Year 1 Amounts'!K30)</f>
        <v/>
      </c>
      <c r="J31" s="139" t="str">
        <f>IF('5. Year 1 Amounts'!M30="","",'5. Year 1 Amounts'!M30)</f>
        <v/>
      </c>
      <c r="K31" s="141"/>
      <c r="L31" s="73"/>
      <c r="M31" s="73"/>
    </row>
    <row r="32" spans="1:19" x14ac:dyDescent="0.8">
      <c r="A32" s="116" t="s">
        <v>80</v>
      </c>
      <c r="B32" s="142" t="str">
        <f>IF(OR($B26="",B29="",B31=""),"",($B29*B31))</f>
        <v/>
      </c>
      <c r="C32" s="142" t="str">
        <f>IF(OR($B26="",B29="",C31=""),"",($B29*C31))</f>
        <v/>
      </c>
      <c r="D32" s="141"/>
      <c r="E32" s="117"/>
      <c r="F32" s="117"/>
      <c r="G32" s="384"/>
      <c r="H32" s="116" t="s">
        <v>81</v>
      </c>
      <c r="I32" s="142" t="str">
        <f>IF(OR($I26="",I29="",I31=""),"",($I29*I31))</f>
        <v/>
      </c>
      <c r="J32" s="142" t="str">
        <f>IF(OR($I26="",I29="",J31=""),"",($I29*J31))</f>
        <v/>
      </c>
      <c r="K32" s="141"/>
      <c r="L32" s="117"/>
      <c r="M32" s="117"/>
    </row>
    <row r="33" spans="1:28" ht="16.75" thickBot="1" x14ac:dyDescent="0.95">
      <c r="A33" s="379" t="s">
        <v>22</v>
      </c>
      <c r="B33" s="379"/>
      <c r="C33" s="379"/>
      <c r="D33" s="122"/>
      <c r="E33" s="122"/>
      <c r="F33" s="122"/>
      <c r="G33" s="384"/>
      <c r="H33" s="379" t="s">
        <v>22</v>
      </c>
      <c r="I33" s="379"/>
      <c r="J33" s="379"/>
      <c r="K33" s="122"/>
      <c r="L33" s="122"/>
      <c r="M33" s="122"/>
      <c r="P33" s="117"/>
      <c r="Q33" s="117"/>
      <c r="R33" s="117"/>
      <c r="S33" s="117"/>
      <c r="T33" s="117"/>
      <c r="U33" s="73"/>
      <c r="V33" s="117"/>
      <c r="W33" s="117"/>
      <c r="X33" s="117"/>
      <c r="Y33" s="117"/>
      <c r="Z33" s="117"/>
      <c r="AA33" s="117"/>
    </row>
    <row r="34" spans="1:28" x14ac:dyDescent="0.8">
      <c r="A34" s="111" t="s">
        <v>82</v>
      </c>
      <c r="B34" s="144"/>
      <c r="C34" s="145"/>
      <c r="D34" s="146"/>
      <c r="E34" s="130"/>
      <c r="F34" s="130"/>
      <c r="G34" s="384"/>
      <c r="H34" s="111" t="s">
        <v>82</v>
      </c>
      <c r="I34" s="144"/>
      <c r="J34" s="145"/>
      <c r="K34" s="146"/>
      <c r="L34" s="130"/>
      <c r="M34" s="130"/>
      <c r="P34" s="117"/>
      <c r="Q34" s="117"/>
      <c r="R34" s="117"/>
      <c r="S34" s="117"/>
      <c r="T34" s="117"/>
      <c r="U34" s="117"/>
      <c r="V34" s="117"/>
      <c r="W34" s="117"/>
      <c r="X34" s="117"/>
      <c r="Y34" s="117"/>
      <c r="Z34" s="117"/>
      <c r="AA34" s="117"/>
    </row>
    <row r="35" spans="1:28" x14ac:dyDescent="0.8">
      <c r="A35" s="147" t="s">
        <v>83</v>
      </c>
      <c r="B35" s="71"/>
      <c r="C35" s="148"/>
      <c r="D35" s="149"/>
      <c r="E35" s="10"/>
      <c r="F35" s="10"/>
      <c r="G35" s="384"/>
      <c r="H35" s="147" t="s">
        <v>83</v>
      </c>
      <c r="I35" s="71"/>
      <c r="J35" s="148"/>
      <c r="K35" s="149"/>
      <c r="L35" s="10"/>
      <c r="M35" s="10"/>
      <c r="P35" s="73"/>
      <c r="Q35" s="73"/>
      <c r="R35" s="73"/>
      <c r="S35" s="73"/>
      <c r="T35" s="73"/>
      <c r="U35" s="73"/>
      <c r="V35" s="73"/>
      <c r="W35" s="73"/>
      <c r="X35" s="73"/>
      <c r="Y35" s="73"/>
      <c r="Z35" s="73"/>
      <c r="AA35" s="73"/>
    </row>
    <row r="36" spans="1:28" x14ac:dyDescent="0.8">
      <c r="A36" s="150" t="s">
        <v>84</v>
      </c>
      <c r="B36" s="71"/>
      <c r="C36" s="151"/>
      <c r="D36" s="149"/>
      <c r="E36" s="10"/>
      <c r="F36" s="10"/>
      <c r="G36" s="384"/>
      <c r="H36" s="150" t="s">
        <v>84</v>
      </c>
      <c r="I36" s="71"/>
      <c r="J36" s="151"/>
      <c r="K36" s="149"/>
      <c r="L36" s="10"/>
      <c r="M36" s="10"/>
      <c r="Q36" s="73"/>
      <c r="R36" s="73"/>
      <c r="S36" s="73"/>
      <c r="T36" s="73"/>
      <c r="U36" s="73"/>
      <c r="V36" s="73"/>
      <c r="W36" s="73"/>
      <c r="X36" s="73"/>
      <c r="Y36" s="73"/>
      <c r="Z36" s="73"/>
      <c r="AA36" s="73"/>
      <c r="AB36" s="73"/>
    </row>
    <row r="37" spans="1:28" x14ac:dyDescent="0.8">
      <c r="A37" s="152" t="s">
        <v>85</v>
      </c>
      <c r="B37" s="153" t="s">
        <v>86</v>
      </c>
      <c r="C37" s="154" t="s">
        <v>87</v>
      </c>
      <c r="D37" s="117"/>
      <c r="E37" s="143"/>
      <c r="F37" s="143"/>
      <c r="G37" s="384"/>
      <c r="H37" s="152" t="s">
        <v>85</v>
      </c>
      <c r="I37" s="153" t="s">
        <v>86</v>
      </c>
      <c r="J37" s="154" t="s">
        <v>88</v>
      </c>
      <c r="K37" s="117"/>
      <c r="L37" s="143"/>
      <c r="M37" s="143"/>
      <c r="P37" s="93"/>
      <c r="Q37" s="93"/>
      <c r="R37" s="93"/>
      <c r="S37" s="93"/>
      <c r="T37" s="93"/>
      <c r="U37" s="93"/>
      <c r="V37" s="93"/>
      <c r="W37" s="93"/>
      <c r="X37" s="93"/>
      <c r="Y37" s="93"/>
      <c r="Z37" s="93"/>
      <c r="AA37" s="93"/>
    </row>
    <row r="38" spans="1:28" x14ac:dyDescent="0.8">
      <c r="A38" s="190"/>
      <c r="B38" s="191"/>
      <c r="C38" s="192"/>
      <c r="D38" s="143"/>
      <c r="E38" s="143"/>
      <c r="F38" s="143"/>
      <c r="G38" s="384"/>
      <c r="H38" s="190"/>
      <c r="I38" s="191"/>
      <c r="J38" s="192"/>
      <c r="K38" s="143"/>
      <c r="L38" s="143"/>
      <c r="M38" s="143"/>
      <c r="P38" s="93"/>
      <c r="Q38" s="93"/>
      <c r="R38" s="93"/>
      <c r="S38" s="93"/>
      <c r="T38" s="93"/>
      <c r="U38" s="93"/>
      <c r="V38" s="93"/>
      <c r="W38" s="93"/>
      <c r="X38" s="93"/>
      <c r="Y38" s="93"/>
      <c r="Z38" s="93"/>
      <c r="AA38" s="93"/>
    </row>
    <row r="39" spans="1:28" x14ac:dyDescent="0.8">
      <c r="A39" s="190"/>
      <c r="B39" s="191"/>
      <c r="C39" s="192"/>
      <c r="D39" s="143"/>
      <c r="E39" s="71"/>
      <c r="F39" s="71"/>
      <c r="G39" s="384"/>
      <c r="H39" s="190"/>
      <c r="I39" s="191"/>
      <c r="J39" s="192"/>
      <c r="K39" s="143"/>
      <c r="L39" s="71"/>
      <c r="M39" s="71"/>
      <c r="P39" s="93"/>
      <c r="Q39" s="93"/>
      <c r="R39" s="93"/>
      <c r="S39" s="93"/>
      <c r="T39" s="93"/>
      <c r="U39" s="93"/>
      <c r="V39" s="93"/>
      <c r="W39" s="93"/>
      <c r="X39" s="93"/>
      <c r="Y39" s="93"/>
      <c r="Z39" s="93"/>
      <c r="AA39" s="93"/>
    </row>
    <row r="40" spans="1:28" x14ac:dyDescent="0.8">
      <c r="A40" s="190"/>
      <c r="B40" s="191"/>
      <c r="C40" s="192"/>
      <c r="D40" s="143"/>
      <c r="E40" s="71"/>
      <c r="F40" s="71"/>
      <c r="G40" s="384"/>
      <c r="H40" s="190"/>
      <c r="I40" s="191"/>
      <c r="J40" s="192"/>
      <c r="K40" s="143"/>
      <c r="L40" s="71"/>
      <c r="M40" s="71"/>
      <c r="P40" s="93"/>
      <c r="Q40" s="93"/>
      <c r="R40" s="93"/>
      <c r="S40" s="93"/>
      <c r="T40" s="93"/>
      <c r="U40" s="93"/>
      <c r="V40" s="93"/>
      <c r="W40" s="93"/>
      <c r="X40" s="93"/>
      <c r="Y40" s="93"/>
      <c r="Z40" s="93"/>
      <c r="AA40" s="93"/>
    </row>
    <row r="41" spans="1:28" x14ac:dyDescent="0.8">
      <c r="A41" s="190"/>
      <c r="B41" s="191"/>
      <c r="C41" s="192"/>
      <c r="D41" s="143"/>
      <c r="E41" s="119"/>
      <c r="F41" s="119"/>
      <c r="G41" s="384"/>
      <c r="H41" s="190"/>
      <c r="I41" s="191"/>
      <c r="J41" s="192"/>
      <c r="K41" s="143"/>
      <c r="L41" s="119"/>
      <c r="M41" s="119"/>
      <c r="P41" s="93"/>
      <c r="Q41" s="93"/>
      <c r="R41" s="93"/>
      <c r="S41" s="93"/>
      <c r="T41" s="93"/>
      <c r="U41" s="93"/>
      <c r="V41" s="93"/>
      <c r="W41" s="93"/>
      <c r="X41" s="93"/>
      <c r="Y41" s="93"/>
      <c r="Z41" s="93"/>
      <c r="AA41" s="93"/>
    </row>
    <row r="42" spans="1:28" x14ac:dyDescent="0.8">
      <c r="A42" s="190"/>
      <c r="B42" s="191"/>
      <c r="C42" s="192"/>
      <c r="D42" s="143"/>
      <c r="F42" s="10"/>
      <c r="G42" s="384"/>
      <c r="H42" s="190"/>
      <c r="I42" s="191"/>
      <c r="J42" s="192"/>
      <c r="K42" s="143"/>
      <c r="M42" s="10"/>
      <c r="P42" s="73"/>
      <c r="Q42" s="73"/>
      <c r="R42" s="73"/>
      <c r="S42" s="73"/>
      <c r="T42" s="73"/>
      <c r="U42" s="73"/>
      <c r="V42" s="73"/>
      <c r="W42" s="73"/>
      <c r="X42" s="73"/>
      <c r="Y42" s="73"/>
      <c r="Z42" s="73"/>
      <c r="AA42" s="73"/>
    </row>
    <row r="43" spans="1:28" x14ac:dyDescent="0.8">
      <c r="A43" s="156" t="s">
        <v>89</v>
      </c>
      <c r="B43" s="157"/>
      <c r="C43" s="158">
        <f>SUM(C38:C42)</f>
        <v>0</v>
      </c>
      <c r="D43" s="143"/>
      <c r="E43" s="73"/>
      <c r="F43" s="71"/>
      <c r="G43" s="384"/>
      <c r="H43" s="156" t="s">
        <v>90</v>
      </c>
      <c r="I43" s="157"/>
      <c r="J43" s="158">
        <f>SUM(J38:J42)</f>
        <v>0</v>
      </c>
      <c r="K43" s="143"/>
      <c r="L43" s="73"/>
      <c r="M43" s="71"/>
      <c r="P43" s="73"/>
      <c r="Q43" s="73"/>
      <c r="R43" s="73"/>
      <c r="S43" s="73"/>
      <c r="T43" s="73"/>
      <c r="U43" s="73"/>
      <c r="V43" s="73"/>
      <c r="W43" s="73"/>
      <c r="X43" s="73"/>
      <c r="Y43" s="73"/>
      <c r="Z43" s="73"/>
      <c r="AA43" s="73"/>
    </row>
    <row r="44" spans="1:28" ht="16.75" thickBot="1" x14ac:dyDescent="0.95">
      <c r="A44" s="381" t="s">
        <v>22</v>
      </c>
      <c r="B44" s="381"/>
      <c r="C44" s="381"/>
      <c r="D44" s="71"/>
      <c r="E44" s="71"/>
      <c r="F44" s="71"/>
      <c r="G44" s="384"/>
      <c r="H44" s="381" t="s">
        <v>22</v>
      </c>
      <c r="I44" s="381"/>
      <c r="J44" s="381"/>
      <c r="K44" s="71"/>
      <c r="L44" s="71"/>
      <c r="M44" s="71"/>
      <c r="P44" s="93"/>
      <c r="Q44" s="93"/>
      <c r="R44" s="93"/>
      <c r="S44" s="93"/>
      <c r="T44" s="93"/>
      <c r="U44" s="93"/>
      <c r="V44" s="93"/>
      <c r="W44" s="93"/>
      <c r="X44" s="93"/>
      <c r="Y44" s="93"/>
      <c r="Z44" s="93"/>
      <c r="AA44" s="93"/>
    </row>
    <row r="45" spans="1:28" x14ac:dyDescent="0.8">
      <c r="A45" s="111" t="s">
        <v>91</v>
      </c>
      <c r="B45" s="113"/>
      <c r="C45" s="119"/>
      <c r="D45" s="119"/>
      <c r="E45" s="119"/>
      <c r="F45" s="119"/>
      <c r="G45" s="384"/>
      <c r="H45" s="111" t="s">
        <v>91</v>
      </c>
      <c r="I45" s="113"/>
      <c r="J45" s="119"/>
      <c r="K45" s="119"/>
      <c r="L45" s="119"/>
      <c r="M45" s="119"/>
      <c r="O45" s="93"/>
      <c r="P45" s="93"/>
      <c r="Q45" s="93"/>
      <c r="R45" s="93"/>
      <c r="S45" s="93"/>
      <c r="T45" s="93"/>
      <c r="U45" s="93"/>
      <c r="V45" s="93"/>
      <c r="W45" s="93"/>
      <c r="X45" s="93"/>
      <c r="Y45" s="93"/>
      <c r="Z45" s="93"/>
    </row>
    <row r="46" spans="1:28" ht="26.65" customHeight="1" x14ac:dyDescent="0.8">
      <c r="A46" s="70" t="s">
        <v>92</v>
      </c>
      <c r="B46" s="151"/>
      <c r="C46" s="119"/>
      <c r="D46" s="71"/>
      <c r="E46" s="73"/>
      <c r="F46" s="73"/>
      <c r="G46" s="384"/>
      <c r="H46" s="70" t="s">
        <v>92</v>
      </c>
      <c r="I46" s="151"/>
      <c r="J46" s="119"/>
      <c r="K46" s="71"/>
      <c r="L46" s="73"/>
      <c r="M46" s="73"/>
      <c r="O46" s="93"/>
      <c r="P46" s="93"/>
      <c r="Q46" s="93"/>
      <c r="R46" s="93"/>
      <c r="S46" s="93"/>
      <c r="T46" s="93"/>
      <c r="U46" s="93"/>
      <c r="V46" s="93"/>
      <c r="W46" s="93"/>
      <c r="X46" s="93"/>
      <c r="Y46" s="93"/>
      <c r="Z46" s="93"/>
    </row>
    <row r="47" spans="1:28" x14ac:dyDescent="0.8">
      <c r="A47" s="159" t="s">
        <v>93</v>
      </c>
      <c r="B47" s="160" t="s">
        <v>94</v>
      </c>
      <c r="C47" s="117"/>
      <c r="D47" s="117"/>
      <c r="E47" s="143"/>
      <c r="F47" s="109"/>
      <c r="G47" s="384"/>
      <c r="H47" s="159" t="s">
        <v>93</v>
      </c>
      <c r="I47" s="160" t="s">
        <v>95</v>
      </c>
      <c r="J47" s="117"/>
      <c r="K47" s="117"/>
      <c r="L47" s="143"/>
      <c r="M47" s="109"/>
      <c r="O47" s="93"/>
      <c r="P47" s="93"/>
      <c r="Q47" s="93"/>
      <c r="R47" s="93"/>
      <c r="S47" s="93"/>
      <c r="T47" s="93"/>
      <c r="U47" s="93"/>
      <c r="V47" s="93"/>
      <c r="W47" s="93"/>
      <c r="X47" s="93"/>
      <c r="Y47" s="93"/>
      <c r="Z47" s="93"/>
    </row>
    <row r="48" spans="1:28" ht="60" customHeight="1" x14ac:dyDescent="0.8">
      <c r="A48" s="193"/>
      <c r="B48" s="194"/>
      <c r="C48" s="143"/>
      <c r="D48" s="143"/>
      <c r="E48" s="143"/>
      <c r="F48" s="71"/>
      <c r="G48" s="384"/>
      <c r="H48" s="193"/>
      <c r="I48" s="194"/>
      <c r="J48" s="143"/>
      <c r="K48" s="143"/>
      <c r="L48" s="143"/>
      <c r="M48" s="71"/>
      <c r="O48" s="93"/>
      <c r="P48" s="93"/>
      <c r="Q48" s="93"/>
      <c r="R48" s="93"/>
      <c r="S48" s="93"/>
      <c r="T48" s="93"/>
      <c r="U48" s="93"/>
      <c r="V48" s="93"/>
      <c r="W48" s="93"/>
      <c r="X48" s="93"/>
      <c r="Y48" s="93"/>
      <c r="Z48" s="93"/>
    </row>
    <row r="49" spans="1:26" ht="60" customHeight="1" x14ac:dyDescent="0.8">
      <c r="A49" s="193"/>
      <c r="B49" s="194"/>
      <c r="C49" s="143"/>
      <c r="D49" s="143"/>
      <c r="E49" s="155"/>
      <c r="F49" s="155"/>
      <c r="G49" s="384"/>
      <c r="H49" s="193"/>
      <c r="I49" s="194"/>
      <c r="J49" s="143"/>
      <c r="K49" s="143"/>
      <c r="L49" s="155"/>
      <c r="M49" s="155"/>
      <c r="O49" s="93"/>
      <c r="P49" s="93"/>
      <c r="Q49" s="93"/>
      <c r="R49" s="93"/>
      <c r="S49" s="93"/>
      <c r="T49" s="93"/>
      <c r="U49" s="93"/>
      <c r="V49" s="93"/>
      <c r="W49" s="93"/>
      <c r="X49" s="93"/>
      <c r="Y49" s="93"/>
      <c r="Z49" s="93"/>
    </row>
    <row r="50" spans="1:26" ht="60" customHeight="1" x14ac:dyDescent="0.8">
      <c r="A50" s="193"/>
      <c r="B50" s="194"/>
      <c r="C50" s="143"/>
      <c r="D50" s="143"/>
      <c r="E50" s="71"/>
      <c r="F50" s="71"/>
      <c r="G50" s="384"/>
      <c r="H50" s="193"/>
      <c r="I50" s="194"/>
      <c r="J50" s="143"/>
      <c r="K50" s="143"/>
      <c r="L50" s="71"/>
      <c r="M50" s="71"/>
    </row>
    <row r="51" spans="1:26" ht="60" customHeight="1" x14ac:dyDescent="0.8">
      <c r="A51" s="193"/>
      <c r="B51" s="194"/>
      <c r="C51" s="143"/>
      <c r="D51" s="143"/>
      <c r="E51" s="161"/>
      <c r="F51" s="161"/>
      <c r="G51" s="384"/>
      <c r="H51" s="193"/>
      <c r="I51" s="194"/>
      <c r="J51" s="143"/>
      <c r="K51" s="143"/>
      <c r="L51" s="161"/>
      <c r="M51" s="161"/>
    </row>
    <row r="52" spans="1:26" ht="60" customHeight="1" x14ac:dyDescent="0.8">
      <c r="A52" s="193"/>
      <c r="B52" s="194"/>
      <c r="C52" s="143"/>
      <c r="D52" s="143"/>
      <c r="E52" s="162"/>
      <c r="F52" s="162"/>
      <c r="G52" s="384"/>
      <c r="H52" s="193"/>
      <c r="I52" s="194"/>
      <c r="J52" s="143"/>
      <c r="K52" s="143"/>
      <c r="L52" s="162"/>
      <c r="M52" s="162"/>
    </row>
    <row r="53" spans="1:26" x14ac:dyDescent="0.8">
      <c r="A53" s="163" t="s">
        <v>89</v>
      </c>
      <c r="B53" s="164">
        <f>SUM(B48:B52)</f>
        <v>0</v>
      </c>
      <c r="C53" s="143"/>
      <c r="D53" s="143"/>
      <c r="E53" s="73"/>
      <c r="G53" s="384"/>
      <c r="H53" s="165" t="s">
        <v>90</v>
      </c>
      <c r="I53" s="164">
        <f>SUM(I48:I52)</f>
        <v>0</v>
      </c>
      <c r="J53" s="143"/>
      <c r="K53" s="143"/>
      <c r="L53" s="73"/>
    </row>
    <row r="54" spans="1:26" ht="16.75" thickBot="1" x14ac:dyDescent="0.95">
      <c r="A54" s="379" t="s">
        <v>22</v>
      </c>
      <c r="B54" s="379"/>
      <c r="C54" s="10"/>
      <c r="D54" s="71"/>
      <c r="E54" s="71"/>
      <c r="F54" s="71"/>
      <c r="G54" s="384"/>
      <c r="H54" s="379" t="s">
        <v>22</v>
      </c>
      <c r="I54" s="379"/>
      <c r="J54" s="10"/>
      <c r="K54" s="71"/>
      <c r="L54" s="71"/>
      <c r="M54" s="71"/>
    </row>
    <row r="55" spans="1:26" x14ac:dyDescent="0.8">
      <c r="A55" s="166" t="str">
        <f>IF('3b. High Cost Fund'!B4="No","This exception is not valid in your state.","Exception (e) The assumption of cost by the high cost fund operated by the")</f>
        <v>This exception is not valid in your state.</v>
      </c>
      <c r="B55" s="145"/>
      <c r="C55" s="146"/>
      <c r="D55" s="130"/>
      <c r="E55" s="130"/>
      <c r="F55" s="143"/>
      <c r="G55" s="384"/>
      <c r="H55" s="166" t="str">
        <f>IF('3b. High Cost Fund'!B4="No","This exception is not valid in your state.","Exception (e) The assumption of cost by the high cost fund operated by the")</f>
        <v>This exception is not valid in your state.</v>
      </c>
      <c r="I55" s="145"/>
      <c r="J55" s="146"/>
      <c r="K55" s="130"/>
      <c r="L55" s="130"/>
      <c r="M55" s="143"/>
    </row>
    <row r="56" spans="1:26" ht="28.15" customHeight="1" x14ac:dyDescent="0.8">
      <c r="A56" s="70" t="str">
        <f>IF('3b. High Cost Fund'!B4="No","","SEA under §300.704. MUST be explicitly permitted by the SEA.")</f>
        <v/>
      </c>
      <c r="B56" s="167"/>
      <c r="C56" s="168"/>
      <c r="D56" s="169"/>
      <c r="E56" s="162"/>
      <c r="F56" s="143"/>
      <c r="G56" s="384"/>
      <c r="H56" s="70" t="str">
        <f>IF('3b. High Cost Fund'!B4="No","","SEA under §300.704. MUST be explicitly permitted by the SEA.")</f>
        <v/>
      </c>
      <c r="I56" s="167"/>
      <c r="J56" s="146"/>
      <c r="K56" s="169"/>
      <c r="L56" s="162"/>
      <c r="M56" s="143"/>
    </row>
    <row r="57" spans="1:26" x14ac:dyDescent="0.8">
      <c r="A57" s="170" t="s">
        <v>85</v>
      </c>
      <c r="B57" s="171" t="s">
        <v>96</v>
      </c>
      <c r="C57" s="117"/>
      <c r="D57" s="143"/>
      <c r="E57" s="143"/>
      <c r="F57" s="10"/>
      <c r="G57" s="384"/>
      <c r="H57" s="170" t="s">
        <v>85</v>
      </c>
      <c r="I57" s="171" t="s">
        <v>97</v>
      </c>
      <c r="J57" s="117"/>
      <c r="K57" s="143"/>
      <c r="L57" s="143"/>
      <c r="M57" s="10"/>
    </row>
    <row r="58" spans="1:26" ht="15.4" customHeight="1" x14ac:dyDescent="0.8">
      <c r="A58" s="195"/>
      <c r="B58" s="196"/>
      <c r="C58" s="338" t="str">
        <f>IF(AND(B58&lt;&gt;"",'3b. High Cost Fund'!$B4="No"),"Invalid entry. This exception is valid only in states with high-cost funds. If your state has a high-cost fund, please indicate that on tab 3b.","")</f>
        <v/>
      </c>
      <c r="D58" s="143"/>
      <c r="E58" s="143"/>
      <c r="F58" s="10"/>
      <c r="G58" s="384"/>
      <c r="H58" s="195"/>
      <c r="I58" s="196"/>
      <c r="J58" s="338" t="str">
        <f>IF(AND(I58&lt;&gt;"",'3b. High Cost Fund'!$B4="No"),"Invalid entry. This exception is valid only in states with high-cost funds. If your state has a high-cost fund, please indicate that on tab 3b.","")</f>
        <v/>
      </c>
      <c r="K58" s="143"/>
      <c r="L58" s="143"/>
      <c r="M58" s="10"/>
    </row>
    <row r="59" spans="1:26" x14ac:dyDescent="0.8">
      <c r="A59" s="195"/>
      <c r="B59" s="196"/>
      <c r="C59" s="143"/>
      <c r="D59" s="10"/>
      <c r="E59" s="10"/>
      <c r="F59" s="10"/>
      <c r="G59" s="384"/>
      <c r="H59" s="195"/>
      <c r="I59" s="196"/>
      <c r="J59" s="143"/>
      <c r="K59" s="10"/>
      <c r="L59" s="10"/>
      <c r="M59" s="10"/>
    </row>
    <row r="60" spans="1:26" x14ac:dyDescent="0.8">
      <c r="A60" s="195"/>
      <c r="B60" s="196"/>
      <c r="C60" s="143"/>
      <c r="D60" s="10"/>
      <c r="E60" s="10"/>
      <c r="F60" s="10"/>
      <c r="G60" s="384"/>
      <c r="H60" s="195"/>
      <c r="I60" s="196"/>
      <c r="J60" s="143"/>
      <c r="K60" s="10"/>
      <c r="L60" s="10"/>
      <c r="M60" s="10"/>
    </row>
    <row r="61" spans="1:26" x14ac:dyDescent="0.8">
      <c r="A61" s="195"/>
      <c r="B61" s="196"/>
      <c r="C61" s="143"/>
      <c r="D61" s="10"/>
      <c r="E61" s="10"/>
      <c r="F61" s="10"/>
      <c r="G61" s="384"/>
      <c r="H61" s="195"/>
      <c r="I61" s="196"/>
      <c r="J61" s="143"/>
      <c r="K61" s="10"/>
      <c r="L61" s="10"/>
      <c r="M61" s="10"/>
    </row>
    <row r="62" spans="1:26" x14ac:dyDescent="0.8">
      <c r="A62" s="195"/>
      <c r="B62" s="196"/>
      <c r="C62" s="143"/>
      <c r="D62" s="10"/>
      <c r="E62" s="10"/>
      <c r="F62" s="10"/>
      <c r="G62" s="384"/>
      <c r="H62" s="195"/>
      <c r="I62" s="196"/>
      <c r="J62" s="143"/>
      <c r="K62" s="10"/>
      <c r="L62" s="10"/>
      <c r="M62" s="10"/>
    </row>
    <row r="63" spans="1:26" x14ac:dyDescent="0.8">
      <c r="A63" s="172" t="s">
        <v>89</v>
      </c>
      <c r="B63" s="173">
        <f>IF('3b. High Cost Fund'!B4="No",0,SUM(B58:B62))</f>
        <v>0</v>
      </c>
      <c r="C63" s="143"/>
      <c r="D63" s="10"/>
      <c r="E63" s="10"/>
      <c r="F63" s="10"/>
      <c r="G63" s="384"/>
      <c r="H63" s="174" t="s">
        <v>90</v>
      </c>
      <c r="I63" s="173">
        <f>IF('3b. High Cost Fund'!B4="No",0,SUM(I58:I62))</f>
        <v>0</v>
      </c>
      <c r="J63" s="143"/>
      <c r="K63" s="10"/>
      <c r="L63" s="10"/>
      <c r="M63" s="10"/>
    </row>
    <row r="64" spans="1:26" ht="16.75" thickBot="1" x14ac:dyDescent="0.95">
      <c r="A64" s="69"/>
      <c r="B64" s="199"/>
      <c r="C64" s="143"/>
      <c r="D64" s="10"/>
      <c r="E64" s="10"/>
      <c r="F64" s="10"/>
      <c r="G64" s="384"/>
      <c r="H64" s="162"/>
      <c r="I64" s="199"/>
      <c r="J64" s="143"/>
      <c r="K64" s="10"/>
      <c r="L64" s="10"/>
      <c r="M64" s="10"/>
    </row>
    <row r="65" spans="1:13" x14ac:dyDescent="0.8">
      <c r="A65" s="347" t="s">
        <v>107</v>
      </c>
      <c r="B65" s="348"/>
      <c r="C65" s="143"/>
      <c r="D65" s="10"/>
      <c r="E65" s="10"/>
      <c r="F65" s="10"/>
      <c r="G65" s="384"/>
      <c r="H65" s="349" t="s">
        <v>106</v>
      </c>
      <c r="I65" s="350"/>
      <c r="J65" s="143"/>
      <c r="K65" s="10"/>
      <c r="L65" s="10"/>
      <c r="M65" s="10"/>
    </row>
    <row r="66" spans="1:13" x14ac:dyDescent="0.8">
      <c r="A66" s="242" t="s">
        <v>123</v>
      </c>
      <c r="B66" s="265" t="s">
        <v>124</v>
      </c>
      <c r="C66" s="143"/>
      <c r="D66" s="10"/>
      <c r="E66" s="10"/>
      <c r="F66" s="10"/>
      <c r="G66" s="384"/>
      <c r="H66" s="269" t="s">
        <v>123</v>
      </c>
      <c r="I66" s="270" t="s">
        <v>124</v>
      </c>
      <c r="J66" s="143"/>
      <c r="K66" s="10"/>
      <c r="L66" s="10"/>
      <c r="M66" s="10"/>
    </row>
    <row r="67" spans="1:13" x14ac:dyDescent="0.8">
      <c r="A67" s="102" t="s">
        <v>0</v>
      </c>
      <c r="B67" s="240">
        <f>IF(B$28&gt;=0,(F$22+C$43+B$53+B$63),(F$22+C$43+B$53+B$63+B$32))</f>
        <v>0</v>
      </c>
      <c r="C67" s="143"/>
      <c r="D67" s="10"/>
      <c r="E67" s="10"/>
      <c r="F67" s="10"/>
      <c r="G67" s="384"/>
      <c r="H67" s="102" t="s">
        <v>0</v>
      </c>
      <c r="I67" s="240">
        <f>IF(I$28&gt;=0,(M$22+J$43+I$53+I$63),(M$22+J$43+I$53+I$63+I$32))</f>
        <v>0</v>
      </c>
      <c r="J67" s="143"/>
      <c r="K67" s="10"/>
      <c r="L67" s="10"/>
      <c r="M67" s="10"/>
    </row>
    <row r="68" spans="1:13" x14ac:dyDescent="0.8">
      <c r="A68" s="241" t="s">
        <v>2</v>
      </c>
      <c r="B68" s="173">
        <f>IF(B$28&gt;=0,(F$22+C$43+B$53+B$63),(F$22+C$43+B$53+B$63+C$32))</f>
        <v>0</v>
      </c>
      <c r="C68" s="143"/>
      <c r="D68" s="10"/>
      <c r="E68" s="10"/>
      <c r="F68" s="10"/>
      <c r="G68" s="384"/>
      <c r="H68" s="241" t="s">
        <v>2</v>
      </c>
      <c r="I68" s="173">
        <f>IF(I$28&gt;=0,(M$22+J$43+I$53+I$63),(M$22+J$43+I$53+I$63+J$32))</f>
        <v>0</v>
      </c>
      <c r="J68" s="143"/>
      <c r="K68" s="10"/>
      <c r="L68" s="10"/>
      <c r="M68" s="10"/>
    </row>
    <row r="69" spans="1:13" ht="16.75" thickBot="1" x14ac:dyDescent="0.95">
      <c r="A69" s="382" t="s">
        <v>22</v>
      </c>
      <c r="B69" s="382"/>
      <c r="C69" s="10"/>
      <c r="D69" s="10"/>
      <c r="E69" s="10"/>
      <c r="F69" s="10"/>
      <c r="G69" s="384"/>
      <c r="H69" s="382" t="s">
        <v>22</v>
      </c>
      <c r="I69" s="382"/>
      <c r="J69" s="10"/>
      <c r="K69" s="10"/>
      <c r="L69" s="10"/>
      <c r="M69" s="10"/>
    </row>
    <row r="70" spans="1:13" ht="31.15" customHeight="1" x14ac:dyDescent="0.8">
      <c r="A70" s="337" t="s">
        <v>98</v>
      </c>
      <c r="B70" s="176"/>
      <c r="C70" s="11"/>
      <c r="D70" s="177"/>
      <c r="E70" s="10"/>
      <c r="F70" s="10"/>
      <c r="G70" s="384"/>
      <c r="H70" s="337" t="s">
        <v>98</v>
      </c>
      <c r="I70" s="176"/>
      <c r="J70" s="11"/>
      <c r="K70" s="177"/>
      <c r="L70" s="10"/>
      <c r="M70" s="10"/>
    </row>
    <row r="71" spans="1:13" x14ac:dyDescent="0.8">
      <c r="A71" s="178" t="s">
        <v>71</v>
      </c>
      <c r="B71" s="179" t="s">
        <v>99</v>
      </c>
      <c r="C71" s="11" t="s">
        <v>100</v>
      </c>
      <c r="E71" s="10"/>
      <c r="F71" s="10"/>
      <c r="G71" s="384"/>
      <c r="H71" s="178" t="s">
        <v>71</v>
      </c>
      <c r="I71" s="179" t="s">
        <v>101</v>
      </c>
      <c r="J71" s="11" t="s">
        <v>100</v>
      </c>
      <c r="K71" s="10"/>
      <c r="L71" s="10"/>
      <c r="M71" s="10"/>
    </row>
    <row r="72" spans="1:13" x14ac:dyDescent="0.8">
      <c r="A72" s="180" t="s">
        <v>102</v>
      </c>
      <c r="B72" s="197">
        <v>0</v>
      </c>
      <c r="C72" s="181" t="s">
        <v>103</v>
      </c>
      <c r="D72" s="10"/>
      <c r="E72" s="10"/>
      <c r="F72" s="10"/>
      <c r="G72" s="384"/>
      <c r="H72" s="180" t="s">
        <v>104</v>
      </c>
      <c r="I72" s="197">
        <v>0</v>
      </c>
      <c r="J72" s="181" t="s">
        <v>103</v>
      </c>
      <c r="K72" s="10"/>
      <c r="L72" s="10"/>
      <c r="M72" s="10"/>
    </row>
    <row r="73" spans="1:13" ht="30" customHeight="1" x14ac:dyDescent="0.8">
      <c r="A73" s="345" t="s">
        <v>183</v>
      </c>
      <c r="B73" s="182"/>
      <c r="C73" s="182"/>
      <c r="D73" s="182"/>
      <c r="E73" s="182"/>
      <c r="F73" s="182"/>
      <c r="G73" s="384"/>
      <c r="H73" s="182"/>
      <c r="I73" s="182"/>
      <c r="J73" s="182"/>
      <c r="K73" s="182"/>
      <c r="L73" s="182"/>
      <c r="M73" s="182"/>
    </row>
    <row r="74" spans="1:13" s="184" customFormat="1" x14ac:dyDescent="0.8">
      <c r="A74" s="358" t="s">
        <v>182</v>
      </c>
      <c r="B74" s="183"/>
      <c r="C74" s="183"/>
      <c r="D74" s="183"/>
      <c r="E74" s="183"/>
      <c r="F74" s="183"/>
      <c r="G74" s="183"/>
      <c r="H74" s="183"/>
      <c r="I74" s="183"/>
      <c r="J74" s="183"/>
      <c r="K74" s="183"/>
      <c r="L74" s="183"/>
      <c r="M74" s="183"/>
    </row>
    <row r="75" spans="1:13" x14ac:dyDescent="0.8">
      <c r="A75" s="380" t="s">
        <v>24</v>
      </c>
      <c r="B75" s="380"/>
      <c r="C75" s="380"/>
      <c r="D75" s="380"/>
      <c r="E75" s="380"/>
      <c r="F75" s="380"/>
      <c r="G75" s="380"/>
      <c r="H75" s="380"/>
      <c r="I75" s="380"/>
      <c r="J75" s="380"/>
      <c r="K75" s="380"/>
      <c r="L75" s="380"/>
      <c r="M75" s="380"/>
    </row>
  </sheetData>
  <sheetProtection algorithmName="SHA-512" hashValue="Edpwo6LBP1gDdU4P2/T1RQdwnixgi17UOMn1Iud3/lanKChUgIRaQhgmSa8ubE3r5hElR8Oh1ZOkS6b0xkieNA==" saltValue="x1OrHZUbnydpgaInw3X6cg==" spinCount="100000" sheet="1" formatColumns="0" formatRows="0"/>
  <mergeCells count="12">
    <mergeCell ref="A54:B54"/>
    <mergeCell ref="H54:I54"/>
    <mergeCell ref="A69:B69"/>
    <mergeCell ref="H69:I69"/>
    <mergeCell ref="A75:M75"/>
    <mergeCell ref="G1:G73"/>
    <mergeCell ref="A23:F23"/>
    <mergeCell ref="H23:M23"/>
    <mergeCell ref="A33:C33"/>
    <mergeCell ref="H33:J33"/>
    <mergeCell ref="A44:C44"/>
    <mergeCell ref="H44:J44"/>
  </mergeCells>
  <conditionalFormatting sqref="A55">
    <cfRule type="containsText" dxfId="216" priority="2" operator="containsText" text="not valid">
      <formula>NOT(ISERROR(SEARCH("not valid",A55)))</formula>
    </cfRule>
  </conditionalFormatting>
  <conditionalFormatting sqref="H55">
    <cfRule type="containsText" dxfId="215" priority="1" operator="containsText" text="not valid">
      <formula>NOT(ISERROR(SEARCH("not valid",H55)))</formula>
    </cfRule>
  </conditionalFormatting>
  <dataValidations count="1">
    <dataValidation type="list" allowBlank="1" showInputMessage="1" showErrorMessage="1" sqref="B38:B42 I38:I42" xr:uid="{00000000-0002-0000-0900-000000000000}">
      <formula1>Exception_c</formula1>
    </dataValidation>
  </dataValidations>
  <hyperlinks>
    <hyperlink ref="C72" r:id="rId1" xr:uid="{00000000-0004-0000-0900-000000000000}"/>
    <hyperlink ref="J72" r:id="rId2" xr:uid="{00000000-0004-0000-0900-000001000000}"/>
    <hyperlink ref="A74" r:id="rId3" xr:uid="{FE3FE4C2-68B5-45C3-9226-3076AD039D9A}"/>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70C0"/>
  </sheetPr>
  <dimension ref="A1:F43"/>
  <sheetViews>
    <sheetView showGridLines="0" workbookViewId="0"/>
  </sheetViews>
  <sheetFormatPr defaultColWidth="0" defaultRowHeight="14.75" zeroHeight="1" x14ac:dyDescent="0.75"/>
  <cols>
    <col min="1" max="1" width="43.40625" bestFit="1" customWidth="1"/>
    <col min="2" max="5" width="33.7265625" customWidth="1"/>
    <col min="6" max="6" width="0.86328125" customWidth="1"/>
    <col min="7" max="16384" width="9.1328125" hidden="1"/>
  </cols>
  <sheetData>
    <row r="1" spans="1:5" ht="21" x14ac:dyDescent="1">
      <c r="A1" s="302" t="str">
        <f>CONCATENATE("Summary of Year 2: State Fiscal Year ",'2. Getting Started'!B6+1)</f>
        <v>Summary of Year 2: State Fiscal Year 2025</v>
      </c>
      <c r="B1" s="300"/>
      <c r="C1" s="300"/>
      <c r="D1" s="21" t="s">
        <v>14</v>
      </c>
      <c r="E1" s="20" t="str">
        <f>IF('2. Getting Started'!B2="","",'2. Getting Started'!B2)</f>
        <v/>
      </c>
    </row>
    <row r="2" spans="1:5" ht="18.5" x14ac:dyDescent="0.9">
      <c r="A2" s="2" t="str">
        <f>CONCATENATE("State fiscal year ",'2. Getting Started'!B6+1," covers the period ",'2. Getting Started'!B4,", ",'2. Getting Started'!B6," through ",'2. Getting Started'!B5,", ",'2. Getting Started'!B6+1)</f>
        <v>State fiscal year 2025 covers the period July 1, 2024 through June 30, 2025</v>
      </c>
      <c r="B2" s="300"/>
      <c r="C2" s="300"/>
      <c r="D2" s="301"/>
      <c r="E2" s="300"/>
    </row>
    <row r="3" spans="1:5" ht="18.5" x14ac:dyDescent="0.9">
      <c r="A3" s="8"/>
      <c r="B3" s="18"/>
      <c r="C3" s="18"/>
      <c r="D3" s="201"/>
      <c r="E3" s="18"/>
    </row>
    <row r="4" spans="1:5" ht="16" x14ac:dyDescent="0.8">
      <c r="A4" s="5" t="s">
        <v>7</v>
      </c>
      <c r="B4" s="4"/>
      <c r="C4" s="4"/>
      <c r="D4" s="4"/>
      <c r="E4" s="4"/>
    </row>
    <row r="5" spans="1:5" x14ac:dyDescent="0.75">
      <c r="A5" s="260" t="s">
        <v>125</v>
      </c>
      <c r="B5" s="244" t="s">
        <v>0</v>
      </c>
      <c r="C5" s="244" t="s">
        <v>2</v>
      </c>
      <c r="D5" s="244" t="s">
        <v>3</v>
      </c>
      <c r="E5" s="245" t="s">
        <v>4</v>
      </c>
    </row>
    <row r="6" spans="1:5" x14ac:dyDescent="0.75">
      <c r="A6" s="243" t="s">
        <v>44</v>
      </c>
      <c r="B6" s="202" t="str">
        <f>'38. Total Local Funds'!$B4</f>
        <v/>
      </c>
      <c r="C6" s="202" t="str">
        <f>'39. Total State &amp; Local Funds'!$B4</f>
        <v/>
      </c>
      <c r="D6" s="202" t="str">
        <f>'40. Local Funds Per Capita'!$B4</f>
        <v/>
      </c>
      <c r="E6" s="266" t="str">
        <f>'41. State &amp; Local Funds Per Cap'!$B4</f>
        <v/>
      </c>
    </row>
    <row r="7" spans="1:5" x14ac:dyDescent="0.75">
      <c r="A7" s="243" t="s">
        <v>45</v>
      </c>
      <c r="B7" s="204" t="str">
        <f>'38. Total Local Funds'!$B5</f>
        <v/>
      </c>
      <c r="C7" s="204" t="str">
        <f>'39. Total State &amp; Local Funds'!$B5</f>
        <v/>
      </c>
      <c r="D7" s="204" t="str">
        <f>'40. Local Funds Per Capita'!$B5</f>
        <v/>
      </c>
      <c r="E7" s="267" t="str">
        <f>'41. State &amp; Local Funds Per Cap'!$B5</f>
        <v/>
      </c>
    </row>
    <row r="8" spans="1:5" x14ac:dyDescent="0.75">
      <c r="A8" s="243" t="s">
        <v>9</v>
      </c>
      <c r="B8" s="204" t="str">
        <f>'8. Year 2 Amounts'!D30</f>
        <v/>
      </c>
      <c r="C8" s="204" t="str">
        <f>'8. Year 2 Amounts'!F30</f>
        <v/>
      </c>
      <c r="D8" s="204" t="str">
        <f>'8. Year 2 Amounts'!D31</f>
        <v/>
      </c>
      <c r="E8" s="267" t="str">
        <f>'8. Year 2 Amounts'!F31</f>
        <v/>
      </c>
    </row>
    <row r="9" spans="1:5" x14ac:dyDescent="0.75">
      <c r="A9" s="243" t="s">
        <v>117</v>
      </c>
      <c r="B9" s="200" t="str">
        <f>IF(B8="","",IF(B8&gt;=B7,"Met",IF(AND(B8&lt;B7,'38. Total Local Funds'!$B22="Met"),"Met with Exceptions &amp; Adjustments","Did Not Meet")))</f>
        <v/>
      </c>
      <c r="C9" s="200" t="str">
        <f>IF(C8="","",IF(C8&gt;=C7,"Met",IF(AND(C8&lt;C7,'39. Total State &amp; Local Funds'!$B22="Met"),"Met with Exceptions &amp; Adjustments","Did Not Meet")))</f>
        <v/>
      </c>
      <c r="D9" s="200" t="str">
        <f>IF(D8="","",IF(D8&gt;=D7,"Met",IF(AND(D8&lt;D7,'40. Local Funds Per Capita'!$B23="Met"),"Met with Exceptions &amp; Adjustments","Did Not Meet")))</f>
        <v/>
      </c>
      <c r="E9" s="259" t="str">
        <f>IF(E8="","",IF(E8&gt;=E7,"Met",IF(AND(E8&lt;E7,'41. State &amp; Local Funds Per Cap'!$B23="Met"),"Met with Exceptions &amp; Adjustments","Did Not Meet")))</f>
        <v/>
      </c>
    </row>
    <row r="10" spans="1:5" x14ac:dyDescent="0.75">
      <c r="A10" s="246" t="s">
        <v>46</v>
      </c>
      <c r="B10" s="256" t="str">
        <f>IF(B9="","",IF(B9="Did Not Meet",'38. Total Local Funds'!$B20-'38. Total Local Funds'!$B21,0))</f>
        <v/>
      </c>
      <c r="C10" s="256" t="str">
        <f>IF(C9="","",IF(C9="Did Not Meet",'39. Total State &amp; Local Funds'!$B20-'39. Total State &amp; Local Funds'!$B21,0))</f>
        <v/>
      </c>
      <c r="D10" s="256" t="str">
        <f>IF(D9="","",IF(D9="Did Not Meet",(('40. Local Funds Per Capita'!$B21-'40. Local Funds Per Capita'!$B22)*'8. Year 2 Amounts'!B1),0))</f>
        <v/>
      </c>
      <c r="E10" s="261" t="str">
        <f>IF(E9="","",IF(E9="Did Not Meet",(('41. State &amp; Local Funds Per Cap'!$B21-'41. State &amp; Local Funds Per Cap'!$B22)*'8. Year 2 Amounts'!B1),0))</f>
        <v/>
      </c>
    </row>
    <row r="11" spans="1:5" x14ac:dyDescent="0.75">
      <c r="A11" s="373" t="s">
        <v>175</v>
      </c>
      <c r="B11" s="373"/>
      <c r="C11" s="373"/>
      <c r="D11" s="373"/>
      <c r="E11" s="373"/>
    </row>
    <row r="12" spans="1:5" ht="16" x14ac:dyDescent="0.8">
      <c r="A12" s="5" t="s">
        <v>10</v>
      </c>
      <c r="B12" s="5"/>
      <c r="C12" s="5"/>
      <c r="D12" s="5"/>
      <c r="E12" s="5"/>
    </row>
    <row r="13" spans="1:5" x14ac:dyDescent="0.75">
      <c r="A13" s="260" t="s">
        <v>125</v>
      </c>
      <c r="B13" s="244" t="s">
        <v>0</v>
      </c>
      <c r="C13" s="244" t="s">
        <v>2</v>
      </c>
      <c r="D13" s="244" t="s">
        <v>3</v>
      </c>
      <c r="E13" s="245" t="s">
        <v>4</v>
      </c>
    </row>
    <row r="14" spans="1:5" x14ac:dyDescent="0.75">
      <c r="A14" s="243" t="s">
        <v>44</v>
      </c>
      <c r="B14" s="3" t="str">
        <f>IF('2. Getting Started'!B10="","",IF('38. Total Local Funds'!$F14="Met",'2. Getting Started'!$B$6,'2. Getting Started'!$B10))</f>
        <v/>
      </c>
      <c r="C14" s="3" t="str">
        <f>IF('2. Getting Started'!B11="","",IF('39. Total State &amp; Local Funds'!$F14="Met",'2. Getting Started'!$B$6,'2. Getting Started'!$B11))</f>
        <v/>
      </c>
      <c r="D14" s="3" t="str">
        <f>IF('2. Getting Started'!B12="","",IF('40. Local Funds Per Capita'!$F15="Met",'2. Getting Started'!$B$6,'2. Getting Started'!$B12))</f>
        <v/>
      </c>
      <c r="E14" s="257" t="str">
        <f>IF('2. Getting Started'!B13="","",IF('41. State &amp; Local Funds Per Cap'!$F15="Met",'2. Getting Started'!$B$6,'2. Getting Started'!$B13))</f>
        <v/>
      </c>
    </row>
    <row r="15" spans="1:5" x14ac:dyDescent="0.75">
      <c r="A15" s="243" t="s">
        <v>45</v>
      </c>
      <c r="B15" s="17" t="str">
        <f>IF(B14="","",IF(B14='2. Getting Started'!$B$6,'5. Year 1 Amounts'!K30,'2. Getting Started'!$C10))</f>
        <v/>
      </c>
      <c r="C15" s="17" t="str">
        <f>IF(C14="","",IF(C14='2. Getting Started'!$B$6,'5. Year 1 Amounts'!M30,'2. Getting Started'!$C11))</f>
        <v/>
      </c>
      <c r="D15" s="17" t="str">
        <f>IF(D14="","",IF(D14='2. Getting Started'!$B$6,'5. Year 1 Amounts'!K31,'2. Getting Started'!$C12))</f>
        <v/>
      </c>
      <c r="E15" s="258" t="str">
        <f>IF(E14="","",IF(E14='2. Getting Started'!$B$6,'5. Year 1 Amounts'!M31,'2. Getting Started'!$C13))</f>
        <v/>
      </c>
    </row>
    <row r="16" spans="1:5" x14ac:dyDescent="0.75">
      <c r="A16" s="243" t="s">
        <v>11</v>
      </c>
      <c r="B16" s="17" t="str">
        <f>'8. Year 2 Amounts'!K30</f>
        <v/>
      </c>
      <c r="C16" s="17" t="str">
        <f>'8. Year 2 Amounts'!M30</f>
        <v/>
      </c>
      <c r="D16" s="17" t="str">
        <f>'8. Year 2 Amounts'!K31</f>
        <v/>
      </c>
      <c r="E16" s="258" t="str">
        <f>'8. Year 2 Amounts'!M31</f>
        <v/>
      </c>
    </row>
    <row r="17" spans="1:5" x14ac:dyDescent="0.75">
      <c r="A17" s="243" t="s">
        <v>117</v>
      </c>
      <c r="B17" s="200" t="str">
        <f>IF(B16="","",IF(B16&gt;=B15,"Met",IF(AND(B16&lt;B15,'38. Total Local Funds'!F22="Met"),"Met with Exceptions &amp; Adjustments","Did Not Meet")))</f>
        <v/>
      </c>
      <c r="C17" s="200" t="str">
        <f>IF(C16="","",IF(C16&gt;=C15,"Met",IF(AND(C16&lt;C15,'39. Total State &amp; Local Funds'!F22="Met"),"Met with Exceptions &amp; Adjustments","Did Not Meet")))</f>
        <v/>
      </c>
      <c r="D17" s="200" t="str">
        <f>IF(D16="","",IF(D16&gt;=D15,"Met",IF(AND(D16&lt;D15,'40. Local Funds Per Capita'!F23="Met"),"Met with Exceptions &amp; Adjustments","Did Not Meet")))</f>
        <v/>
      </c>
      <c r="E17" s="259" t="str">
        <f>IF(E16="","",IF(E16&gt;=E15,"Met",IF(AND(E16&lt;E15,'41. State &amp; Local Funds Per Cap'!F23="Met"),"Met with Exceptions &amp; Adjustments","Did Not Meet")))</f>
        <v/>
      </c>
    </row>
    <row r="18" spans="1:5" x14ac:dyDescent="0.75">
      <c r="A18" s="246" t="s">
        <v>46</v>
      </c>
      <c r="B18" s="256" t="str">
        <f>IF(B17="","",IF(B17="Did Not Meet",'38. Total Local Funds'!F20-'38. Total Local Funds'!F21,0))</f>
        <v/>
      </c>
      <c r="C18" s="256" t="str">
        <f>IF(C17="","",IF(C17="Did Not Meet",'39. Total State &amp; Local Funds'!F20-'39. Total State &amp; Local Funds'!F21,0))</f>
        <v/>
      </c>
      <c r="D18" s="256" t="str">
        <f>IF(D17="","",IF(D17="Did Not Meet",(('40. Local Funds Per Capita'!F21-'40. Local Funds Per Capita'!F22)*'8. Year 2 Amounts'!I1),0))</f>
        <v/>
      </c>
      <c r="E18" s="261" t="str">
        <f>IF(E17="","",IF(E17="Did Not Meet",(('41. State &amp; Local Funds Per Cap'!F21-'41. State &amp; Local Funds Per Cap'!F22)*'8. Year 2 Amounts'!I1),0))</f>
        <v/>
      </c>
    </row>
    <row r="19" spans="1:5" x14ac:dyDescent="0.75">
      <c r="A19" s="373" t="s">
        <v>175</v>
      </c>
      <c r="B19" s="373"/>
      <c r="C19" s="373"/>
      <c r="D19" s="373"/>
      <c r="E19" s="373"/>
    </row>
    <row r="20" spans="1:5" ht="16" x14ac:dyDescent="0.8">
      <c r="A20" s="198"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9"/>
    </row>
    <row r="21" spans="1:5" x14ac:dyDescent="0.75">
      <c r="A21" s="217" t="s">
        <v>126</v>
      </c>
      <c r="B21" s="268" t="s">
        <v>128</v>
      </c>
    </row>
    <row r="22" spans="1:5" x14ac:dyDescent="0.75">
      <c r="A22" s="243" t="s">
        <v>110</v>
      </c>
      <c r="B22" s="272"/>
    </row>
    <row r="23" spans="1:5" x14ac:dyDescent="0.75">
      <c r="A23" s="243" t="s">
        <v>111</v>
      </c>
      <c r="B23" s="272"/>
    </row>
    <row r="24" spans="1:5" x14ac:dyDescent="0.75">
      <c r="A24" s="243" t="s">
        <v>112</v>
      </c>
      <c r="B24" s="258">
        <f>B22+B23</f>
        <v>0</v>
      </c>
    </row>
    <row r="25" spans="1:5" x14ac:dyDescent="0.75">
      <c r="A25" s="243" t="s">
        <v>113</v>
      </c>
      <c r="B25" s="258">
        <f>MIN(B24,B18,C18,D18,E18)</f>
        <v>0</v>
      </c>
    </row>
    <row r="26" spans="1:5" x14ac:dyDescent="0.75">
      <c r="A26" s="243" t="s">
        <v>114</v>
      </c>
      <c r="B26" s="263"/>
    </row>
    <row r="27" spans="1:5" x14ac:dyDescent="0.75">
      <c r="A27" s="246" t="s">
        <v>115</v>
      </c>
      <c r="B27" s="264"/>
    </row>
    <row r="28" spans="1:5" x14ac:dyDescent="0.75">
      <c r="A28" s="373" t="s">
        <v>175</v>
      </c>
      <c r="B28" s="373"/>
      <c r="C28" s="373"/>
      <c r="D28" s="373"/>
      <c r="E28" s="373"/>
    </row>
    <row r="29" spans="1:5" ht="16" x14ac:dyDescent="0.8">
      <c r="A29" s="322" t="s">
        <v>149</v>
      </c>
    </row>
    <row r="30" spans="1:5" x14ac:dyDescent="0.75">
      <c r="A30" s="373" t="s">
        <v>175</v>
      </c>
      <c r="B30" s="373"/>
      <c r="C30" s="373"/>
      <c r="D30" s="373"/>
      <c r="E30" s="373"/>
    </row>
    <row r="31" spans="1:5" x14ac:dyDescent="0.75">
      <c r="A31" s="2" t="str">
        <f>CONCATENATE("Exceptions and Adjustment Claimed for State Fiscal Year ",'2. Getting Started'!B6+1)</f>
        <v>Exceptions and Adjustment Claimed for State Fiscal Year 2025</v>
      </c>
    </row>
    <row r="32" spans="1:5" x14ac:dyDescent="0.75">
      <c r="A32" s="2"/>
      <c r="B32" s="323" t="s">
        <v>148</v>
      </c>
      <c r="C32" s="4"/>
      <c r="D32" s="323" t="s">
        <v>152</v>
      </c>
      <c r="E32" s="4"/>
    </row>
    <row r="33" spans="1:5" x14ac:dyDescent="0.75">
      <c r="A33" s="217" t="s">
        <v>151</v>
      </c>
      <c r="B33" s="324" t="s">
        <v>155</v>
      </c>
      <c r="C33" s="325" t="s">
        <v>156</v>
      </c>
      <c r="D33" s="326" t="s">
        <v>153</v>
      </c>
      <c r="E33" s="325" t="s">
        <v>154</v>
      </c>
    </row>
    <row r="34" spans="1:5" x14ac:dyDescent="0.75">
      <c r="A34" s="223" t="s">
        <v>140</v>
      </c>
      <c r="B34" s="17">
        <f>'9. Year 2 Exc &amp; Adj'!F22</f>
        <v>0</v>
      </c>
      <c r="C34" s="258">
        <f>'9. Year 2 Exc &amp; Adj'!F22</f>
        <v>0</v>
      </c>
      <c r="D34" s="327">
        <f>'9. Year 2 Exc &amp; Adj'!M22</f>
        <v>0</v>
      </c>
      <c r="E34" s="17">
        <f>'9. Year 2 Exc &amp; Adj'!M22</f>
        <v>0</v>
      </c>
    </row>
    <row r="35" spans="1:5" x14ac:dyDescent="0.75">
      <c r="A35" s="223" t="s">
        <v>141</v>
      </c>
      <c r="B35" s="17" t="str">
        <f>'9. Year 2 Exc &amp; Adj'!B32</f>
        <v/>
      </c>
      <c r="C35" s="258" t="str">
        <f>'9. Year 2 Exc &amp; Adj'!C32</f>
        <v/>
      </c>
      <c r="D35" s="327" t="str">
        <f>'9. Year 2 Exc &amp; Adj'!I32</f>
        <v/>
      </c>
      <c r="E35" s="258" t="str">
        <f>'9. Year 2 Exc &amp; Adj'!J32</f>
        <v/>
      </c>
    </row>
    <row r="36" spans="1:5" x14ac:dyDescent="0.75">
      <c r="A36" s="223" t="s">
        <v>142</v>
      </c>
      <c r="B36" s="17">
        <f>'9. Year 2 Exc &amp; Adj'!C43</f>
        <v>0</v>
      </c>
      <c r="C36" s="258">
        <f>'9. Year 2 Exc &amp; Adj'!C43</f>
        <v>0</v>
      </c>
      <c r="D36" s="327">
        <f>'9. Year 2 Exc &amp; Adj'!J43</f>
        <v>0</v>
      </c>
      <c r="E36" s="17">
        <f>'9. Year 2 Exc &amp; Adj'!J43</f>
        <v>0</v>
      </c>
    </row>
    <row r="37" spans="1:5" x14ac:dyDescent="0.75">
      <c r="A37" s="223" t="s">
        <v>143</v>
      </c>
      <c r="B37" s="17">
        <f>'9. Year 2 Exc &amp; Adj'!B53</f>
        <v>0</v>
      </c>
      <c r="C37" s="258">
        <f>'9. Year 2 Exc &amp; Adj'!B53</f>
        <v>0</v>
      </c>
      <c r="D37" s="327">
        <f>'9. Year 2 Exc &amp; Adj'!I53</f>
        <v>0</v>
      </c>
      <c r="E37" s="17">
        <f>'9. Year 2 Exc &amp; Adj'!I53</f>
        <v>0</v>
      </c>
    </row>
    <row r="38" spans="1:5" x14ac:dyDescent="0.75">
      <c r="A38" s="223" t="str">
        <f>IF('3b. High Cost Fund'!B4="No","This exception is not valid for your state.","Exception (e)")</f>
        <v>This exception is not valid for your state.</v>
      </c>
      <c r="B38" s="332" t="str">
        <f>IF('3b. High Cost Fund'!B4="No","",'9. Year 2 Exc &amp; Adj'!B63)</f>
        <v/>
      </c>
      <c r="C38" s="333" t="str">
        <f>IF('3b. High Cost Fund'!B4="No","",'9. Year 2 Exc &amp; Adj'!B63)</f>
        <v/>
      </c>
      <c r="D38" s="327" t="str">
        <f>IF('3b. High Cost Fund'!B4="No","",'9. Year 2 Exc &amp; Adj'!I63)</f>
        <v/>
      </c>
      <c r="E38" s="332" t="str">
        <f>IF('3b. High Cost Fund'!B4="No","",'9. Year 2 Exc &amp; Adj'!I63)</f>
        <v/>
      </c>
    </row>
    <row r="39" spans="1:5" x14ac:dyDescent="0.75">
      <c r="A39" s="223" t="s">
        <v>144</v>
      </c>
      <c r="B39" s="17">
        <f>AdjDataYear2Budget[Projected Adjustment]</f>
        <v>0</v>
      </c>
      <c r="C39" s="17">
        <f>AdjDataYear2Budget[Projected Adjustment]</f>
        <v>0</v>
      </c>
      <c r="D39" s="328">
        <f>AdjDataYear2Expenditures[[Adjustment ]]</f>
        <v>0</v>
      </c>
      <c r="E39" s="17">
        <f>AdjDataYear2Expenditures[[Adjustment ]]</f>
        <v>0</v>
      </c>
    </row>
    <row r="40" spans="1:5" x14ac:dyDescent="0.75">
      <c r="A40" s="246" t="s">
        <v>124</v>
      </c>
      <c r="B40" s="329">
        <f>SUM(B34:B39)</f>
        <v>0</v>
      </c>
      <c r="C40" s="330">
        <f>SUM(C34:C39)</f>
        <v>0</v>
      </c>
      <c r="D40" s="331">
        <f>SUM(D34:D39)</f>
        <v>0</v>
      </c>
      <c r="E40" s="330">
        <f>SUM(E34:E39)</f>
        <v>0</v>
      </c>
    </row>
    <row r="41" spans="1:5" ht="27" customHeight="1" x14ac:dyDescent="0.75">
      <c r="A41" s="345" t="s">
        <v>183</v>
      </c>
      <c r="B41" s="346"/>
      <c r="C41" s="346"/>
      <c r="D41" s="346"/>
      <c r="E41" s="346"/>
    </row>
    <row r="42" spans="1:5" ht="16" x14ac:dyDescent="0.8">
      <c r="A42" s="358" t="s">
        <v>182</v>
      </c>
    </row>
    <row r="43" spans="1:5" x14ac:dyDescent="0.75">
      <c r="A43" s="373" t="s">
        <v>24</v>
      </c>
      <c r="B43" s="373"/>
      <c r="C43" s="373"/>
      <c r="D43" s="373"/>
      <c r="E43" s="373"/>
    </row>
  </sheetData>
  <sheetProtection algorithmName="SHA-512" hashValue="k3U+8pVNQN6uE0/WOw+gCJ7cxcl7A8DDtMbdGEEvEWL73eBpl6l94F44uhGDuf3hTUpaojFlybMqkeVc1IrfIg==" saltValue="nxvJ45H+PfXUYq88iGc84Q==" spinCount="100000" sheet="1" objects="1" scenarios="1" formatColumns="0" formatRows="0"/>
  <mergeCells count="5">
    <mergeCell ref="A11:E11"/>
    <mergeCell ref="A19:E19"/>
    <mergeCell ref="A28:E28"/>
    <mergeCell ref="A30:E30"/>
    <mergeCell ref="A43:E43"/>
  </mergeCells>
  <conditionalFormatting sqref="B9:E9">
    <cfRule type="containsText" dxfId="214" priority="1" operator="containsText" text="Did Not Meet">
      <formula>NOT(ISERROR(SEARCH("Did Not Meet",B9)))</formula>
    </cfRule>
    <cfRule type="containsText" dxfId="213" priority="2" operator="containsText" text="Met">
      <formula>NOT(ISERROR(SEARCH("Met",B9)))</formula>
    </cfRule>
  </conditionalFormatting>
  <conditionalFormatting sqref="B17:E17">
    <cfRule type="containsText" dxfId="212" priority="3" operator="containsText" text="Did Not Meet">
      <formula>NOT(ISERROR(SEARCH("Did Not Meet",B17)))</formula>
    </cfRule>
    <cfRule type="containsText" dxfId="211" priority="4" operator="containsText" text="Met">
      <formula>NOT(ISERROR(SEARCH("Met",B17)))</formula>
    </cfRule>
  </conditionalFormatting>
  <hyperlinks>
    <hyperlink ref="A29" location="'4. Multi-Year MOE Summary'!A5" display="Go to the Multi-Year MOE Summary" xr:uid="{00000000-0004-0000-0A00-000000000000}"/>
    <hyperlink ref="A42" r:id="rId1" xr:uid="{D9699243-0C06-472C-912B-CF2BF3C45508}"/>
  </hyperlinks>
  <pageMargins left="0.7" right="0.7" top="0.75" bottom="0.75" header="0.3" footer="0.3"/>
  <pageSetup orientation="landscape" verticalDpi="300" r:id="rId2"/>
  <tableParts count="4">
    <tablePart r:id="rId3"/>
    <tablePart r:id="rId4"/>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pageSetUpPr autoPageBreaks="0"/>
  </sheetPr>
  <dimension ref="A1:N35"/>
  <sheetViews>
    <sheetView showGridLines="0" workbookViewId="0">
      <pane ySplit="4" topLeftCell="A5" activePane="bottomLeft" state="frozen"/>
      <selection activeCell="D5" sqref="D5"/>
      <selection pane="bottomLeft" activeCell="A5" sqref="A5"/>
    </sheetView>
  </sheetViews>
  <sheetFormatPr defaultColWidth="0" defaultRowHeight="15.75" customHeight="1" zeroHeight="1" x14ac:dyDescent="0.75"/>
  <cols>
    <col min="1" max="1" width="39.40625" style="20" bestFit="1" customWidth="1"/>
    <col min="2" max="3" width="12.86328125" style="20" customWidth="1"/>
    <col min="4" max="6" width="23.7265625" style="20" customWidth="1"/>
    <col min="7" max="7" width="5.40625" style="20" customWidth="1"/>
    <col min="8" max="8" width="39.40625" style="20" customWidth="1"/>
    <col min="9" max="10" width="12.86328125" style="20" customWidth="1"/>
    <col min="11" max="13" width="23.7265625" style="20" customWidth="1"/>
    <col min="14" max="14" width="0.86328125" style="20" customWidth="1"/>
    <col min="15" max="16384" width="10.54296875" style="20" hidden="1"/>
  </cols>
  <sheetData>
    <row r="1" spans="1:13" ht="16.75" thickBot="1" x14ac:dyDescent="0.9">
      <c r="A1" s="19" t="s">
        <v>48</v>
      </c>
      <c r="B1" s="48"/>
      <c r="D1" s="21" t="s">
        <v>14</v>
      </c>
      <c r="E1" s="20" t="str">
        <f>IF('2. Getting Started'!B2="","",'2. Getting Started'!B2)</f>
        <v/>
      </c>
      <c r="G1" s="376" t="s">
        <v>22</v>
      </c>
      <c r="H1" s="19" t="s">
        <v>49</v>
      </c>
      <c r="I1" s="48"/>
      <c r="K1" s="21" t="s">
        <v>14</v>
      </c>
      <c r="L1" s="20" t="str">
        <f>IF('2. Getting Started'!B2="","",'2. Getting Started'!B2)</f>
        <v/>
      </c>
    </row>
    <row r="2" spans="1:13" s="25" customFormat="1" ht="37.9" customHeight="1" thickBot="1" x14ac:dyDescent="0.9">
      <c r="A2" s="22" t="str">
        <f>CONCATENATE("Eligibility Standard - State Fiscal Year ",'2. Getting Started'!B6+2," -  LEA Effort - Budgeted Amounts")</f>
        <v>Eligibility Standard - State Fiscal Year 2026 -  LEA Effort - Budgeted Amounts</v>
      </c>
      <c r="B2" s="23"/>
      <c r="C2" s="23"/>
      <c r="D2" s="23"/>
      <c r="E2" s="23"/>
      <c r="F2" s="24"/>
      <c r="G2" s="376"/>
      <c r="H2" s="22" t="str">
        <f>CONCATENATE("Compliance Standard - State Fiscal Year ",'2. Getting Started'!B6+2," - LEA Effort - Final Expenditures")</f>
        <v>Compliance Standard - State Fiscal Year 2026 - LEA Effort - Final Expenditures</v>
      </c>
      <c r="I2" s="23"/>
      <c r="J2" s="23"/>
      <c r="K2" s="23"/>
      <c r="L2" s="23"/>
      <c r="M2" s="24"/>
    </row>
    <row r="3" spans="1:13" s="25" customFormat="1" ht="24" customHeight="1" x14ac:dyDescent="0.75">
      <c r="A3" s="26"/>
      <c r="B3" s="27"/>
      <c r="D3" s="28" t="str">
        <f>CONCATENATE("SFY ",'2. Getting Started'!$B6+2," Budget")</f>
        <v>SFY 2026 Budget</v>
      </c>
      <c r="E3" s="29"/>
      <c r="F3" s="30"/>
      <c r="G3" s="376"/>
      <c r="H3" s="26"/>
      <c r="I3" s="27"/>
      <c r="J3" s="31"/>
      <c r="K3" s="28" t="str">
        <f>CONCATENATE("SFY ",'2. Getting Started'!$B6+2," Final Expenditures")</f>
        <v>SFY 2026 Final Expenditures</v>
      </c>
      <c r="L3" s="29"/>
      <c r="M3" s="32"/>
    </row>
    <row r="4" spans="1:13" s="37" customFormat="1" ht="18.5" x14ac:dyDescent="0.9">
      <c r="A4" s="33" t="s">
        <v>50</v>
      </c>
      <c r="B4" s="34" t="s">
        <v>51</v>
      </c>
      <c r="C4" s="35" t="s">
        <v>52</v>
      </c>
      <c r="D4" s="36" t="s">
        <v>53</v>
      </c>
      <c r="E4" s="36" t="s">
        <v>54</v>
      </c>
      <c r="F4" s="36" t="s">
        <v>8</v>
      </c>
      <c r="G4" s="376"/>
      <c r="H4" s="33" t="s">
        <v>50</v>
      </c>
      <c r="I4" s="34" t="s">
        <v>55</v>
      </c>
      <c r="J4" s="35" t="s">
        <v>52</v>
      </c>
      <c r="K4" s="36" t="s">
        <v>53</v>
      </c>
      <c r="L4" s="36" t="s">
        <v>54</v>
      </c>
      <c r="M4" s="36" t="s">
        <v>8</v>
      </c>
    </row>
    <row r="5" spans="1:13" ht="16" x14ac:dyDescent="0.75">
      <c r="A5" s="49"/>
      <c r="B5" s="50"/>
      <c r="C5" s="51"/>
      <c r="D5" s="52"/>
      <c r="E5" s="52"/>
      <c r="F5" s="38" t="str">
        <f>IF(AND(D5="",E5=""),"",SUM(D5:E5))</f>
        <v/>
      </c>
      <c r="G5" s="376"/>
      <c r="H5" s="49"/>
      <c r="I5" s="50"/>
      <c r="J5" s="51"/>
      <c r="K5" s="52"/>
      <c r="L5" s="52"/>
      <c r="M5" s="38" t="str">
        <f>IF(AND(K5="",L5=""),"",SUM(K5:L5))</f>
        <v/>
      </c>
    </row>
    <row r="6" spans="1:13" ht="16" x14ac:dyDescent="0.75">
      <c r="A6" s="49"/>
      <c r="B6" s="50"/>
      <c r="C6" s="51"/>
      <c r="D6" s="52"/>
      <c r="E6" s="52"/>
      <c r="F6" s="38" t="str">
        <f t="shared" ref="F6:F29" si="0">IF(AND(D6="",E6=""),"",SUM(D6:E6))</f>
        <v/>
      </c>
      <c r="G6" s="376"/>
      <c r="H6" s="49"/>
      <c r="I6" s="50"/>
      <c r="J6" s="51"/>
      <c r="K6" s="52"/>
      <c r="L6" s="52"/>
      <c r="M6" s="38" t="str">
        <f t="shared" ref="M6:M29" si="1">IF(AND(K6="",L6=""),"",SUM(K6:L6))</f>
        <v/>
      </c>
    </row>
    <row r="7" spans="1:13" ht="16" x14ac:dyDescent="0.75">
      <c r="A7" s="49"/>
      <c r="B7" s="50"/>
      <c r="C7" s="51"/>
      <c r="D7" s="52"/>
      <c r="E7" s="52"/>
      <c r="F7" s="38" t="str">
        <f t="shared" si="0"/>
        <v/>
      </c>
      <c r="G7" s="376"/>
      <c r="H7" s="49"/>
      <c r="I7" s="50"/>
      <c r="J7" s="51"/>
      <c r="K7" s="52"/>
      <c r="L7" s="52"/>
      <c r="M7" s="38" t="str">
        <f t="shared" si="1"/>
        <v/>
      </c>
    </row>
    <row r="8" spans="1:13" ht="16" x14ac:dyDescent="0.75">
      <c r="A8" s="49"/>
      <c r="B8" s="50"/>
      <c r="C8" s="51"/>
      <c r="D8" s="52"/>
      <c r="E8" s="52"/>
      <c r="F8" s="38" t="str">
        <f t="shared" si="0"/>
        <v/>
      </c>
      <c r="G8" s="376"/>
      <c r="H8" s="49"/>
      <c r="I8" s="50"/>
      <c r="J8" s="51"/>
      <c r="K8" s="52"/>
      <c r="L8" s="52"/>
      <c r="M8" s="38" t="str">
        <f t="shared" si="1"/>
        <v/>
      </c>
    </row>
    <row r="9" spans="1:13" ht="16" x14ac:dyDescent="0.75">
      <c r="A9" s="49"/>
      <c r="B9" s="50"/>
      <c r="C9" s="51"/>
      <c r="D9" s="52"/>
      <c r="E9" s="52"/>
      <c r="F9" s="38" t="str">
        <f t="shared" si="0"/>
        <v/>
      </c>
      <c r="G9" s="376"/>
      <c r="H9" s="49"/>
      <c r="I9" s="50"/>
      <c r="J9" s="51"/>
      <c r="K9" s="52"/>
      <c r="L9" s="52"/>
      <c r="M9" s="38" t="str">
        <f t="shared" si="1"/>
        <v/>
      </c>
    </row>
    <row r="10" spans="1:13" ht="16" x14ac:dyDescent="0.75">
      <c r="A10" s="49"/>
      <c r="B10" s="50"/>
      <c r="C10" s="51"/>
      <c r="D10" s="52"/>
      <c r="E10" s="52"/>
      <c r="F10" s="38" t="str">
        <f t="shared" si="0"/>
        <v/>
      </c>
      <c r="G10" s="376"/>
      <c r="H10" s="49"/>
      <c r="I10" s="50"/>
      <c r="J10" s="51"/>
      <c r="K10" s="52"/>
      <c r="L10" s="52"/>
      <c r="M10" s="38" t="str">
        <f t="shared" si="1"/>
        <v/>
      </c>
    </row>
    <row r="11" spans="1:13" ht="16" x14ac:dyDescent="0.75">
      <c r="A11" s="49"/>
      <c r="B11" s="50"/>
      <c r="C11" s="51"/>
      <c r="D11" s="52"/>
      <c r="E11" s="52"/>
      <c r="F11" s="38" t="str">
        <f t="shared" si="0"/>
        <v/>
      </c>
      <c r="G11" s="376"/>
      <c r="H11" s="49"/>
      <c r="I11" s="50"/>
      <c r="J11" s="51"/>
      <c r="K11" s="52"/>
      <c r="L11" s="52"/>
      <c r="M11" s="38" t="str">
        <f t="shared" si="1"/>
        <v/>
      </c>
    </row>
    <row r="12" spans="1:13" ht="16" x14ac:dyDescent="0.75">
      <c r="A12" s="49"/>
      <c r="B12" s="50"/>
      <c r="C12" s="51"/>
      <c r="D12" s="52"/>
      <c r="E12" s="52"/>
      <c r="F12" s="38" t="str">
        <f t="shared" si="0"/>
        <v/>
      </c>
      <c r="G12" s="376"/>
      <c r="H12" s="49"/>
      <c r="I12" s="50"/>
      <c r="J12" s="51"/>
      <c r="K12" s="52"/>
      <c r="L12" s="52"/>
      <c r="M12" s="38" t="str">
        <f t="shared" si="1"/>
        <v/>
      </c>
    </row>
    <row r="13" spans="1:13" ht="16" x14ac:dyDescent="0.75">
      <c r="A13" s="49"/>
      <c r="B13" s="50"/>
      <c r="C13" s="51"/>
      <c r="D13" s="52"/>
      <c r="E13" s="52"/>
      <c r="F13" s="38" t="str">
        <f t="shared" si="0"/>
        <v/>
      </c>
      <c r="G13" s="376"/>
      <c r="H13" s="49"/>
      <c r="I13" s="50"/>
      <c r="J13" s="51"/>
      <c r="K13" s="52"/>
      <c r="L13" s="52"/>
      <c r="M13" s="38" t="str">
        <f t="shared" si="1"/>
        <v/>
      </c>
    </row>
    <row r="14" spans="1:13" ht="16" x14ac:dyDescent="0.75">
      <c r="A14" s="49"/>
      <c r="B14" s="50"/>
      <c r="C14" s="51"/>
      <c r="D14" s="52"/>
      <c r="E14" s="52"/>
      <c r="F14" s="38" t="str">
        <f t="shared" si="0"/>
        <v/>
      </c>
      <c r="G14" s="376"/>
      <c r="H14" s="49"/>
      <c r="I14" s="50"/>
      <c r="J14" s="51"/>
      <c r="K14" s="52"/>
      <c r="L14" s="52"/>
      <c r="M14" s="38" t="str">
        <f t="shared" si="1"/>
        <v/>
      </c>
    </row>
    <row r="15" spans="1:13" ht="16" x14ac:dyDescent="0.75">
      <c r="A15" s="49"/>
      <c r="B15" s="50"/>
      <c r="C15" s="51"/>
      <c r="D15" s="52"/>
      <c r="E15" s="52"/>
      <c r="F15" s="38" t="str">
        <f t="shared" si="0"/>
        <v/>
      </c>
      <c r="G15" s="376"/>
      <c r="H15" s="49"/>
      <c r="I15" s="50"/>
      <c r="J15" s="51"/>
      <c r="K15" s="52"/>
      <c r="L15" s="52"/>
      <c r="M15" s="38" t="str">
        <f t="shared" si="1"/>
        <v/>
      </c>
    </row>
    <row r="16" spans="1:13" ht="16" x14ac:dyDescent="0.75">
      <c r="A16" s="49"/>
      <c r="B16" s="50"/>
      <c r="C16" s="51"/>
      <c r="D16" s="52"/>
      <c r="E16" s="52"/>
      <c r="F16" s="38" t="str">
        <f t="shared" si="0"/>
        <v/>
      </c>
      <c r="G16" s="376"/>
      <c r="H16" s="49"/>
      <c r="I16" s="50"/>
      <c r="J16" s="51"/>
      <c r="K16" s="52"/>
      <c r="L16" s="52"/>
      <c r="M16" s="38" t="str">
        <f t="shared" si="1"/>
        <v/>
      </c>
    </row>
    <row r="17" spans="1:13" ht="16" x14ac:dyDescent="0.75">
      <c r="A17" s="49"/>
      <c r="B17" s="50"/>
      <c r="C17" s="51"/>
      <c r="D17" s="52"/>
      <c r="E17" s="52"/>
      <c r="F17" s="38" t="str">
        <f t="shared" si="0"/>
        <v/>
      </c>
      <c r="G17" s="376"/>
      <c r="H17" s="49"/>
      <c r="I17" s="50"/>
      <c r="J17" s="51"/>
      <c r="K17" s="52"/>
      <c r="L17" s="52"/>
      <c r="M17" s="38" t="str">
        <f t="shared" si="1"/>
        <v/>
      </c>
    </row>
    <row r="18" spans="1:13" ht="16" x14ac:dyDescent="0.75">
      <c r="A18" s="49"/>
      <c r="B18" s="50"/>
      <c r="C18" s="51"/>
      <c r="D18" s="52"/>
      <c r="E18" s="52"/>
      <c r="F18" s="38" t="str">
        <f t="shared" si="0"/>
        <v/>
      </c>
      <c r="G18" s="376"/>
      <c r="H18" s="49"/>
      <c r="I18" s="50"/>
      <c r="J18" s="51"/>
      <c r="K18" s="52"/>
      <c r="L18" s="52"/>
      <c r="M18" s="38" t="str">
        <f t="shared" si="1"/>
        <v/>
      </c>
    </row>
    <row r="19" spans="1:13" ht="16" x14ac:dyDescent="0.75">
      <c r="A19" s="49"/>
      <c r="B19" s="50"/>
      <c r="C19" s="51"/>
      <c r="D19" s="52"/>
      <c r="E19" s="52"/>
      <c r="F19" s="38" t="str">
        <f t="shared" si="0"/>
        <v/>
      </c>
      <c r="G19" s="376"/>
      <c r="H19" s="49"/>
      <c r="I19" s="50"/>
      <c r="J19" s="51"/>
      <c r="K19" s="52"/>
      <c r="L19" s="52"/>
      <c r="M19" s="38" t="str">
        <f t="shared" si="1"/>
        <v/>
      </c>
    </row>
    <row r="20" spans="1:13" ht="16" x14ac:dyDescent="0.75">
      <c r="A20" s="49"/>
      <c r="B20" s="50"/>
      <c r="C20" s="51"/>
      <c r="D20" s="52"/>
      <c r="E20" s="52"/>
      <c r="F20" s="38" t="str">
        <f t="shared" si="0"/>
        <v/>
      </c>
      <c r="G20" s="376"/>
      <c r="H20" s="49"/>
      <c r="I20" s="50"/>
      <c r="J20" s="51"/>
      <c r="K20" s="52"/>
      <c r="L20" s="52"/>
      <c r="M20" s="38" t="str">
        <f t="shared" si="1"/>
        <v/>
      </c>
    </row>
    <row r="21" spans="1:13" ht="16" x14ac:dyDescent="0.75">
      <c r="A21" s="49"/>
      <c r="B21" s="50"/>
      <c r="C21" s="51"/>
      <c r="D21" s="52"/>
      <c r="E21" s="52"/>
      <c r="F21" s="38" t="str">
        <f t="shared" si="0"/>
        <v/>
      </c>
      <c r="G21" s="376"/>
      <c r="H21" s="49"/>
      <c r="I21" s="50"/>
      <c r="J21" s="51"/>
      <c r="K21" s="52"/>
      <c r="L21" s="52"/>
      <c r="M21" s="38" t="str">
        <f t="shared" si="1"/>
        <v/>
      </c>
    </row>
    <row r="22" spans="1:13" ht="16" x14ac:dyDescent="0.75">
      <c r="A22" s="49"/>
      <c r="B22" s="50"/>
      <c r="C22" s="51"/>
      <c r="D22" s="52"/>
      <c r="E22" s="52"/>
      <c r="F22" s="38" t="str">
        <f t="shared" si="0"/>
        <v/>
      </c>
      <c r="G22" s="376"/>
      <c r="H22" s="49"/>
      <c r="I22" s="50"/>
      <c r="J22" s="51"/>
      <c r="K22" s="52"/>
      <c r="L22" s="52"/>
      <c r="M22" s="38" t="str">
        <f t="shared" si="1"/>
        <v/>
      </c>
    </row>
    <row r="23" spans="1:13" ht="16" x14ac:dyDescent="0.75">
      <c r="A23" s="49"/>
      <c r="B23" s="50"/>
      <c r="C23" s="51"/>
      <c r="D23" s="52"/>
      <c r="E23" s="52"/>
      <c r="F23" s="38" t="str">
        <f t="shared" si="0"/>
        <v/>
      </c>
      <c r="G23" s="376"/>
      <c r="H23" s="49"/>
      <c r="I23" s="50"/>
      <c r="J23" s="51"/>
      <c r="K23" s="52"/>
      <c r="L23" s="52"/>
      <c r="M23" s="38" t="str">
        <f t="shared" si="1"/>
        <v/>
      </c>
    </row>
    <row r="24" spans="1:13" ht="16" x14ac:dyDescent="0.75">
      <c r="A24" s="49"/>
      <c r="B24" s="50"/>
      <c r="C24" s="51"/>
      <c r="D24" s="52"/>
      <c r="E24" s="52"/>
      <c r="F24" s="38" t="str">
        <f t="shared" si="0"/>
        <v/>
      </c>
      <c r="G24" s="376"/>
      <c r="H24" s="49"/>
      <c r="I24" s="50"/>
      <c r="J24" s="51"/>
      <c r="K24" s="52"/>
      <c r="L24" s="52"/>
      <c r="M24" s="38" t="str">
        <f t="shared" si="1"/>
        <v/>
      </c>
    </row>
    <row r="25" spans="1:13" ht="16" x14ac:dyDescent="0.75">
      <c r="A25" s="49"/>
      <c r="B25" s="50"/>
      <c r="C25" s="51"/>
      <c r="D25" s="52"/>
      <c r="E25" s="52"/>
      <c r="F25" s="38" t="str">
        <f t="shared" si="0"/>
        <v/>
      </c>
      <c r="G25" s="376"/>
      <c r="H25" s="49"/>
      <c r="I25" s="50"/>
      <c r="J25" s="51"/>
      <c r="K25" s="52"/>
      <c r="L25" s="52"/>
      <c r="M25" s="38" t="str">
        <f t="shared" si="1"/>
        <v/>
      </c>
    </row>
    <row r="26" spans="1:13" ht="16" x14ac:dyDescent="0.75">
      <c r="A26" s="49"/>
      <c r="B26" s="50"/>
      <c r="C26" s="51"/>
      <c r="D26" s="52"/>
      <c r="E26" s="52"/>
      <c r="F26" s="38" t="str">
        <f t="shared" si="0"/>
        <v/>
      </c>
      <c r="G26" s="376"/>
      <c r="H26" s="49"/>
      <c r="I26" s="50"/>
      <c r="J26" s="51"/>
      <c r="K26" s="52"/>
      <c r="L26" s="52"/>
      <c r="M26" s="38" t="str">
        <f t="shared" si="1"/>
        <v/>
      </c>
    </row>
    <row r="27" spans="1:13" ht="16" x14ac:dyDescent="0.75">
      <c r="A27" s="49"/>
      <c r="B27" s="50"/>
      <c r="C27" s="51"/>
      <c r="D27" s="52"/>
      <c r="E27" s="52"/>
      <c r="F27" s="38" t="str">
        <f t="shared" si="0"/>
        <v/>
      </c>
      <c r="G27" s="376"/>
      <c r="H27" s="49"/>
      <c r="I27" s="50"/>
      <c r="J27" s="51"/>
      <c r="K27" s="52"/>
      <c r="L27" s="52"/>
      <c r="M27" s="38" t="str">
        <f t="shared" si="1"/>
        <v/>
      </c>
    </row>
    <row r="28" spans="1:13" ht="16" x14ac:dyDescent="0.75">
      <c r="A28" s="49"/>
      <c r="B28" s="50"/>
      <c r="C28" s="51"/>
      <c r="D28" s="52"/>
      <c r="E28" s="52"/>
      <c r="F28" s="38" t="str">
        <f t="shared" si="0"/>
        <v/>
      </c>
      <c r="G28" s="376"/>
      <c r="H28" s="49"/>
      <c r="I28" s="50"/>
      <c r="J28" s="51"/>
      <c r="K28" s="52"/>
      <c r="L28" s="52"/>
      <c r="M28" s="38" t="str">
        <f t="shared" si="1"/>
        <v/>
      </c>
    </row>
    <row r="29" spans="1:13" ht="16.75" thickBot="1" x14ac:dyDescent="0.9">
      <c r="A29" s="53"/>
      <c r="B29" s="54"/>
      <c r="C29" s="55"/>
      <c r="D29" s="56"/>
      <c r="E29" s="56"/>
      <c r="F29" s="38" t="str">
        <f t="shared" si="0"/>
        <v/>
      </c>
      <c r="G29" s="376"/>
      <c r="H29" s="53"/>
      <c r="I29" s="54"/>
      <c r="J29" s="55"/>
      <c r="K29" s="56"/>
      <c r="L29" s="56"/>
      <c r="M29" s="38" t="str">
        <f t="shared" si="1"/>
        <v/>
      </c>
    </row>
    <row r="30" spans="1:13" ht="19.25" thickBot="1" x14ac:dyDescent="0.9">
      <c r="A30" s="39"/>
      <c r="B30" s="40"/>
      <c r="C30" s="41" t="s">
        <v>56</v>
      </c>
      <c r="D30" s="42" t="str">
        <f>IF(AND(D5="",D6="",D7="",D8="",D9="",D10="",D11="",D12="",D13="",D14="",D15="",D16="",D17="",D18="",D19="",D20="",D21="",D22="",D23="",D24="",D25="",D26="",D27="",D28="",D29=""),"",SUM(D5:D29))</f>
        <v/>
      </c>
      <c r="E30" s="43"/>
      <c r="F30" s="42" t="str">
        <f>IF(AND(F5="",F6="",F7="",F8="",F9="",F10="",F11="",F12="",F13="",F14="",F15="",F16="",F17="",F18="",F19="",F20="",F21="",F22="",F23="",F24="",F25="",F26="",F27="",F28="",F29=""),"",SUM(F5:F29))</f>
        <v/>
      </c>
      <c r="G30" s="376"/>
      <c r="H30" s="39"/>
      <c r="I30" s="40"/>
      <c r="J30" s="41" t="s">
        <v>56</v>
      </c>
      <c r="K30" s="42" t="str">
        <f>IF(AND(K5="",K6="",K7="",K8="",K9="",K10="",K11="",K12="",K13="",K14="",K15="",K16="",K17="",K18="",K19="",K20="",K21="",K22="",K23="",K24="",K25="",K26="",K27="",K28="",K29=""),"",SUM(K5:K29))</f>
        <v/>
      </c>
      <c r="L30" s="43"/>
      <c r="M30" s="42" t="str">
        <f>IF(AND(M5="",M6="",M7="",M8="",M9="",M10="",M11="",M12="",M13="",M14="",M15="",M16="",M17="",M18="",M19="",M20="",M21="",M22="",M23="",M24="",M25="",M26="",M27="",M28="",M29=""),"",SUM(M5:M29))</f>
        <v/>
      </c>
    </row>
    <row r="31" spans="1:13" ht="19.25" thickBot="1" x14ac:dyDescent="0.9">
      <c r="A31" s="39"/>
      <c r="B31" s="39"/>
      <c r="C31" s="44" t="s">
        <v>57</v>
      </c>
      <c r="D31" s="42" t="str">
        <f>IF(OR($B1="",D30=""),"",(D30/$B1))</f>
        <v/>
      </c>
      <c r="E31" s="39"/>
      <c r="F31" s="42" t="str">
        <f>IF(OR($B1="",F30=""),"",(F30/$B1))</f>
        <v/>
      </c>
      <c r="G31" s="376"/>
      <c r="H31" s="39"/>
      <c r="I31" s="39"/>
      <c r="J31" s="44" t="s">
        <v>57</v>
      </c>
      <c r="K31" s="42" t="str">
        <f>IF(OR($I1="",K30=""),"",(K30/$I1))</f>
        <v/>
      </c>
      <c r="L31" s="39"/>
      <c r="M31" s="42" t="str">
        <f>IF(OR($I1="",M30=""),"",(M30/$I1))</f>
        <v/>
      </c>
    </row>
    <row r="32" spans="1:13" s="25" customFormat="1" ht="18.5" x14ac:dyDescent="0.65">
      <c r="A32" s="345" t="s">
        <v>183</v>
      </c>
      <c r="B32" s="45"/>
      <c r="C32" s="45"/>
      <c r="D32" s="45"/>
      <c r="E32" s="45"/>
      <c r="F32" s="45"/>
      <c r="G32" s="45"/>
      <c r="H32" s="45"/>
      <c r="I32" s="45"/>
      <c r="J32" s="45"/>
      <c r="K32" s="45"/>
      <c r="L32" s="45"/>
      <c r="M32" s="45"/>
    </row>
    <row r="33" spans="1:13" s="47" customFormat="1" ht="16" x14ac:dyDescent="0.8">
      <c r="A33" s="358" t="s">
        <v>182</v>
      </c>
      <c r="B33" s="46"/>
      <c r="C33" s="46"/>
      <c r="D33" s="46"/>
      <c r="E33" s="46"/>
      <c r="F33" s="46"/>
      <c r="G33" s="46"/>
      <c r="H33" s="46"/>
      <c r="I33" s="46"/>
      <c r="J33" s="46"/>
      <c r="K33" s="46"/>
      <c r="L33" s="46"/>
      <c r="M33" s="46"/>
    </row>
    <row r="34" spans="1:13" s="25" customFormat="1" ht="18.5" x14ac:dyDescent="0.75">
      <c r="A34" s="377" t="s">
        <v>24</v>
      </c>
      <c r="B34" s="377"/>
      <c r="C34" s="377"/>
      <c r="D34" s="377"/>
      <c r="E34" s="377"/>
      <c r="F34" s="377"/>
      <c r="G34" s="377"/>
      <c r="H34" s="377"/>
      <c r="I34" s="377"/>
      <c r="J34" s="377"/>
      <c r="K34" s="377"/>
      <c r="L34" s="377"/>
      <c r="M34" s="377"/>
    </row>
    <row r="35" spans="1:13" ht="16" hidden="1" x14ac:dyDescent="0.75"/>
  </sheetData>
  <sheetProtection algorithmName="SHA-512" hashValue="3zjZpOtjuRdKZ8II6Mq181l4iLBwwnvayzhdCc+XoO9KTe+j/ceS63ppaihyM2Uo95KVYq9jIOyV4OT1MZQhbA==" saltValue="0tbCn/RtecnXtyXSTfVsOQ=="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0B00-000000000000}"/>
    <dataValidation allowBlank="1" showInputMessage="1" showErrorMessage="1" prompt="Don't forget to enter Child Count in Cell I1." sqref="H5" xr:uid="{00000000-0002-0000-0B00-000001000000}"/>
  </dataValidations>
  <hyperlinks>
    <hyperlink ref="A33" r:id="rId1" xr:uid="{11B65BA9-C49E-4739-9EF1-BCEB722C96C4}"/>
  </hyperlinks>
  <pageMargins left="0.75" right="0.75" top="1" bottom="1" header="0.5" footer="0.5"/>
  <pageSetup orientation="portrait" horizontalDpi="4294967292" verticalDpi="4294967292" r:id="rId2"/>
  <tableParts count="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5"/>
    <pageSetUpPr autoPageBreaks="0"/>
  </sheetPr>
  <dimension ref="A1:AB75"/>
  <sheetViews>
    <sheetView showGridLines="0" zoomScale="90" zoomScaleNormal="90" zoomScalePageLayoutView="90" workbookViewId="0">
      <pane ySplit="3" topLeftCell="A4" activePane="bottomLeft" state="frozen"/>
      <selection activeCell="D21" sqref="D21"/>
      <selection pane="bottomLeft" activeCell="H2" activeCellId="1" sqref="A2 H2"/>
    </sheetView>
  </sheetViews>
  <sheetFormatPr defaultColWidth="0" defaultRowHeight="16" zeroHeight="1" x14ac:dyDescent="0.8"/>
  <cols>
    <col min="1" max="1" width="40.26953125" style="57" customWidth="1"/>
    <col min="2" max="2" width="32.86328125" style="57" bestFit="1" customWidth="1"/>
    <col min="3" max="3" width="28" style="57" customWidth="1"/>
    <col min="4" max="5" width="28.26953125" style="57" customWidth="1"/>
    <col min="6" max="6" width="34" style="57" bestFit="1" customWidth="1"/>
    <col min="7" max="7" width="28.26953125" style="57" customWidth="1"/>
    <col min="8" max="8" width="40.26953125" style="57" customWidth="1"/>
    <col min="9" max="9" width="32.86328125" style="57" bestFit="1" customWidth="1"/>
    <col min="10" max="12" width="28.26953125" style="57" customWidth="1"/>
    <col min="13" max="13" width="34" style="57" bestFit="1" customWidth="1"/>
    <col min="14" max="14" width="0.86328125" style="57" customWidth="1"/>
    <col min="15" max="18" width="12.26953125" style="57" hidden="1" customWidth="1"/>
    <col min="19" max="19" width="13.7265625" style="57" hidden="1" customWidth="1"/>
    <col min="20" max="16384" width="12.26953125" style="57" hidden="1"/>
  </cols>
  <sheetData>
    <row r="1" spans="1:20" ht="25.9" customHeight="1" x14ac:dyDescent="0.8">
      <c r="A1" s="368" t="s">
        <v>58</v>
      </c>
      <c r="D1" s="58" t="s">
        <v>14</v>
      </c>
      <c r="E1" s="10" t="str">
        <f>IF('2. Getting Started'!$B2="","",'2. Getting Started'!$B2)</f>
        <v/>
      </c>
      <c r="G1" s="384" t="s">
        <v>175</v>
      </c>
      <c r="K1" s="58" t="s">
        <v>14</v>
      </c>
      <c r="L1" s="10" t="str">
        <f>IF('2. Getting Started'!$B2="","",'2. Getting Started'!$B2)</f>
        <v/>
      </c>
    </row>
    <row r="2" spans="1:20" ht="25.9" customHeight="1" thickBot="1" x14ac:dyDescent="0.95">
      <c r="A2" s="369" t="s">
        <v>171</v>
      </c>
      <c r="D2" s="58"/>
      <c r="E2" s="10"/>
      <c r="G2" s="384"/>
      <c r="H2" s="369" t="s">
        <v>171</v>
      </c>
      <c r="K2" s="58"/>
      <c r="L2" s="10"/>
    </row>
    <row r="3" spans="1:20" ht="25.9" customHeight="1" thickBot="1" x14ac:dyDescent="0.95">
      <c r="A3" s="59" t="str">
        <f>CONCATENATE("Eligibility Standard -- Exceptions to MOE as Permitted by 34 CFR §300.204 and Adjustment to MOE as Permitted by 34 CFR §300.205 -- Projections for State Fiscal Year ",'2. Getting Started'!B6+2," Budget")</f>
        <v>Eligibility Standard -- Exceptions to MOE as Permitted by 34 CFR §300.204 and Adjustment to MOE as Permitted by 34 CFR §300.205 -- Projections for State Fiscal Year 2026 Budget</v>
      </c>
      <c r="B3" s="60"/>
      <c r="C3" s="60"/>
      <c r="D3" s="60"/>
      <c r="E3" s="60"/>
      <c r="F3" s="61"/>
      <c r="G3" s="384"/>
      <c r="H3" s="59" t="str">
        <f>CONCATENATE("Compliance Standard -- Exceptions to MOE as Permitted by 34 CFR §300.204 and Adjustment to MOE as Permitted by 34 CFR §300.205 -- Final Expenditures for  State Fiscal Year ",'2. Getting Started'!B6+2)</f>
        <v>Compliance Standard -- Exceptions to MOE as Permitted by 34 CFR §300.204 and Adjustment to MOE as Permitted by 34 CFR §300.205 -- Final Expenditures for  State Fiscal Year 2026</v>
      </c>
      <c r="I3" s="60"/>
      <c r="J3" s="60"/>
      <c r="K3" s="60"/>
      <c r="L3" s="60"/>
      <c r="M3" s="61"/>
      <c r="O3" s="63"/>
      <c r="P3" s="63"/>
      <c r="Q3" s="63"/>
      <c r="R3" s="63"/>
      <c r="S3" s="63"/>
      <c r="T3" s="63"/>
    </row>
    <row r="4" spans="1:20" x14ac:dyDescent="0.8">
      <c r="A4" s="64" t="s">
        <v>59</v>
      </c>
      <c r="B4" s="65"/>
      <c r="C4" s="66"/>
      <c r="D4" s="66"/>
      <c r="E4" s="66"/>
      <c r="F4" s="67"/>
      <c r="G4" s="384"/>
      <c r="H4" s="64" t="s">
        <v>59</v>
      </c>
      <c r="I4" s="65"/>
      <c r="J4" s="66"/>
      <c r="K4" s="66"/>
      <c r="L4" s="66"/>
      <c r="M4" s="67"/>
      <c r="N4" s="69"/>
      <c r="O4" s="69"/>
      <c r="P4" s="69"/>
      <c r="Q4" s="69"/>
      <c r="R4" s="69"/>
      <c r="S4" s="69"/>
    </row>
    <row r="5" spans="1:20" x14ac:dyDescent="0.8">
      <c r="A5" s="70" t="s">
        <v>60</v>
      </c>
      <c r="B5" s="71"/>
      <c r="C5" s="68"/>
      <c r="D5" s="68"/>
      <c r="E5" s="68"/>
      <c r="F5" s="72"/>
      <c r="G5" s="384"/>
      <c r="H5" s="70" t="s">
        <v>60</v>
      </c>
      <c r="I5" s="71"/>
      <c r="J5" s="68"/>
      <c r="K5" s="68"/>
      <c r="L5" s="68"/>
      <c r="M5" s="72"/>
      <c r="N5" s="73"/>
      <c r="O5" s="73"/>
      <c r="P5" s="73"/>
      <c r="Q5" s="73"/>
      <c r="R5" s="73"/>
    </row>
    <row r="6" spans="1:20" ht="35.65" customHeight="1" thickBot="1" x14ac:dyDescent="0.95">
      <c r="A6" s="74" t="s">
        <v>61</v>
      </c>
      <c r="B6" s="75"/>
      <c r="C6" s="75"/>
      <c r="D6" s="75"/>
      <c r="E6" s="75"/>
      <c r="F6" s="76"/>
      <c r="G6" s="384"/>
      <c r="H6" s="74" t="s">
        <v>61</v>
      </c>
      <c r="I6" s="75"/>
      <c r="J6" s="75"/>
      <c r="K6" s="75"/>
      <c r="L6" s="75"/>
      <c r="M6" s="76"/>
      <c r="N6" s="73"/>
      <c r="O6" s="73"/>
      <c r="P6" s="73"/>
      <c r="Q6" s="73"/>
      <c r="R6" s="73"/>
      <c r="S6" s="73"/>
    </row>
    <row r="7" spans="1:20" x14ac:dyDescent="0.8">
      <c r="A7" s="77" t="s">
        <v>62</v>
      </c>
      <c r="B7" s="78" t="s">
        <v>63</v>
      </c>
      <c r="C7" s="79" t="s">
        <v>64</v>
      </c>
      <c r="D7" s="79" t="s">
        <v>65</v>
      </c>
      <c r="E7" s="80" t="s">
        <v>66</v>
      </c>
      <c r="F7" s="81" t="s">
        <v>67</v>
      </c>
      <c r="G7" s="384"/>
      <c r="H7" s="77" t="s">
        <v>62</v>
      </c>
      <c r="I7" s="78" t="s">
        <v>63</v>
      </c>
      <c r="J7" s="79" t="s">
        <v>64</v>
      </c>
      <c r="K7" s="79" t="s">
        <v>65</v>
      </c>
      <c r="L7" s="80" t="s">
        <v>66</v>
      </c>
      <c r="M7" s="81" t="s">
        <v>68</v>
      </c>
      <c r="N7" s="73"/>
      <c r="O7" s="73"/>
    </row>
    <row r="8" spans="1:20" x14ac:dyDescent="0.8">
      <c r="A8" s="185"/>
      <c r="B8" s="186"/>
      <c r="C8" s="186"/>
      <c r="D8" s="187"/>
      <c r="E8" s="187">
        <v>0</v>
      </c>
      <c r="F8" s="83">
        <f>D8+E8</f>
        <v>0</v>
      </c>
      <c r="G8" s="384"/>
      <c r="H8" s="185"/>
      <c r="I8" s="186"/>
      <c r="J8" s="186"/>
      <c r="K8" s="187"/>
      <c r="L8" s="187"/>
      <c r="M8" s="83">
        <f>K8+L8</f>
        <v>0</v>
      </c>
      <c r="N8" s="84"/>
      <c r="O8" s="84"/>
    </row>
    <row r="9" spans="1:20" x14ac:dyDescent="0.8">
      <c r="A9" s="185"/>
      <c r="B9" s="186"/>
      <c r="C9" s="186"/>
      <c r="D9" s="187"/>
      <c r="E9" s="187"/>
      <c r="F9" s="83">
        <f>D9+E9</f>
        <v>0</v>
      </c>
      <c r="G9" s="384"/>
      <c r="H9" s="185"/>
      <c r="I9" s="186"/>
      <c r="J9" s="186"/>
      <c r="K9" s="187"/>
      <c r="L9" s="187"/>
      <c r="M9" s="83">
        <f>K9+L9</f>
        <v>0</v>
      </c>
      <c r="N9" s="84"/>
      <c r="O9" s="84"/>
    </row>
    <row r="10" spans="1:20" x14ac:dyDescent="0.8">
      <c r="A10" s="185"/>
      <c r="B10" s="186"/>
      <c r="C10" s="186"/>
      <c r="D10" s="187"/>
      <c r="E10" s="187"/>
      <c r="F10" s="83">
        <f>D10+E10</f>
        <v>0</v>
      </c>
      <c r="G10" s="384"/>
      <c r="H10" s="185"/>
      <c r="I10" s="186"/>
      <c r="J10" s="186"/>
      <c r="K10" s="187"/>
      <c r="L10" s="187"/>
      <c r="M10" s="83">
        <f>K10+L10</f>
        <v>0</v>
      </c>
      <c r="N10" s="84"/>
      <c r="O10" s="84"/>
    </row>
    <row r="11" spans="1:20" x14ac:dyDescent="0.8">
      <c r="A11" s="185"/>
      <c r="B11" s="186"/>
      <c r="C11" s="186"/>
      <c r="D11" s="187"/>
      <c r="E11" s="187"/>
      <c r="F11" s="83">
        <f>D11+E11</f>
        <v>0</v>
      </c>
      <c r="G11" s="384"/>
      <c r="H11" s="185"/>
      <c r="I11" s="186"/>
      <c r="J11" s="186"/>
      <c r="K11" s="187"/>
      <c r="L11" s="187"/>
      <c r="M11" s="83">
        <f>K11+L11</f>
        <v>0</v>
      </c>
      <c r="N11" s="84"/>
      <c r="O11" s="84"/>
    </row>
    <row r="12" spans="1:20" x14ac:dyDescent="0.8">
      <c r="A12" s="185"/>
      <c r="B12" s="186"/>
      <c r="C12" s="186"/>
      <c r="D12" s="187"/>
      <c r="E12" s="187"/>
      <c r="F12" s="83">
        <f>D12+E12</f>
        <v>0</v>
      </c>
      <c r="G12" s="384"/>
      <c r="H12" s="185"/>
      <c r="I12" s="186"/>
      <c r="J12" s="186"/>
      <c r="K12" s="187"/>
      <c r="L12" s="187"/>
      <c r="M12" s="83">
        <f>K12+L12</f>
        <v>0</v>
      </c>
      <c r="N12" s="84"/>
      <c r="O12" s="84"/>
    </row>
    <row r="13" spans="1:20" ht="16.75" thickBot="1" x14ac:dyDescent="0.95">
      <c r="A13" s="85"/>
      <c r="B13" s="86"/>
      <c r="C13" s="87" t="s">
        <v>69</v>
      </c>
      <c r="D13" s="88">
        <f t="shared" ref="D13:F13" si="0">SUM(D8:D12)</f>
        <v>0</v>
      </c>
      <c r="E13" s="88">
        <f t="shared" si="0"/>
        <v>0</v>
      </c>
      <c r="F13" s="89">
        <f t="shared" si="0"/>
        <v>0</v>
      </c>
      <c r="G13" s="384"/>
      <c r="H13" s="85"/>
      <c r="I13" s="86"/>
      <c r="J13" s="87" t="s">
        <v>69</v>
      </c>
      <c r="K13" s="88">
        <f t="shared" ref="K13:M13" si="1">SUM(K8:K12)</f>
        <v>0</v>
      </c>
      <c r="L13" s="88">
        <f t="shared" si="1"/>
        <v>0</v>
      </c>
      <c r="M13" s="89">
        <f t="shared" si="1"/>
        <v>0</v>
      </c>
      <c r="N13" s="84"/>
      <c r="O13" s="84"/>
    </row>
    <row r="14" spans="1:20" ht="40.15" customHeight="1" thickBot="1" x14ac:dyDescent="0.95">
      <c r="A14" s="90" t="s">
        <v>70</v>
      </c>
      <c r="B14" s="91"/>
      <c r="C14" s="91"/>
      <c r="D14" s="91"/>
      <c r="E14" s="91"/>
      <c r="F14" s="92"/>
      <c r="G14" s="384"/>
      <c r="H14" s="90" t="s">
        <v>70</v>
      </c>
      <c r="I14" s="91"/>
      <c r="J14" s="91"/>
      <c r="K14" s="91"/>
      <c r="L14" s="91"/>
      <c r="M14" s="92"/>
      <c r="N14" s="73"/>
      <c r="O14" s="73"/>
      <c r="P14" s="73"/>
      <c r="Q14" s="73"/>
      <c r="R14" s="73"/>
      <c r="S14" s="93"/>
    </row>
    <row r="15" spans="1:20" x14ac:dyDescent="0.8">
      <c r="A15" s="94" t="s">
        <v>62</v>
      </c>
      <c r="B15" s="95" t="s">
        <v>63</v>
      </c>
      <c r="C15" s="96" t="s">
        <v>176</v>
      </c>
      <c r="D15" s="79" t="s">
        <v>65</v>
      </c>
      <c r="E15" s="80" t="s">
        <v>66</v>
      </c>
      <c r="F15" s="81" t="s">
        <v>67</v>
      </c>
      <c r="G15" s="384"/>
      <c r="H15" s="94" t="s">
        <v>62</v>
      </c>
      <c r="I15" s="95" t="s">
        <v>63</v>
      </c>
      <c r="J15" s="96" t="s">
        <v>176</v>
      </c>
      <c r="K15" s="79" t="s">
        <v>65</v>
      </c>
      <c r="L15" s="80" t="s">
        <v>66</v>
      </c>
      <c r="M15" s="81" t="s">
        <v>68</v>
      </c>
      <c r="N15" s="63"/>
      <c r="O15" s="98"/>
    </row>
    <row r="16" spans="1:20" x14ac:dyDescent="0.8">
      <c r="A16" s="188"/>
      <c r="B16" s="189"/>
      <c r="C16" s="99"/>
      <c r="D16" s="187"/>
      <c r="E16" s="187"/>
      <c r="F16" s="83">
        <f t="shared" ref="F16:F20" si="2">D16+E16</f>
        <v>0</v>
      </c>
      <c r="G16" s="384"/>
      <c r="H16" s="188"/>
      <c r="I16" s="189"/>
      <c r="J16" s="99"/>
      <c r="K16" s="187"/>
      <c r="L16" s="187"/>
      <c r="M16" s="83">
        <f t="shared" ref="M16:M20" si="3">K16+L16</f>
        <v>0</v>
      </c>
      <c r="N16" s="84"/>
      <c r="O16" s="84"/>
    </row>
    <row r="17" spans="1:19" x14ac:dyDescent="0.8">
      <c r="A17" s="188"/>
      <c r="B17" s="189"/>
      <c r="C17" s="99"/>
      <c r="D17" s="187"/>
      <c r="E17" s="187"/>
      <c r="F17" s="83">
        <f t="shared" si="2"/>
        <v>0</v>
      </c>
      <c r="G17" s="384"/>
      <c r="H17" s="188"/>
      <c r="I17" s="189"/>
      <c r="J17" s="99"/>
      <c r="K17" s="187"/>
      <c r="L17" s="187"/>
      <c r="M17" s="83">
        <f t="shared" si="3"/>
        <v>0</v>
      </c>
      <c r="N17" s="84"/>
      <c r="O17" s="84"/>
    </row>
    <row r="18" spans="1:19" x14ac:dyDescent="0.8">
      <c r="A18" s="188"/>
      <c r="B18" s="189"/>
      <c r="C18" s="99"/>
      <c r="D18" s="187"/>
      <c r="E18" s="187"/>
      <c r="F18" s="83">
        <f t="shared" si="2"/>
        <v>0</v>
      </c>
      <c r="G18" s="384"/>
      <c r="H18" s="188"/>
      <c r="I18" s="189"/>
      <c r="J18" s="99"/>
      <c r="K18" s="187"/>
      <c r="L18" s="187"/>
      <c r="M18" s="83">
        <f t="shared" si="3"/>
        <v>0</v>
      </c>
      <c r="N18" s="84"/>
      <c r="O18" s="84"/>
    </row>
    <row r="19" spans="1:19" x14ac:dyDescent="0.8">
      <c r="A19" s="188"/>
      <c r="B19" s="189"/>
      <c r="C19" s="99"/>
      <c r="D19" s="187"/>
      <c r="E19" s="187"/>
      <c r="F19" s="83">
        <f t="shared" si="2"/>
        <v>0</v>
      </c>
      <c r="G19" s="384"/>
      <c r="H19" s="188"/>
      <c r="I19" s="189"/>
      <c r="J19" s="99"/>
      <c r="K19" s="187"/>
      <c r="L19" s="187"/>
      <c r="M19" s="83">
        <f t="shared" si="3"/>
        <v>0</v>
      </c>
      <c r="N19" s="84"/>
      <c r="O19" s="84"/>
    </row>
    <row r="20" spans="1:19" x14ac:dyDescent="0.8">
      <c r="A20" s="188"/>
      <c r="B20" s="189"/>
      <c r="C20" s="99"/>
      <c r="D20" s="187"/>
      <c r="E20" s="187"/>
      <c r="F20" s="83">
        <f t="shared" si="2"/>
        <v>0</v>
      </c>
      <c r="G20" s="384"/>
      <c r="H20" s="188"/>
      <c r="I20" s="189"/>
      <c r="J20" s="99"/>
      <c r="K20" s="187"/>
      <c r="L20" s="187"/>
      <c r="M20" s="83">
        <f t="shared" si="3"/>
        <v>0</v>
      </c>
      <c r="N20" s="84"/>
      <c r="O20" s="84"/>
    </row>
    <row r="21" spans="1:19" x14ac:dyDescent="0.8">
      <c r="A21" s="100"/>
      <c r="B21" s="101"/>
      <c r="C21" s="102" t="s">
        <v>72</v>
      </c>
      <c r="D21" s="103">
        <f t="shared" ref="D21:F21" si="4">SUM(D16:D20)</f>
        <v>0</v>
      </c>
      <c r="E21" s="103">
        <f t="shared" si="4"/>
        <v>0</v>
      </c>
      <c r="F21" s="83">
        <f t="shared" si="4"/>
        <v>0</v>
      </c>
      <c r="G21" s="384"/>
      <c r="H21" s="100"/>
      <c r="I21" s="101"/>
      <c r="J21" s="102" t="s">
        <v>72</v>
      </c>
      <c r="K21" s="103">
        <f t="shared" ref="K21:M21" si="5">SUM(K16:K20)</f>
        <v>0</v>
      </c>
      <c r="L21" s="103">
        <f t="shared" si="5"/>
        <v>0</v>
      </c>
      <c r="M21" s="83">
        <f t="shared" si="5"/>
        <v>0</v>
      </c>
      <c r="N21" s="84"/>
      <c r="O21" s="84"/>
    </row>
    <row r="22" spans="1:19" ht="16.75" thickBot="1" x14ac:dyDescent="0.95">
      <c r="A22" s="104"/>
      <c r="B22" s="105"/>
      <c r="C22" s="106"/>
      <c r="D22" s="106"/>
      <c r="E22" s="107" t="s">
        <v>73</v>
      </c>
      <c r="F22" s="108">
        <f>F13-F21</f>
        <v>0</v>
      </c>
      <c r="G22" s="384"/>
      <c r="H22" s="104"/>
      <c r="I22" s="105"/>
      <c r="J22" s="105"/>
      <c r="K22" s="110"/>
      <c r="L22" s="107" t="s">
        <v>74</v>
      </c>
      <c r="M22" s="108">
        <f>M13-M21</f>
        <v>0</v>
      </c>
      <c r="N22" s="93"/>
      <c r="O22" s="93"/>
      <c r="P22" s="93"/>
      <c r="Q22" s="93"/>
      <c r="R22" s="93"/>
      <c r="S22" s="93"/>
    </row>
    <row r="23" spans="1:19" ht="16.75" thickBot="1" x14ac:dyDescent="0.95">
      <c r="A23" s="378" t="s">
        <v>22</v>
      </c>
      <c r="B23" s="378"/>
      <c r="C23" s="378"/>
      <c r="D23" s="378"/>
      <c r="E23" s="378"/>
      <c r="F23" s="378"/>
      <c r="G23" s="384"/>
      <c r="H23" s="378" t="s">
        <v>22</v>
      </c>
      <c r="I23" s="378"/>
      <c r="J23" s="378"/>
      <c r="K23" s="378"/>
      <c r="L23" s="378"/>
      <c r="M23" s="378"/>
      <c r="N23" s="93"/>
      <c r="O23" s="93"/>
      <c r="P23" s="93"/>
      <c r="Q23" s="93"/>
      <c r="R23" s="93"/>
      <c r="S23" s="93"/>
    </row>
    <row r="24" spans="1:19" x14ac:dyDescent="0.8">
      <c r="A24" s="111" t="s">
        <v>105</v>
      </c>
      <c r="B24" s="112"/>
      <c r="C24" s="112"/>
      <c r="D24" s="62"/>
      <c r="E24" s="119"/>
      <c r="F24" s="119"/>
      <c r="G24" s="384"/>
      <c r="H24" s="111" t="s">
        <v>105</v>
      </c>
      <c r="I24" s="112"/>
      <c r="J24" s="112"/>
      <c r="K24" s="62"/>
      <c r="L24" s="119"/>
      <c r="M24" s="119"/>
      <c r="N24" s="118"/>
      <c r="O24" s="118"/>
      <c r="P24" s="118"/>
      <c r="Q24" s="118"/>
    </row>
    <row r="25" spans="1:19" x14ac:dyDescent="0.8">
      <c r="A25" s="120" t="s">
        <v>71</v>
      </c>
      <c r="B25" s="121" t="s">
        <v>77</v>
      </c>
      <c r="C25" s="122"/>
      <c r="D25" s="123"/>
      <c r="E25" s="122"/>
      <c r="F25" s="122"/>
      <c r="G25" s="384"/>
      <c r="H25" s="120" t="s">
        <v>71</v>
      </c>
      <c r="I25" s="121" t="s">
        <v>77</v>
      </c>
      <c r="J25" s="122"/>
      <c r="K25" s="123"/>
      <c r="L25" s="122"/>
      <c r="M25" s="122"/>
      <c r="N25" s="118"/>
      <c r="O25" s="118"/>
      <c r="P25" s="118"/>
      <c r="Q25" s="118"/>
    </row>
    <row r="26" spans="1:19" x14ac:dyDescent="0.8">
      <c r="A26" s="124" t="str">
        <f>CONCATENATE("SFY ",'2. Getting Started'!B6+2," Projected Child Count")</f>
        <v>SFY 2026 Projected Child Count</v>
      </c>
      <c r="B26" s="125" t="str">
        <f>IF('11. Year 3 Amounts'!B1="","",'11. Year 3 Amounts'!B1)</f>
        <v/>
      </c>
      <c r="C26" s="122"/>
      <c r="D26" s="123"/>
      <c r="E26" s="122"/>
      <c r="F26" s="122"/>
      <c r="G26" s="384"/>
      <c r="H26" s="124" t="str">
        <f>CONCATENATE("SFY ",'2. Getting Started'!B6+2," Child Count")</f>
        <v>SFY 2026 Child Count</v>
      </c>
      <c r="I26" s="125" t="str">
        <f>IF('11. Year 3 Amounts'!I1="","",'11. Year 3 Amounts'!I1)</f>
        <v/>
      </c>
      <c r="J26" s="122"/>
      <c r="K26" s="123"/>
      <c r="L26" s="122"/>
      <c r="M26" s="122"/>
      <c r="N26" s="118"/>
      <c r="O26" s="118"/>
      <c r="P26" s="118"/>
      <c r="Q26" s="118"/>
    </row>
    <row r="27" spans="1:19" x14ac:dyDescent="0.8">
      <c r="A27" s="124" t="str">
        <f>CONCATENATE("SFY ",'2. Getting Started'!B6+1," Projected Child Count")</f>
        <v>SFY 2025 Projected Child Count</v>
      </c>
      <c r="B27" s="125" t="str">
        <f>IF('8. Year 2 Amounts'!B1="","",'8. Year 2 Amounts'!B1)</f>
        <v/>
      </c>
      <c r="C27" s="118"/>
      <c r="D27" s="127"/>
      <c r="E27" s="118"/>
      <c r="F27" s="122"/>
      <c r="G27" s="384"/>
      <c r="H27" s="124" t="str">
        <f>CONCATENATE("SFY ",'2. Getting Started'!B6+1," Child Count")</f>
        <v>SFY 2025 Child Count</v>
      </c>
      <c r="I27" s="125" t="str">
        <f>IF('8. Year 2 Amounts'!I1="","",'8. Year 2 Amounts'!I1)</f>
        <v/>
      </c>
      <c r="J27" s="118"/>
      <c r="K27" s="127"/>
      <c r="L27" s="118"/>
      <c r="M27" s="122"/>
      <c r="N27" s="128"/>
      <c r="O27" s="128"/>
      <c r="P27" s="128"/>
      <c r="Q27" s="128"/>
    </row>
    <row r="28" spans="1:19" x14ac:dyDescent="0.8">
      <c r="A28" s="126" t="s">
        <v>78</v>
      </c>
      <c r="B28" s="129" t="str">
        <f>IF(B26="","",B26-B27)</f>
        <v/>
      </c>
      <c r="C28" s="122" t="str">
        <f>IF(B28="","",IF(B28&gt;=0,"Not eligible for this exception",""))</f>
        <v/>
      </c>
      <c r="D28" s="123"/>
      <c r="E28" s="122"/>
      <c r="F28" s="122"/>
      <c r="G28" s="384"/>
      <c r="H28" s="126" t="s">
        <v>78</v>
      </c>
      <c r="I28" s="129" t="str">
        <f>IF(I26="","",I26-I27)</f>
        <v/>
      </c>
      <c r="J28" s="122" t="str">
        <f>IF(I28="","",IF(I28&gt;=0,"Not eligible for this exception",""))</f>
        <v/>
      </c>
      <c r="K28" s="123"/>
      <c r="L28" s="122"/>
      <c r="M28" s="122"/>
      <c r="N28" s="131"/>
      <c r="O28" s="131"/>
      <c r="P28" s="131"/>
      <c r="Q28" s="131"/>
    </row>
    <row r="29" spans="1:19" x14ac:dyDescent="0.8">
      <c r="A29" s="132" t="s">
        <v>79</v>
      </c>
      <c r="B29" s="133" t="str">
        <f>IF(B26="","",IF(B28&lt;=0,ABS(B28/B27),""))</f>
        <v/>
      </c>
      <c r="C29" s="134"/>
      <c r="D29" s="135"/>
      <c r="E29" s="134"/>
      <c r="F29" s="10"/>
      <c r="G29" s="384"/>
      <c r="H29" s="132" t="s">
        <v>79</v>
      </c>
      <c r="I29" s="133" t="str">
        <f>IF(I26="","",IF(I28&lt;=0,ABS(I28/I27),""))</f>
        <v/>
      </c>
      <c r="J29" s="134"/>
      <c r="K29" s="135"/>
      <c r="L29" s="134"/>
      <c r="M29" s="10"/>
      <c r="N29" s="136"/>
      <c r="O29" s="136"/>
      <c r="P29" s="137"/>
      <c r="Q29" s="137"/>
    </row>
    <row r="30" spans="1:19" x14ac:dyDescent="0.8">
      <c r="A30" s="114" t="s">
        <v>71</v>
      </c>
      <c r="B30" s="115" t="s">
        <v>0</v>
      </c>
      <c r="C30" s="115" t="s">
        <v>2</v>
      </c>
      <c r="D30" s="10"/>
      <c r="E30" s="71"/>
      <c r="F30" s="71"/>
      <c r="G30" s="384"/>
      <c r="H30" s="114" t="s">
        <v>71</v>
      </c>
      <c r="I30" s="115" t="s">
        <v>75</v>
      </c>
      <c r="J30" s="115" t="s">
        <v>76</v>
      </c>
      <c r="K30" s="10"/>
      <c r="L30" s="71"/>
      <c r="M30" s="71"/>
      <c r="N30" s="137"/>
      <c r="O30" s="137"/>
    </row>
    <row r="31" spans="1:19" x14ac:dyDescent="0.8">
      <c r="A31" s="138" t="str">
        <f>CONCATENATE("SFY ",'2. Getting Started'!B6+1," Budget")</f>
        <v>SFY 2025 Budget</v>
      </c>
      <c r="B31" s="139" t="str">
        <f>IF('8. Year 2 Amounts'!D30="","",'8. Year 2 Amounts'!D30)</f>
        <v/>
      </c>
      <c r="C31" s="139" t="str">
        <f>IF('8. Year 2 Amounts'!F30="","",'8. Year 2 Amounts'!F30)</f>
        <v/>
      </c>
      <c r="D31" s="140"/>
      <c r="E31" s="73"/>
      <c r="F31" s="73"/>
      <c r="G31" s="384"/>
      <c r="H31" s="138" t="str">
        <f>CONCATENATE("SFY ",'2. Getting Started'!B6+1," Final Expenditures")</f>
        <v>SFY 2025 Final Expenditures</v>
      </c>
      <c r="I31" s="139" t="str">
        <f>IF('8. Year 2 Amounts'!K30="","",'8. Year 2 Amounts'!K30)</f>
        <v/>
      </c>
      <c r="J31" s="139" t="str">
        <f>IF('8. Year 2 Amounts'!M30="","",'8. Year 2 Amounts'!M30)</f>
        <v/>
      </c>
      <c r="K31" s="141"/>
      <c r="L31" s="73"/>
      <c r="M31" s="73"/>
    </row>
    <row r="32" spans="1:19" x14ac:dyDescent="0.8">
      <c r="A32" s="116" t="s">
        <v>80</v>
      </c>
      <c r="B32" s="142" t="str">
        <f>IF(OR($B26="",B29="",B31=""),"",($B29*B31))</f>
        <v/>
      </c>
      <c r="C32" s="142" t="str">
        <f>IF(OR($B26="",B29="",C31=""),"",($B29*C31))</f>
        <v/>
      </c>
      <c r="D32" s="141"/>
      <c r="E32" s="117"/>
      <c r="F32" s="117"/>
      <c r="G32" s="384"/>
      <c r="H32" s="116" t="s">
        <v>81</v>
      </c>
      <c r="I32" s="142" t="str">
        <f>IF(OR($I26="",I29="",I31=""),"",($I29*I31))</f>
        <v/>
      </c>
      <c r="J32" s="142" t="str">
        <f>IF(OR($I26="",I29="",J31=""),"",($I29*J31))</f>
        <v/>
      </c>
      <c r="K32" s="141"/>
      <c r="L32" s="117"/>
      <c r="M32" s="117"/>
    </row>
    <row r="33" spans="1:28" ht="16.75" thickBot="1" x14ac:dyDescent="0.95">
      <c r="A33" s="379" t="s">
        <v>22</v>
      </c>
      <c r="B33" s="379"/>
      <c r="C33" s="379"/>
      <c r="D33" s="122"/>
      <c r="E33" s="122"/>
      <c r="F33" s="122"/>
      <c r="G33" s="384"/>
      <c r="H33" s="379" t="s">
        <v>22</v>
      </c>
      <c r="I33" s="379"/>
      <c r="J33" s="379"/>
      <c r="K33" s="122"/>
      <c r="L33" s="122"/>
      <c r="M33" s="122"/>
      <c r="P33" s="117"/>
      <c r="Q33" s="117"/>
      <c r="R33" s="117"/>
      <c r="S33" s="117"/>
      <c r="T33" s="117"/>
      <c r="U33" s="73"/>
      <c r="V33" s="117"/>
      <c r="W33" s="117"/>
      <c r="X33" s="117"/>
      <c r="Y33" s="117"/>
      <c r="Z33" s="117"/>
      <c r="AA33" s="117"/>
    </row>
    <row r="34" spans="1:28" x14ac:dyDescent="0.8">
      <c r="A34" s="111" t="s">
        <v>82</v>
      </c>
      <c r="B34" s="144"/>
      <c r="C34" s="145"/>
      <c r="D34" s="146"/>
      <c r="E34" s="130"/>
      <c r="F34" s="130"/>
      <c r="G34" s="384"/>
      <c r="H34" s="111" t="s">
        <v>82</v>
      </c>
      <c r="I34" s="144"/>
      <c r="J34" s="145"/>
      <c r="K34" s="146"/>
      <c r="L34" s="130"/>
      <c r="M34" s="130"/>
      <c r="P34" s="117"/>
      <c r="Q34" s="117"/>
      <c r="R34" s="117"/>
      <c r="S34" s="117"/>
      <c r="T34" s="117"/>
      <c r="U34" s="117"/>
      <c r="V34" s="117"/>
      <c r="W34" s="117"/>
      <c r="X34" s="117"/>
      <c r="Y34" s="117"/>
      <c r="Z34" s="117"/>
      <c r="AA34" s="117"/>
    </row>
    <row r="35" spans="1:28" x14ac:dyDescent="0.8">
      <c r="A35" s="147" t="s">
        <v>83</v>
      </c>
      <c r="B35" s="71"/>
      <c r="C35" s="148"/>
      <c r="D35" s="149"/>
      <c r="E35" s="10"/>
      <c r="F35" s="10"/>
      <c r="G35" s="384"/>
      <c r="H35" s="147" t="s">
        <v>83</v>
      </c>
      <c r="I35" s="71"/>
      <c r="J35" s="148"/>
      <c r="K35" s="149"/>
      <c r="L35" s="10"/>
      <c r="M35" s="10"/>
      <c r="P35" s="73"/>
      <c r="Q35" s="73"/>
      <c r="R35" s="73"/>
      <c r="S35" s="73"/>
      <c r="T35" s="73"/>
      <c r="U35" s="73"/>
      <c r="V35" s="73"/>
      <c r="W35" s="73"/>
      <c r="X35" s="73"/>
      <c r="Y35" s="73"/>
      <c r="Z35" s="73"/>
      <c r="AA35" s="73"/>
    </row>
    <row r="36" spans="1:28" x14ac:dyDescent="0.8">
      <c r="A36" s="150" t="s">
        <v>84</v>
      </c>
      <c r="B36" s="71"/>
      <c r="C36" s="151"/>
      <c r="D36" s="149"/>
      <c r="E36" s="10"/>
      <c r="F36" s="10"/>
      <c r="G36" s="384"/>
      <c r="H36" s="150" t="s">
        <v>84</v>
      </c>
      <c r="I36" s="71"/>
      <c r="J36" s="151"/>
      <c r="K36" s="149"/>
      <c r="L36" s="10"/>
      <c r="M36" s="10"/>
      <c r="Q36" s="73"/>
      <c r="R36" s="73"/>
      <c r="S36" s="73"/>
      <c r="T36" s="73"/>
      <c r="U36" s="73"/>
      <c r="V36" s="73"/>
      <c r="W36" s="73"/>
      <c r="X36" s="73"/>
      <c r="Y36" s="73"/>
      <c r="Z36" s="73"/>
      <c r="AA36" s="73"/>
      <c r="AB36" s="73"/>
    </row>
    <row r="37" spans="1:28" x14ac:dyDescent="0.8">
      <c r="A37" s="152" t="s">
        <v>85</v>
      </c>
      <c r="B37" s="153" t="s">
        <v>86</v>
      </c>
      <c r="C37" s="154" t="s">
        <v>87</v>
      </c>
      <c r="D37" s="117"/>
      <c r="E37" s="143"/>
      <c r="F37" s="143"/>
      <c r="G37" s="384"/>
      <c r="H37" s="152" t="s">
        <v>85</v>
      </c>
      <c r="I37" s="153" t="s">
        <v>86</v>
      </c>
      <c r="J37" s="154" t="s">
        <v>88</v>
      </c>
      <c r="K37" s="117"/>
      <c r="L37" s="143"/>
      <c r="M37" s="143"/>
      <c r="P37" s="93"/>
      <c r="Q37" s="93"/>
      <c r="R37" s="93"/>
      <c r="S37" s="93"/>
      <c r="T37" s="93"/>
      <c r="U37" s="93"/>
      <c r="V37" s="93"/>
      <c r="W37" s="93"/>
      <c r="X37" s="93"/>
      <c r="Y37" s="93"/>
      <c r="Z37" s="93"/>
      <c r="AA37" s="93"/>
    </row>
    <row r="38" spans="1:28" x14ac:dyDescent="0.8">
      <c r="A38" s="190"/>
      <c r="B38" s="191"/>
      <c r="C38" s="192"/>
      <c r="D38" s="143"/>
      <c r="E38" s="143"/>
      <c r="F38" s="143"/>
      <c r="G38" s="384"/>
      <c r="H38" s="190"/>
      <c r="I38" s="191"/>
      <c r="J38" s="192"/>
      <c r="K38" s="143"/>
      <c r="L38" s="143"/>
      <c r="M38" s="143"/>
      <c r="P38" s="93"/>
      <c r="Q38" s="93"/>
      <c r="R38" s="93"/>
      <c r="S38" s="93"/>
      <c r="T38" s="93"/>
      <c r="U38" s="93"/>
      <c r="V38" s="93"/>
      <c r="W38" s="93"/>
      <c r="X38" s="93"/>
      <c r="Y38" s="93"/>
      <c r="Z38" s="93"/>
      <c r="AA38" s="93"/>
    </row>
    <row r="39" spans="1:28" x14ac:dyDescent="0.8">
      <c r="A39" s="190"/>
      <c r="B39" s="191"/>
      <c r="C39" s="192"/>
      <c r="D39" s="143"/>
      <c r="E39" s="71"/>
      <c r="F39" s="71"/>
      <c r="G39" s="384"/>
      <c r="H39" s="190"/>
      <c r="I39" s="191"/>
      <c r="J39" s="192"/>
      <c r="K39" s="143"/>
      <c r="L39" s="71"/>
      <c r="M39" s="71"/>
      <c r="P39" s="93"/>
      <c r="Q39" s="93"/>
      <c r="R39" s="93"/>
      <c r="S39" s="93"/>
      <c r="T39" s="93"/>
      <c r="U39" s="93"/>
      <c r="V39" s="93"/>
      <c r="W39" s="93"/>
      <c r="X39" s="93"/>
      <c r="Y39" s="93"/>
      <c r="Z39" s="93"/>
      <c r="AA39" s="93"/>
    </row>
    <row r="40" spans="1:28" x14ac:dyDescent="0.8">
      <c r="A40" s="190"/>
      <c r="B40" s="191"/>
      <c r="C40" s="192"/>
      <c r="D40" s="143"/>
      <c r="E40" s="71"/>
      <c r="F40" s="71"/>
      <c r="G40" s="384"/>
      <c r="H40" s="190"/>
      <c r="I40" s="191"/>
      <c r="J40" s="192"/>
      <c r="K40" s="143"/>
      <c r="L40" s="71"/>
      <c r="M40" s="71"/>
      <c r="P40" s="93"/>
      <c r="Q40" s="93"/>
      <c r="R40" s="93"/>
      <c r="S40" s="93"/>
      <c r="T40" s="93"/>
      <c r="U40" s="93"/>
      <c r="V40" s="93"/>
      <c r="W40" s="93"/>
      <c r="X40" s="93"/>
      <c r="Y40" s="93"/>
      <c r="Z40" s="93"/>
      <c r="AA40" s="93"/>
    </row>
    <row r="41" spans="1:28" x14ac:dyDescent="0.8">
      <c r="A41" s="190"/>
      <c r="B41" s="191"/>
      <c r="C41" s="192"/>
      <c r="D41" s="143"/>
      <c r="E41" s="119"/>
      <c r="F41" s="119"/>
      <c r="G41" s="384"/>
      <c r="H41" s="190"/>
      <c r="I41" s="191"/>
      <c r="J41" s="192"/>
      <c r="K41" s="143"/>
      <c r="L41" s="119"/>
      <c r="M41" s="119"/>
      <c r="P41" s="93"/>
      <c r="Q41" s="93"/>
      <c r="R41" s="93"/>
      <c r="S41" s="93"/>
      <c r="T41" s="93"/>
      <c r="U41" s="93"/>
      <c r="V41" s="93"/>
      <c r="W41" s="93"/>
      <c r="X41" s="93"/>
      <c r="Y41" s="93"/>
      <c r="Z41" s="93"/>
      <c r="AA41" s="93"/>
    </row>
    <row r="42" spans="1:28" x14ac:dyDescent="0.8">
      <c r="A42" s="190"/>
      <c r="B42" s="191"/>
      <c r="C42" s="192"/>
      <c r="D42" s="143"/>
      <c r="F42" s="10"/>
      <c r="G42" s="384"/>
      <c r="H42" s="190"/>
      <c r="I42" s="191"/>
      <c r="J42" s="192"/>
      <c r="K42" s="143"/>
      <c r="M42" s="10"/>
      <c r="P42" s="73"/>
      <c r="Q42" s="73"/>
      <c r="R42" s="73"/>
      <c r="S42" s="73"/>
      <c r="T42" s="73"/>
      <c r="U42" s="73"/>
      <c r="V42" s="73"/>
      <c r="W42" s="73"/>
      <c r="X42" s="73"/>
      <c r="Y42" s="73"/>
      <c r="Z42" s="73"/>
      <c r="AA42" s="73"/>
    </row>
    <row r="43" spans="1:28" x14ac:dyDescent="0.8">
      <c r="A43" s="156" t="s">
        <v>89</v>
      </c>
      <c r="B43" s="157"/>
      <c r="C43" s="158">
        <f>SUM(C38:C42)</f>
        <v>0</v>
      </c>
      <c r="D43" s="143"/>
      <c r="E43" s="73"/>
      <c r="F43" s="71"/>
      <c r="G43" s="384"/>
      <c r="H43" s="156" t="s">
        <v>90</v>
      </c>
      <c r="I43" s="157"/>
      <c r="J43" s="158">
        <f>SUM(J38:J42)</f>
        <v>0</v>
      </c>
      <c r="K43" s="143"/>
      <c r="L43" s="73"/>
      <c r="M43" s="71"/>
      <c r="P43" s="73"/>
      <c r="Q43" s="73"/>
      <c r="R43" s="73"/>
      <c r="S43" s="73"/>
      <c r="T43" s="73"/>
      <c r="U43" s="73"/>
      <c r="V43" s="73"/>
      <c r="W43" s="73"/>
      <c r="X43" s="73"/>
      <c r="Y43" s="73"/>
      <c r="Z43" s="73"/>
      <c r="AA43" s="73"/>
    </row>
    <row r="44" spans="1:28" ht="16.75" thickBot="1" x14ac:dyDescent="0.95">
      <c r="A44" s="381" t="s">
        <v>22</v>
      </c>
      <c r="B44" s="381"/>
      <c r="C44" s="381"/>
      <c r="D44" s="71"/>
      <c r="E44" s="71"/>
      <c r="F44" s="71"/>
      <c r="G44" s="384"/>
      <c r="H44" s="381" t="s">
        <v>22</v>
      </c>
      <c r="I44" s="381"/>
      <c r="J44" s="381"/>
      <c r="K44" s="71"/>
      <c r="L44" s="71"/>
      <c r="M44" s="71"/>
      <c r="P44" s="93"/>
      <c r="Q44" s="93"/>
      <c r="R44" s="93"/>
      <c r="S44" s="93"/>
      <c r="T44" s="93"/>
      <c r="U44" s="93"/>
      <c r="V44" s="93"/>
      <c r="W44" s="93"/>
      <c r="X44" s="93"/>
      <c r="Y44" s="93"/>
      <c r="Z44" s="93"/>
      <c r="AA44" s="93"/>
    </row>
    <row r="45" spans="1:28" x14ac:dyDescent="0.8">
      <c r="A45" s="111" t="s">
        <v>91</v>
      </c>
      <c r="B45" s="113"/>
      <c r="C45" s="119"/>
      <c r="D45" s="119"/>
      <c r="E45" s="119"/>
      <c r="F45" s="119"/>
      <c r="G45" s="384"/>
      <c r="H45" s="111" t="s">
        <v>91</v>
      </c>
      <c r="I45" s="113"/>
      <c r="J45" s="119"/>
      <c r="K45" s="119"/>
      <c r="L45" s="119"/>
      <c r="M45" s="119"/>
      <c r="O45" s="93"/>
      <c r="P45" s="93"/>
      <c r="Q45" s="93"/>
      <c r="R45" s="93"/>
      <c r="S45" s="93"/>
      <c r="T45" s="93"/>
      <c r="U45" s="93"/>
      <c r="V45" s="93"/>
      <c r="W45" s="93"/>
      <c r="X45" s="93"/>
      <c r="Y45" s="93"/>
      <c r="Z45" s="93"/>
    </row>
    <row r="46" spans="1:28" ht="26.65" customHeight="1" x14ac:dyDescent="0.8">
      <c r="A46" s="70" t="s">
        <v>92</v>
      </c>
      <c r="B46" s="151"/>
      <c r="C46" s="119"/>
      <c r="D46" s="71"/>
      <c r="E46" s="73"/>
      <c r="F46" s="73"/>
      <c r="G46" s="384"/>
      <c r="H46" s="70" t="s">
        <v>92</v>
      </c>
      <c r="I46" s="151"/>
      <c r="J46" s="119"/>
      <c r="K46" s="71"/>
      <c r="L46" s="73"/>
      <c r="M46" s="73"/>
      <c r="O46" s="93"/>
      <c r="P46" s="93"/>
      <c r="Q46" s="93"/>
      <c r="R46" s="93"/>
      <c r="S46" s="93"/>
      <c r="T46" s="93"/>
      <c r="U46" s="93"/>
      <c r="V46" s="93"/>
      <c r="W46" s="93"/>
      <c r="X46" s="93"/>
      <c r="Y46" s="93"/>
      <c r="Z46" s="93"/>
    </row>
    <row r="47" spans="1:28" x14ac:dyDescent="0.8">
      <c r="A47" s="159" t="s">
        <v>93</v>
      </c>
      <c r="B47" s="160" t="s">
        <v>94</v>
      </c>
      <c r="C47" s="117"/>
      <c r="D47" s="117"/>
      <c r="E47" s="143"/>
      <c r="F47" s="109"/>
      <c r="G47" s="384"/>
      <c r="H47" s="159" t="s">
        <v>93</v>
      </c>
      <c r="I47" s="160" t="s">
        <v>95</v>
      </c>
      <c r="J47" s="117"/>
      <c r="K47" s="117"/>
      <c r="L47" s="143"/>
      <c r="M47" s="109"/>
      <c r="O47" s="93"/>
      <c r="P47" s="93"/>
      <c r="Q47" s="93"/>
      <c r="R47" s="93"/>
      <c r="S47" s="93"/>
      <c r="T47" s="93"/>
      <c r="U47" s="93"/>
      <c r="V47" s="93"/>
      <c r="W47" s="93"/>
      <c r="X47" s="93"/>
      <c r="Y47" s="93"/>
      <c r="Z47" s="93"/>
    </row>
    <row r="48" spans="1:28" ht="60" customHeight="1" x14ac:dyDescent="0.8">
      <c r="A48" s="193"/>
      <c r="B48" s="194"/>
      <c r="C48" s="143"/>
      <c r="D48" s="143"/>
      <c r="E48" s="143"/>
      <c r="F48" s="71"/>
      <c r="G48" s="384"/>
      <c r="H48" s="193"/>
      <c r="I48" s="194"/>
      <c r="J48" s="143"/>
      <c r="K48" s="143"/>
      <c r="L48" s="143"/>
      <c r="M48" s="71"/>
      <c r="O48" s="93"/>
      <c r="P48" s="93"/>
      <c r="Q48" s="93"/>
      <c r="R48" s="93"/>
      <c r="S48" s="93"/>
      <c r="T48" s="93"/>
      <c r="U48" s="93"/>
      <c r="V48" s="93"/>
      <c r="W48" s="93"/>
      <c r="X48" s="93"/>
      <c r="Y48" s="93"/>
      <c r="Z48" s="93"/>
    </row>
    <row r="49" spans="1:26" ht="60" customHeight="1" x14ac:dyDescent="0.8">
      <c r="A49" s="193"/>
      <c r="B49" s="194"/>
      <c r="C49" s="143"/>
      <c r="D49" s="143"/>
      <c r="E49" s="155"/>
      <c r="F49" s="155"/>
      <c r="G49" s="384"/>
      <c r="H49" s="193"/>
      <c r="I49" s="194"/>
      <c r="J49" s="143"/>
      <c r="K49" s="143"/>
      <c r="L49" s="155"/>
      <c r="M49" s="155"/>
      <c r="O49" s="93"/>
      <c r="P49" s="93"/>
      <c r="Q49" s="93"/>
      <c r="R49" s="93"/>
      <c r="S49" s="93"/>
      <c r="T49" s="93"/>
      <c r="U49" s="93"/>
      <c r="V49" s="93"/>
      <c r="W49" s="93"/>
      <c r="X49" s="93"/>
      <c r="Y49" s="93"/>
      <c r="Z49" s="93"/>
    </row>
    <row r="50" spans="1:26" ht="60" customHeight="1" x14ac:dyDescent="0.8">
      <c r="A50" s="193"/>
      <c r="B50" s="194"/>
      <c r="C50" s="143"/>
      <c r="D50" s="143"/>
      <c r="E50" s="71"/>
      <c r="F50" s="71"/>
      <c r="G50" s="384"/>
      <c r="H50" s="193"/>
      <c r="I50" s="194"/>
      <c r="J50" s="143"/>
      <c r="K50" s="143"/>
      <c r="L50" s="71"/>
      <c r="M50" s="71"/>
    </row>
    <row r="51" spans="1:26" ht="60" customHeight="1" x14ac:dyDescent="0.8">
      <c r="A51" s="193"/>
      <c r="B51" s="194"/>
      <c r="C51" s="143"/>
      <c r="D51" s="143"/>
      <c r="E51" s="161"/>
      <c r="F51" s="161"/>
      <c r="G51" s="384"/>
      <c r="H51" s="193"/>
      <c r="I51" s="194"/>
      <c r="J51" s="143"/>
      <c r="K51" s="143"/>
      <c r="L51" s="161"/>
      <c r="M51" s="161"/>
    </row>
    <row r="52" spans="1:26" ht="60" customHeight="1" x14ac:dyDescent="0.8">
      <c r="A52" s="193"/>
      <c r="B52" s="194"/>
      <c r="C52" s="143"/>
      <c r="D52" s="143"/>
      <c r="E52" s="162"/>
      <c r="F52" s="162"/>
      <c r="G52" s="384"/>
      <c r="H52" s="193"/>
      <c r="I52" s="194"/>
      <c r="J52" s="143"/>
      <c r="K52" s="143"/>
      <c r="L52" s="162"/>
      <c r="M52" s="162"/>
    </row>
    <row r="53" spans="1:26" x14ac:dyDescent="0.8">
      <c r="A53" s="163" t="s">
        <v>89</v>
      </c>
      <c r="B53" s="164">
        <f>SUM(B48:B52)</f>
        <v>0</v>
      </c>
      <c r="C53" s="143"/>
      <c r="D53" s="143"/>
      <c r="E53" s="73"/>
      <c r="G53" s="384"/>
      <c r="H53" s="165" t="s">
        <v>90</v>
      </c>
      <c r="I53" s="164">
        <f>SUM(I48:I52)</f>
        <v>0</v>
      </c>
      <c r="J53" s="143"/>
      <c r="K53" s="143"/>
      <c r="L53" s="73"/>
    </row>
    <row r="54" spans="1:26" ht="16.75" thickBot="1" x14ac:dyDescent="0.95">
      <c r="A54" s="379" t="s">
        <v>22</v>
      </c>
      <c r="B54" s="379"/>
      <c r="C54" s="10"/>
      <c r="D54" s="71"/>
      <c r="E54" s="71"/>
      <c r="F54" s="71"/>
      <c r="G54" s="384"/>
      <c r="H54" s="379" t="s">
        <v>22</v>
      </c>
      <c r="I54" s="379"/>
      <c r="J54" s="10"/>
      <c r="K54" s="71"/>
      <c r="L54" s="71"/>
      <c r="M54" s="71"/>
    </row>
    <row r="55" spans="1:26" x14ac:dyDescent="0.8">
      <c r="A55" s="166" t="str">
        <f>IF('3b. High Cost Fund'!B5="No","This exception is not valid in your state.","Exception (e) The assumption of cost by the high cost fund operated by the")</f>
        <v>This exception is not valid in your state.</v>
      </c>
      <c r="B55" s="145"/>
      <c r="C55" s="146"/>
      <c r="D55" s="130"/>
      <c r="E55" s="130"/>
      <c r="F55" s="143"/>
      <c r="G55" s="384"/>
      <c r="H55" s="166" t="str">
        <f>IF('3b. High Cost Fund'!B5="No","This exception is not valid in your state.","Exception (e) The assumption of cost by the high cost fund operated by the")</f>
        <v>This exception is not valid in your state.</v>
      </c>
      <c r="I55" s="145"/>
      <c r="J55" s="146"/>
      <c r="K55" s="130"/>
      <c r="L55" s="130"/>
      <c r="M55" s="143"/>
    </row>
    <row r="56" spans="1:26" ht="28.15" customHeight="1" x14ac:dyDescent="0.8">
      <c r="A56" s="70" t="str">
        <f>IF('3b. High Cost Fund'!B5="No","","SEA under §300.704. MUST be explicitly permitted by the SEA.")</f>
        <v/>
      </c>
      <c r="B56" s="167"/>
      <c r="C56" s="168"/>
      <c r="D56" s="169"/>
      <c r="E56" s="162"/>
      <c r="F56" s="143"/>
      <c r="G56" s="384"/>
      <c r="H56" s="70" t="str">
        <f>IF('3b. High Cost Fund'!B5="No","","SEA under §300.704. MUST be explicitly permitted by the SEA.")</f>
        <v/>
      </c>
      <c r="I56" s="167"/>
      <c r="J56" s="146"/>
      <c r="K56" s="169"/>
      <c r="L56" s="162"/>
      <c r="M56" s="143"/>
    </row>
    <row r="57" spans="1:26" x14ac:dyDescent="0.8">
      <c r="A57" s="170" t="s">
        <v>85</v>
      </c>
      <c r="B57" s="171" t="s">
        <v>96</v>
      </c>
      <c r="C57" s="117"/>
      <c r="D57" s="143"/>
      <c r="E57" s="143"/>
      <c r="F57" s="10"/>
      <c r="G57" s="384"/>
      <c r="H57" s="170" t="s">
        <v>85</v>
      </c>
      <c r="I57" s="171" t="s">
        <v>97</v>
      </c>
      <c r="J57" s="117"/>
      <c r="K57" s="143"/>
      <c r="L57" s="143"/>
      <c r="M57" s="10"/>
    </row>
    <row r="58" spans="1:26" ht="15.4" customHeight="1" x14ac:dyDescent="0.8">
      <c r="A58" s="195"/>
      <c r="B58" s="196"/>
      <c r="C58" s="338" t="str">
        <f>IF(AND(B58&lt;&gt;"",'3b. High Cost Fund'!$B5="No"),"Invalid entry. This exception is valid only in states with high-cost funds. If your state has a high-cost fund, please indicate that on tab 3b.","")</f>
        <v/>
      </c>
      <c r="D58" s="143"/>
      <c r="E58" s="143"/>
      <c r="F58" s="10"/>
      <c r="G58" s="384"/>
      <c r="H58" s="195"/>
      <c r="I58" s="196"/>
      <c r="J58" s="338" t="str">
        <f>IF(AND(I58&lt;&gt;"",'3b. High Cost Fund'!$B5="No"),"Invalid entry. This exception is valid only in states with high-cost funds. If your state has a high-cost fund, please indicate that on tab 3b.","")</f>
        <v/>
      </c>
      <c r="K58" s="143"/>
      <c r="L58" s="143"/>
      <c r="M58" s="10"/>
    </row>
    <row r="59" spans="1:26" x14ac:dyDescent="0.8">
      <c r="A59" s="195"/>
      <c r="B59" s="196"/>
      <c r="C59" s="143"/>
      <c r="D59" s="10"/>
      <c r="E59" s="10"/>
      <c r="F59" s="10"/>
      <c r="G59" s="384"/>
      <c r="H59" s="195"/>
      <c r="I59" s="196"/>
      <c r="J59" s="143"/>
      <c r="K59" s="10"/>
      <c r="L59" s="10"/>
      <c r="M59" s="10"/>
    </row>
    <row r="60" spans="1:26" x14ac:dyDescent="0.8">
      <c r="A60" s="195"/>
      <c r="B60" s="196"/>
      <c r="C60" s="143"/>
      <c r="D60" s="10"/>
      <c r="E60" s="10"/>
      <c r="F60" s="10"/>
      <c r="G60" s="384"/>
      <c r="H60" s="195"/>
      <c r="I60" s="196"/>
      <c r="J60" s="143"/>
      <c r="K60" s="10"/>
      <c r="L60" s="10"/>
      <c r="M60" s="10"/>
    </row>
    <row r="61" spans="1:26" x14ac:dyDescent="0.8">
      <c r="A61" s="195"/>
      <c r="B61" s="196"/>
      <c r="C61" s="143"/>
      <c r="D61" s="10"/>
      <c r="E61" s="10"/>
      <c r="F61" s="10"/>
      <c r="G61" s="384"/>
      <c r="H61" s="195"/>
      <c r="I61" s="196"/>
      <c r="J61" s="143"/>
      <c r="K61" s="10"/>
      <c r="L61" s="10"/>
      <c r="M61" s="10"/>
    </row>
    <row r="62" spans="1:26" x14ac:dyDescent="0.8">
      <c r="A62" s="195"/>
      <c r="B62" s="196"/>
      <c r="C62" s="143"/>
      <c r="D62" s="10"/>
      <c r="E62" s="10"/>
      <c r="F62" s="10"/>
      <c r="G62" s="384"/>
      <c r="H62" s="195"/>
      <c r="I62" s="196"/>
      <c r="J62" s="143"/>
      <c r="K62" s="10"/>
      <c r="L62" s="10"/>
      <c r="M62" s="10"/>
    </row>
    <row r="63" spans="1:26" x14ac:dyDescent="0.8">
      <c r="A63" s="172" t="s">
        <v>89</v>
      </c>
      <c r="B63" s="173">
        <f>IF('3b. High Cost Fund'!B5="No",0,SUM(B58:B62))</f>
        <v>0</v>
      </c>
      <c r="C63" s="143"/>
      <c r="D63" s="10"/>
      <c r="E63" s="10"/>
      <c r="F63" s="10"/>
      <c r="G63" s="384"/>
      <c r="H63" s="174" t="s">
        <v>90</v>
      </c>
      <c r="I63" s="173">
        <f>IF('3b. High Cost Fund'!B5="No",0,SUM(I58:I62))</f>
        <v>0</v>
      </c>
      <c r="J63" s="143"/>
      <c r="K63" s="10"/>
      <c r="L63" s="10"/>
      <c r="M63" s="10"/>
    </row>
    <row r="64" spans="1:26" ht="16.75" thickBot="1" x14ac:dyDescent="0.95">
      <c r="A64" s="385" t="s">
        <v>22</v>
      </c>
      <c r="B64" s="385"/>
      <c r="C64" s="143"/>
      <c r="D64" s="10"/>
      <c r="E64" s="10"/>
      <c r="F64" s="10"/>
      <c r="G64" s="384"/>
      <c r="H64" s="385" t="s">
        <v>22</v>
      </c>
      <c r="I64" s="385"/>
      <c r="J64" s="143"/>
      <c r="K64" s="10"/>
      <c r="L64" s="10"/>
      <c r="M64" s="10"/>
    </row>
    <row r="65" spans="1:13" x14ac:dyDescent="0.8">
      <c r="A65" s="347" t="s">
        <v>107</v>
      </c>
      <c r="B65" s="348"/>
      <c r="C65" s="143"/>
      <c r="D65" s="10"/>
      <c r="E65" s="10"/>
      <c r="F65" s="10"/>
      <c r="G65" s="384"/>
      <c r="H65" s="347" t="s">
        <v>106</v>
      </c>
      <c r="I65" s="348"/>
      <c r="J65" s="143"/>
      <c r="K65" s="10"/>
      <c r="L65" s="10"/>
      <c r="M65" s="10"/>
    </row>
    <row r="66" spans="1:13" x14ac:dyDescent="0.8">
      <c r="A66" s="242" t="s">
        <v>123</v>
      </c>
      <c r="B66" s="265" t="s">
        <v>124</v>
      </c>
      <c r="C66" s="143"/>
      <c r="D66" s="10"/>
      <c r="E66" s="10"/>
      <c r="F66" s="10"/>
      <c r="G66" s="384"/>
      <c r="H66" s="269" t="s">
        <v>123</v>
      </c>
      <c r="I66" s="270" t="s">
        <v>124</v>
      </c>
      <c r="J66" s="143"/>
      <c r="K66" s="10"/>
      <c r="L66" s="10"/>
      <c r="M66" s="10"/>
    </row>
    <row r="67" spans="1:13" x14ac:dyDescent="0.8">
      <c r="A67" s="102" t="s">
        <v>0</v>
      </c>
      <c r="B67" s="240">
        <f>IF(B$28&gt;=0,(F$22+C$43+B$53+B$63),(F$22+C$43+B$53+B$63+B$32))</f>
        <v>0</v>
      </c>
      <c r="C67" s="143"/>
      <c r="D67" s="10"/>
      <c r="E67" s="10"/>
      <c r="F67" s="10"/>
      <c r="G67" s="384"/>
      <c r="H67" s="102" t="s">
        <v>0</v>
      </c>
      <c r="I67" s="240">
        <f>IF(I$28&gt;=0,(M$22+J$43+I$53+I$63),(M$22+J$43+I$53+I$63+I$32))</f>
        <v>0</v>
      </c>
      <c r="J67" s="143"/>
      <c r="K67" s="10"/>
      <c r="L67" s="10"/>
      <c r="M67" s="10"/>
    </row>
    <row r="68" spans="1:13" x14ac:dyDescent="0.8">
      <c r="A68" s="241" t="s">
        <v>2</v>
      </c>
      <c r="B68" s="173">
        <f>IF(B$28&gt;=0,(F$22+C$43+B$53+B$63),(F$22+C$43+B$53+B$63+C$32))</f>
        <v>0</v>
      </c>
      <c r="C68" s="143"/>
      <c r="D68" s="10"/>
      <c r="E68" s="10"/>
      <c r="F68" s="10"/>
      <c r="G68" s="384"/>
      <c r="H68" s="241" t="s">
        <v>2</v>
      </c>
      <c r="I68" s="173">
        <f>IF(I$28&gt;=0,(M$22+J$43+I$53+I$63),(M$22+J$43+I$53+I$63+J$32))</f>
        <v>0</v>
      </c>
      <c r="J68" s="143"/>
      <c r="K68" s="10"/>
      <c r="L68" s="10"/>
      <c r="M68" s="10"/>
    </row>
    <row r="69" spans="1:13" ht="16.75" thickBot="1" x14ac:dyDescent="0.95">
      <c r="A69" s="382" t="s">
        <v>22</v>
      </c>
      <c r="B69" s="382"/>
      <c r="C69" s="10"/>
      <c r="D69" s="10"/>
      <c r="E69" s="10"/>
      <c r="F69" s="10"/>
      <c r="G69" s="384"/>
      <c r="H69" s="382" t="s">
        <v>22</v>
      </c>
      <c r="I69" s="382"/>
      <c r="J69" s="10"/>
      <c r="K69" s="10"/>
      <c r="L69" s="10"/>
      <c r="M69" s="10"/>
    </row>
    <row r="70" spans="1:13" ht="31.15" customHeight="1" x14ac:dyDescent="0.8">
      <c r="A70" s="337" t="s">
        <v>98</v>
      </c>
      <c r="B70" s="176"/>
      <c r="C70" s="11"/>
      <c r="D70" s="177"/>
      <c r="E70" s="10"/>
      <c r="F70" s="10"/>
      <c r="G70" s="384"/>
      <c r="H70" s="337" t="s">
        <v>98</v>
      </c>
      <c r="I70" s="176"/>
      <c r="J70" s="11"/>
      <c r="K70" s="177"/>
      <c r="L70" s="10"/>
      <c r="M70" s="10"/>
    </row>
    <row r="71" spans="1:13" x14ac:dyDescent="0.8">
      <c r="A71" s="178" t="s">
        <v>71</v>
      </c>
      <c r="B71" s="179" t="s">
        <v>99</v>
      </c>
      <c r="C71" s="11" t="s">
        <v>100</v>
      </c>
      <c r="E71" s="10"/>
      <c r="F71" s="10"/>
      <c r="G71" s="384"/>
      <c r="H71" s="178" t="s">
        <v>71</v>
      </c>
      <c r="I71" s="179" t="s">
        <v>101</v>
      </c>
      <c r="J71" s="11" t="s">
        <v>100</v>
      </c>
      <c r="K71" s="10"/>
      <c r="L71" s="10"/>
      <c r="M71" s="10"/>
    </row>
    <row r="72" spans="1:13" x14ac:dyDescent="0.8">
      <c r="A72" s="180" t="s">
        <v>102</v>
      </c>
      <c r="B72" s="197">
        <v>0</v>
      </c>
      <c r="C72" s="181" t="s">
        <v>103</v>
      </c>
      <c r="D72" s="10"/>
      <c r="E72" s="10"/>
      <c r="F72" s="10"/>
      <c r="G72" s="384"/>
      <c r="H72" s="180" t="s">
        <v>104</v>
      </c>
      <c r="I72" s="197">
        <v>0</v>
      </c>
      <c r="J72" s="181" t="s">
        <v>103</v>
      </c>
      <c r="K72" s="10"/>
      <c r="L72" s="10"/>
      <c r="M72" s="10"/>
    </row>
    <row r="73" spans="1:13" ht="30" customHeight="1" x14ac:dyDescent="0.8">
      <c r="A73" s="345" t="s">
        <v>183</v>
      </c>
      <c r="B73" s="182"/>
      <c r="C73" s="182"/>
      <c r="D73" s="182"/>
      <c r="E73" s="182"/>
      <c r="F73" s="182"/>
      <c r="G73" s="384"/>
      <c r="H73" s="182"/>
      <c r="I73" s="182"/>
      <c r="J73" s="182"/>
      <c r="K73" s="182"/>
      <c r="L73" s="182"/>
      <c r="M73" s="182"/>
    </row>
    <row r="74" spans="1:13" s="184" customFormat="1" x14ac:dyDescent="0.8">
      <c r="A74" s="358" t="s">
        <v>182</v>
      </c>
      <c r="B74" s="183"/>
      <c r="C74" s="183"/>
      <c r="D74" s="183"/>
      <c r="E74" s="183"/>
      <c r="F74" s="183"/>
      <c r="G74" s="384"/>
      <c r="H74" s="183"/>
      <c r="I74" s="183"/>
      <c r="J74" s="183"/>
      <c r="K74" s="183"/>
      <c r="L74" s="183"/>
      <c r="M74" s="183"/>
    </row>
    <row r="75" spans="1:13" x14ac:dyDescent="0.8">
      <c r="A75" s="380" t="s">
        <v>24</v>
      </c>
      <c r="B75" s="380"/>
      <c r="C75" s="380"/>
      <c r="D75" s="380"/>
      <c r="E75" s="380"/>
      <c r="F75" s="380"/>
      <c r="G75" s="380"/>
      <c r="H75" s="380"/>
      <c r="I75" s="380"/>
      <c r="J75" s="380"/>
      <c r="K75" s="380"/>
      <c r="L75" s="380"/>
      <c r="M75" s="380"/>
    </row>
  </sheetData>
  <sheetProtection algorithmName="SHA-512" hashValue="wOgkwx56jYGknevy7maXaqOBG6FQOI+JiMYNolRld2k1Uv2dhFPvu37UQbtU8nr7RdSDafMoNFwNjxCA71dG+w==" saltValue="lF+9HzocnPdAbk0QLSlrYA==" spinCount="100000" sheet="1" formatColumns="0" formatRows="0"/>
  <mergeCells count="14">
    <mergeCell ref="A54:B54"/>
    <mergeCell ref="H54:I54"/>
    <mergeCell ref="A69:B69"/>
    <mergeCell ref="H69:I69"/>
    <mergeCell ref="A75:M75"/>
    <mergeCell ref="A64:B64"/>
    <mergeCell ref="H64:I64"/>
    <mergeCell ref="G1:G74"/>
    <mergeCell ref="A23:F23"/>
    <mergeCell ref="H23:M23"/>
    <mergeCell ref="A33:C33"/>
    <mergeCell ref="H33:J33"/>
    <mergeCell ref="A44:C44"/>
    <mergeCell ref="H44:J44"/>
  </mergeCells>
  <conditionalFormatting sqref="A55">
    <cfRule type="containsText" dxfId="210" priority="2" operator="containsText" text="not valid">
      <formula>NOT(ISERROR(SEARCH("not valid",A55)))</formula>
    </cfRule>
  </conditionalFormatting>
  <conditionalFormatting sqref="H55">
    <cfRule type="containsText" dxfId="209" priority="1" operator="containsText" text="not valid">
      <formula>NOT(ISERROR(SEARCH("not valid",H55)))</formula>
    </cfRule>
  </conditionalFormatting>
  <dataValidations count="1">
    <dataValidation type="list" allowBlank="1" showInputMessage="1" showErrorMessage="1" sqref="B38:B42 I38:I42" xr:uid="{00000000-0002-0000-0C00-000000000000}">
      <formula1>Exception_c</formula1>
    </dataValidation>
  </dataValidations>
  <hyperlinks>
    <hyperlink ref="C72" r:id="rId1" xr:uid="{00000000-0004-0000-0C00-000000000000}"/>
    <hyperlink ref="J72" r:id="rId2" xr:uid="{00000000-0004-0000-0C00-000001000000}"/>
    <hyperlink ref="A74" r:id="rId3" xr:uid="{390B232F-AD44-4DAF-B9B0-20DBD9339577}"/>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70C0"/>
  </sheetPr>
  <dimension ref="A1:F43"/>
  <sheetViews>
    <sheetView showGridLines="0" workbookViewId="0"/>
  </sheetViews>
  <sheetFormatPr defaultColWidth="0" defaultRowHeight="14.75" zeroHeight="1" x14ac:dyDescent="0.75"/>
  <cols>
    <col min="1" max="1" width="43.40625" bestFit="1" customWidth="1"/>
    <col min="2" max="5" width="33.7265625" customWidth="1"/>
    <col min="6" max="6" width="0.86328125" customWidth="1"/>
    <col min="7" max="16384" width="9.1328125" hidden="1"/>
  </cols>
  <sheetData>
    <row r="1" spans="1:5" ht="21" x14ac:dyDescent="1">
      <c r="A1" s="302" t="str">
        <f>CONCATENATE("Summary of Year 3: State Fiscal Year ",'2. Getting Started'!B6+2)</f>
        <v>Summary of Year 3: State Fiscal Year 2026</v>
      </c>
      <c r="B1" s="300"/>
      <c r="C1" s="300"/>
      <c r="D1" s="21" t="s">
        <v>14</v>
      </c>
      <c r="E1" s="20" t="str">
        <f>IF('2. Getting Started'!B2="","",'2. Getting Started'!B2)</f>
        <v/>
      </c>
    </row>
    <row r="2" spans="1:5" ht="18.5" x14ac:dyDescent="0.9">
      <c r="A2" s="2" t="str">
        <f>CONCATENATE("State fiscal year ",'2. Getting Started'!B6+2," covers the period ",'2. Getting Started'!B4,", ",'2. Getting Started'!B6+1," through ",'2. Getting Started'!B5,", ",'2. Getting Started'!B6+2)</f>
        <v>State fiscal year 2026 covers the period July 1, 2025 through June 30, 2026</v>
      </c>
      <c r="B2" s="300"/>
      <c r="C2" s="300"/>
      <c r="D2" s="301"/>
      <c r="E2" s="300"/>
    </row>
    <row r="3" spans="1:5" ht="18.5" x14ac:dyDescent="0.9">
      <c r="A3" s="8"/>
      <c r="B3" s="18"/>
      <c r="C3" s="18"/>
      <c r="D3" s="201"/>
      <c r="E3" s="18"/>
    </row>
    <row r="4" spans="1:5" ht="16" x14ac:dyDescent="0.8">
      <c r="A4" s="5" t="s">
        <v>7</v>
      </c>
      <c r="B4" s="4"/>
      <c r="C4" s="4"/>
      <c r="D4" s="4"/>
      <c r="E4" s="4"/>
    </row>
    <row r="5" spans="1:5" x14ac:dyDescent="0.75">
      <c r="A5" s="260" t="s">
        <v>125</v>
      </c>
      <c r="B5" s="244" t="s">
        <v>0</v>
      </c>
      <c r="C5" s="244" t="s">
        <v>2</v>
      </c>
      <c r="D5" s="244" t="s">
        <v>3</v>
      </c>
      <c r="E5" s="245" t="s">
        <v>4</v>
      </c>
    </row>
    <row r="6" spans="1:5" x14ac:dyDescent="0.75">
      <c r="A6" s="243" t="s">
        <v>44</v>
      </c>
      <c r="B6" s="3" t="str">
        <f>IF('2. Getting Started'!B10="","",IF('38. Total Local Funds'!$F14="Met",'2. Getting Started'!$B$6,'2. Getting Started'!$B10))</f>
        <v/>
      </c>
      <c r="C6" s="3" t="str">
        <f>IF('2. Getting Started'!B11="","",IF('39. Total State &amp; Local Funds'!$F14="Met",'2. Getting Started'!$B$6,'2. Getting Started'!$B11))</f>
        <v/>
      </c>
      <c r="D6" s="3" t="str">
        <f>IF('2. Getting Started'!B12="","",IF('40. Local Funds Per Capita'!$F15="Met",'2. Getting Started'!$B$6,'2. Getting Started'!$B12))</f>
        <v/>
      </c>
      <c r="E6" s="257" t="str">
        <f>IF('2. Getting Started'!B13="","",IF('41. State &amp; Local Funds Per Cap'!$F15="Met",'2. Getting Started'!$B$6,'2. Getting Started'!$B13))</f>
        <v/>
      </c>
    </row>
    <row r="7" spans="1:5" x14ac:dyDescent="0.75">
      <c r="A7" s="243" t="s">
        <v>45</v>
      </c>
      <c r="B7" s="204" t="str">
        <f>IF(B6="","",IF(B6='2. Getting Started'!$B$6,'5. Year 1 Amounts'!K30,'2. Getting Started'!$C10))</f>
        <v/>
      </c>
      <c r="C7" s="204" t="str">
        <f>IF(C6="","",IF(C6='2. Getting Started'!$B$6,'5. Year 1 Amounts'!M30,'2. Getting Started'!$C11))</f>
        <v/>
      </c>
      <c r="D7" s="204" t="str">
        <f>IF(D6="","",IF(D6='2. Getting Started'!$B$6,'5. Year 1 Amounts'!K31,'2. Getting Started'!$C12))</f>
        <v/>
      </c>
      <c r="E7" s="267" t="str">
        <f>IF(E6="","",IF(E6='2. Getting Started'!$B$6,'5. Year 1 Amounts'!M31,'2. Getting Started'!$C13))</f>
        <v/>
      </c>
    </row>
    <row r="8" spans="1:5" x14ac:dyDescent="0.75">
      <c r="A8" s="243" t="s">
        <v>9</v>
      </c>
      <c r="B8" s="204" t="str">
        <f>'11. Year 3 Amounts'!D30</f>
        <v/>
      </c>
      <c r="C8" s="204" t="str">
        <f>'11. Year 3 Amounts'!F30</f>
        <v/>
      </c>
      <c r="D8" s="204" t="str">
        <f>'11. Year 3 Amounts'!D31</f>
        <v/>
      </c>
      <c r="E8" s="267" t="str">
        <f>'11. Year 3 Amounts'!F31</f>
        <v/>
      </c>
    </row>
    <row r="9" spans="1:5" x14ac:dyDescent="0.75">
      <c r="A9" s="243" t="s">
        <v>117</v>
      </c>
      <c r="B9" s="200" t="str">
        <f>IF(B8="","",IF(B8&gt;=B7,"Met",IF(AND(B8&lt;B7,'38. Total Local Funds'!$B30="Met"),"Met with Exceptions &amp; Adjustments","Did Not Meet")))</f>
        <v/>
      </c>
      <c r="C9" s="200" t="str">
        <f>IF(C8="","",IF(C8&gt;=C7,"Met",IF(AND(C8&lt;C7,'39. Total State &amp; Local Funds'!$B30="Met"),"Met with Exceptions &amp; Adjustments","Did Not Meet")))</f>
        <v/>
      </c>
      <c r="D9" s="200" t="str">
        <f>IF(D8="","",IF(D8&gt;=D7,"Met",IF(AND(D8&lt;D7,'40. Local Funds Per Capita'!$B31="Met"),"Met with Exceptions &amp; Adjustments","Did Not Meet")))</f>
        <v/>
      </c>
      <c r="E9" s="259" t="str">
        <f>IF(E8="","",IF(E8&gt;=E7,"Met",IF(AND(E8&lt;E7,'41. State &amp; Local Funds Per Cap'!$B31="Met"),"Met with Exceptions &amp; Adjustments","Did Not Meet")))</f>
        <v/>
      </c>
    </row>
    <row r="10" spans="1:5" x14ac:dyDescent="0.75">
      <c r="A10" s="246" t="s">
        <v>46</v>
      </c>
      <c r="B10" s="256" t="str">
        <f>IF(B9="","",IF(B9="Did Not Meet",'38. Total Local Funds'!$B28-'38. Total Local Funds'!$B29,0))</f>
        <v/>
      </c>
      <c r="C10" s="256" t="str">
        <f>IF(C9="","",IF(C9="Did Not Meet",'39. Total State &amp; Local Funds'!$B28-'39. Total State &amp; Local Funds'!$B29,0))</f>
        <v/>
      </c>
      <c r="D10" s="256" t="str">
        <f>IF(D9="","",IF(D9="Did Not Meet",(('40. Local Funds Per Capita'!$B29-'40. Local Funds Per Capita'!$B30)*'11. Year 3 Amounts'!B1),0))</f>
        <v/>
      </c>
      <c r="E10" s="261" t="str">
        <f>IF(E9="","",IF(E9="Did Not Meet",(('41. State &amp; Local Funds Per Cap'!$B29-'41. State &amp; Local Funds Per Cap'!$B30)*'11. Year 3 Amounts'!B1),0))</f>
        <v/>
      </c>
    </row>
    <row r="11" spans="1:5" x14ac:dyDescent="0.75">
      <c r="A11" s="373" t="s">
        <v>175</v>
      </c>
      <c r="B11" s="373"/>
      <c r="C11" s="373"/>
      <c r="D11" s="373"/>
      <c r="E11" s="373"/>
    </row>
    <row r="12" spans="1:5" ht="16" x14ac:dyDescent="0.8">
      <c r="A12" s="5" t="s">
        <v>10</v>
      </c>
      <c r="B12" s="5"/>
      <c r="C12" s="5"/>
      <c r="D12" s="5"/>
      <c r="E12" s="5"/>
    </row>
    <row r="13" spans="1:5" x14ac:dyDescent="0.75">
      <c r="A13" s="260" t="s">
        <v>125</v>
      </c>
      <c r="B13" s="244" t="s">
        <v>0</v>
      </c>
      <c r="C13" s="244" t="s">
        <v>2</v>
      </c>
      <c r="D13" s="244" t="s">
        <v>3</v>
      </c>
      <c r="E13" s="245" t="s">
        <v>4</v>
      </c>
    </row>
    <row r="14" spans="1:5" x14ac:dyDescent="0.75">
      <c r="A14" s="243" t="s">
        <v>44</v>
      </c>
      <c r="B14" s="3" t="str">
        <f>IF('2. Getting Started'!B10="","",IF('38. Total Local Funds'!F22="Met",'2. Getting Started'!$B$6+1,IF('38. Total Local Funds'!$F14="Met",'2. Getting Started'!$B$6,'2. Getting Started'!$B10)))</f>
        <v/>
      </c>
      <c r="C14" s="3" t="str">
        <f>IF('2. Getting Started'!B11="","",IF('39. Total State &amp; Local Funds'!F22="Met",'2. Getting Started'!$B$6+1,IF('39. Total State &amp; Local Funds'!$F14="Met",'2. Getting Started'!$B$6,'2. Getting Started'!$B11)))</f>
        <v/>
      </c>
      <c r="D14" s="3" t="str">
        <f>IF('2. Getting Started'!B12="","",IF('40. Local Funds Per Capita'!F23="Met",'2. Getting Started'!$B$6+1,IF('40. Local Funds Per Capita'!$F15="Met",'2. Getting Started'!$B$6,'2. Getting Started'!$B12)))</f>
        <v/>
      </c>
      <c r="E14" s="257" t="str">
        <f>IF('2. Getting Started'!B13="","",IF('41. State &amp; Local Funds Per Cap'!F23="Met",'2. Getting Started'!$B$6+1,IF('41. State &amp; Local Funds Per Cap'!$F15="Met",'2. Getting Started'!$B$6,'2. Getting Started'!$B13)))</f>
        <v/>
      </c>
    </row>
    <row r="15" spans="1:5" x14ac:dyDescent="0.75">
      <c r="A15" s="243" t="s">
        <v>45</v>
      </c>
      <c r="B15" s="17" t="str">
        <f>IF(B14="","",IF(B14='2. Getting Started'!$B$6+1,'8. Year 2 Amounts'!K30,IF(B14='2. Getting Started'!$B$6,'5. Year 1 Amounts'!K30,'2. Getting Started'!$C10)))</f>
        <v/>
      </c>
      <c r="C15" s="17" t="str">
        <f>IF(C14="","",IF(C14='2. Getting Started'!$B$6+1,'8. Year 2 Amounts'!M30,IF(C14='2. Getting Started'!$B$6,'5. Year 1 Amounts'!M30,'2. Getting Started'!$C11)))</f>
        <v/>
      </c>
      <c r="D15" s="17" t="str">
        <f>IF(D14="","",IF(D14='2. Getting Started'!$B$6+1,'8. Year 2 Amounts'!K31,IF(D14='2. Getting Started'!$B$6,'5. Year 1 Amounts'!K31,'2. Getting Started'!$C12)))</f>
        <v/>
      </c>
      <c r="E15" s="258" t="str">
        <f>IF(E14="","",IF(E14='2. Getting Started'!$B$6+1,'8. Year 2 Amounts'!M31,IF(E14='2. Getting Started'!$B$6,'5. Year 1 Amounts'!M31,'2. Getting Started'!$C13)))</f>
        <v/>
      </c>
    </row>
    <row r="16" spans="1:5" x14ac:dyDescent="0.75">
      <c r="A16" s="243" t="s">
        <v>11</v>
      </c>
      <c r="B16" s="17" t="str">
        <f>'11. Year 3 Amounts'!K30</f>
        <v/>
      </c>
      <c r="C16" s="17" t="str">
        <f>'11. Year 3 Amounts'!M30</f>
        <v/>
      </c>
      <c r="D16" s="17" t="str">
        <f>'11. Year 3 Amounts'!K31</f>
        <v/>
      </c>
      <c r="E16" s="258" t="str">
        <f>'11. Year 3 Amounts'!M31</f>
        <v/>
      </c>
    </row>
    <row r="17" spans="1:5" x14ac:dyDescent="0.75">
      <c r="A17" s="243" t="s">
        <v>117</v>
      </c>
      <c r="B17" s="200" t="str">
        <f>IF(B16="","",IF(B16&gt;=B15,"Met",IF(AND(B16&lt;B15,'38. Total Local Funds'!F30="Met"),"Met with Exceptions &amp; Adjustments","Did Not Meet")))</f>
        <v/>
      </c>
      <c r="C17" s="200" t="str">
        <f>IF(C16="","",IF(C16&gt;=C15,"Met",IF(AND(C16&lt;C15,'39. Total State &amp; Local Funds'!F30="Met"),"Met with Exceptions &amp; Adjustments","Did Not Meet")))</f>
        <v/>
      </c>
      <c r="D17" s="200" t="str">
        <f>IF(D16="","",IF(D16&gt;=D15,"Met",IF(AND(D16&lt;D15,'40. Local Funds Per Capita'!F31="Met"),"Met with Exceptions &amp; Adjustments","Did Not Meet")))</f>
        <v/>
      </c>
      <c r="E17" s="259" t="str">
        <f>IF(E16="","",IF(E16&gt;=E15,"Met",IF(AND(E16&lt;E15,'41. State &amp; Local Funds Per Cap'!F31="Met"),"Met with Exceptions &amp; Adjustments","Did Not Meet")))</f>
        <v/>
      </c>
    </row>
    <row r="18" spans="1:5" x14ac:dyDescent="0.75">
      <c r="A18" s="246" t="s">
        <v>46</v>
      </c>
      <c r="B18" s="256" t="str">
        <f>IF(B17="","",IF(B17="Did Not Meet",'38. Total Local Funds'!F28-'38. Total Local Funds'!F29,0))</f>
        <v/>
      </c>
      <c r="C18" s="256" t="str">
        <f>IF(C17="","",IF(C17="Did Not Meet",'39. Total State &amp; Local Funds'!F28-'39. Total State &amp; Local Funds'!F29,0))</f>
        <v/>
      </c>
      <c r="D18" s="256" t="str">
        <f>IF(D17="","",IF(D17="Did Not Meet",(('40. Local Funds Per Capita'!F29-'40. Local Funds Per Capita'!F30)*'11. Year 3 Amounts'!I1),0))</f>
        <v/>
      </c>
      <c r="E18" s="261" t="str">
        <f>IF(E17="","",IF(E17="Did Not Meet",(('41. State &amp; Local Funds Per Cap'!F29-'41. State &amp; Local Funds Per Cap'!F30)*'11. Year 3 Amounts'!I1),0))</f>
        <v/>
      </c>
    </row>
    <row r="19" spans="1:5" x14ac:dyDescent="0.75">
      <c r="A19" s="373" t="s">
        <v>175</v>
      </c>
      <c r="B19" s="373"/>
      <c r="C19" s="373"/>
      <c r="D19" s="373"/>
      <c r="E19" s="373"/>
    </row>
    <row r="20" spans="1:5" ht="16" x14ac:dyDescent="0.8">
      <c r="A20" s="198"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9"/>
    </row>
    <row r="21" spans="1:5" x14ac:dyDescent="0.75">
      <c r="A21" s="260" t="s">
        <v>126</v>
      </c>
      <c r="B21" s="271" t="s">
        <v>129</v>
      </c>
    </row>
    <row r="22" spans="1:5" x14ac:dyDescent="0.75">
      <c r="A22" s="243" t="s">
        <v>110</v>
      </c>
      <c r="B22" s="272"/>
    </row>
    <row r="23" spans="1:5" x14ac:dyDescent="0.75">
      <c r="A23" s="243" t="s">
        <v>111</v>
      </c>
      <c r="B23" s="272"/>
    </row>
    <row r="24" spans="1:5" x14ac:dyDescent="0.75">
      <c r="A24" s="243" t="s">
        <v>112</v>
      </c>
      <c r="B24" s="258">
        <f>B22+B23</f>
        <v>0</v>
      </c>
    </row>
    <row r="25" spans="1:5" x14ac:dyDescent="0.75">
      <c r="A25" s="243" t="s">
        <v>113</v>
      </c>
      <c r="B25" s="258">
        <f>MIN(B24,B18,C18,D18,E18)</f>
        <v>0</v>
      </c>
    </row>
    <row r="26" spans="1:5" x14ac:dyDescent="0.75">
      <c r="A26" s="243" t="s">
        <v>114</v>
      </c>
      <c r="B26" s="273"/>
    </row>
    <row r="27" spans="1:5" x14ac:dyDescent="0.75">
      <c r="A27" s="246" t="s">
        <v>115</v>
      </c>
      <c r="B27" s="274"/>
    </row>
    <row r="28" spans="1:5" x14ac:dyDescent="0.75">
      <c r="A28" s="373" t="s">
        <v>175</v>
      </c>
      <c r="B28" s="373"/>
      <c r="C28" s="373"/>
      <c r="D28" s="373"/>
      <c r="E28" s="373"/>
    </row>
    <row r="29" spans="1:5" ht="16" x14ac:dyDescent="0.8">
      <c r="A29" s="322" t="s">
        <v>149</v>
      </c>
    </row>
    <row r="30" spans="1:5" x14ac:dyDescent="0.75">
      <c r="A30" s="373" t="s">
        <v>175</v>
      </c>
      <c r="B30" s="373"/>
      <c r="C30" s="373"/>
      <c r="D30" s="373"/>
      <c r="E30" s="373"/>
    </row>
    <row r="31" spans="1:5" x14ac:dyDescent="0.75">
      <c r="A31" s="2" t="str">
        <f>CONCATENATE("Exceptions and Adjustment Claimed for State Fiscal Year ",'2. Getting Started'!B6+2)</f>
        <v>Exceptions and Adjustment Claimed for State Fiscal Year 2026</v>
      </c>
    </row>
    <row r="32" spans="1:5" x14ac:dyDescent="0.75">
      <c r="A32" s="2"/>
      <c r="B32" s="323" t="s">
        <v>148</v>
      </c>
      <c r="C32" s="4"/>
      <c r="D32" s="323" t="s">
        <v>152</v>
      </c>
      <c r="E32" s="4"/>
    </row>
    <row r="33" spans="1:5" x14ac:dyDescent="0.75">
      <c r="A33" s="217" t="s">
        <v>151</v>
      </c>
      <c r="B33" s="324" t="s">
        <v>155</v>
      </c>
      <c r="C33" s="324" t="s">
        <v>156</v>
      </c>
      <c r="D33" s="324" t="s">
        <v>153</v>
      </c>
      <c r="E33" s="325" t="s">
        <v>154</v>
      </c>
    </row>
    <row r="34" spans="1:5" x14ac:dyDescent="0.75">
      <c r="A34" s="223" t="s">
        <v>140</v>
      </c>
      <c r="B34" s="17">
        <f>'12. Year 3 Exc &amp; Adj'!F22</f>
        <v>0</v>
      </c>
      <c r="C34" s="17">
        <f>'12. Year 3 Exc &amp; Adj'!F22</f>
        <v>0</v>
      </c>
      <c r="D34" s="17">
        <f>'12. Year 3 Exc &amp; Adj'!M22</f>
        <v>0</v>
      </c>
      <c r="E34" s="258">
        <f>'12. Year 3 Exc &amp; Adj'!M22</f>
        <v>0</v>
      </c>
    </row>
    <row r="35" spans="1:5" x14ac:dyDescent="0.75">
      <c r="A35" s="223" t="s">
        <v>141</v>
      </c>
      <c r="B35" s="17" t="str">
        <f>'12. Year 3 Exc &amp; Adj'!B32</f>
        <v/>
      </c>
      <c r="C35" s="17" t="str">
        <f>'12. Year 3 Exc &amp; Adj'!C32</f>
        <v/>
      </c>
      <c r="D35" s="17" t="str">
        <f>'12. Year 3 Exc &amp; Adj'!I32</f>
        <v/>
      </c>
      <c r="E35" s="258" t="str">
        <f>'12. Year 3 Exc &amp; Adj'!J32</f>
        <v/>
      </c>
    </row>
    <row r="36" spans="1:5" x14ac:dyDescent="0.75">
      <c r="A36" s="223" t="s">
        <v>142</v>
      </c>
      <c r="B36" s="17">
        <f>'12. Year 3 Exc &amp; Adj'!C43</f>
        <v>0</v>
      </c>
      <c r="C36" s="17">
        <f>'12. Year 3 Exc &amp; Adj'!C43</f>
        <v>0</v>
      </c>
      <c r="D36" s="17">
        <f>'12. Year 3 Exc &amp; Adj'!J43</f>
        <v>0</v>
      </c>
      <c r="E36" s="258">
        <f>'12. Year 3 Exc &amp; Adj'!J43</f>
        <v>0</v>
      </c>
    </row>
    <row r="37" spans="1:5" x14ac:dyDescent="0.75">
      <c r="A37" s="223" t="s">
        <v>143</v>
      </c>
      <c r="B37" s="17">
        <f>'12. Year 3 Exc &amp; Adj'!B53</f>
        <v>0</v>
      </c>
      <c r="C37" s="17">
        <f>'12. Year 3 Exc &amp; Adj'!B53</f>
        <v>0</v>
      </c>
      <c r="D37" s="17">
        <f>'12. Year 3 Exc &amp; Adj'!I53</f>
        <v>0</v>
      </c>
      <c r="E37" s="258">
        <f>'12. Year 3 Exc &amp; Adj'!I53</f>
        <v>0</v>
      </c>
    </row>
    <row r="38" spans="1:5" x14ac:dyDescent="0.75">
      <c r="A38" s="223" t="str">
        <f>IF('3b. High Cost Fund'!B5="No","This exception is not valid for your state.","Exception (e)")</f>
        <v>This exception is not valid for your state.</v>
      </c>
      <c r="B38" s="17" t="str">
        <f>IF('3b. High Cost Fund'!B5="No","",'12. Year 3 Exc &amp; Adj'!B63)</f>
        <v/>
      </c>
      <c r="C38" s="17" t="str">
        <f>IF('3b. High Cost Fund'!B5="No","",'12. Year 3 Exc &amp; Adj'!B63)</f>
        <v/>
      </c>
      <c r="D38" s="17" t="str">
        <f>IF('3b. High Cost Fund'!B5="No","",'12. Year 3 Exc &amp; Adj'!I63)</f>
        <v/>
      </c>
      <c r="E38" s="258" t="str">
        <f>IF('3b. High Cost Fund'!B5="No","",'12. Year 3 Exc &amp; Adj'!I63)</f>
        <v/>
      </c>
    </row>
    <row r="39" spans="1:5" x14ac:dyDescent="0.75">
      <c r="A39" s="223" t="s">
        <v>144</v>
      </c>
      <c r="B39" s="17">
        <f>AdjDataYear3Budget[Projected Adjustment]</f>
        <v>0</v>
      </c>
      <c r="C39" s="17">
        <f>AdjDataYear3Budget[Projected Adjustment]</f>
        <v>0</v>
      </c>
      <c r="D39" s="17">
        <f>AdjDataYear3Expenditures[[Adjustment ]]</f>
        <v>0</v>
      </c>
      <c r="E39" s="258">
        <f>AdjDataYear3Expenditures[[Adjustment ]]</f>
        <v>0</v>
      </c>
    </row>
    <row r="40" spans="1:5" x14ac:dyDescent="0.75">
      <c r="A40" s="246" t="s">
        <v>124</v>
      </c>
      <c r="B40" s="329">
        <f>SUM(B34:B39)</f>
        <v>0</v>
      </c>
      <c r="C40" s="329">
        <f>SUM(C34:C39)</f>
        <v>0</v>
      </c>
      <c r="D40" s="329">
        <f>SUM(D34:D39)</f>
        <v>0</v>
      </c>
      <c r="E40" s="330">
        <f>SUM(E34:E39)</f>
        <v>0</v>
      </c>
    </row>
    <row r="41" spans="1:5" ht="27" customHeight="1" x14ac:dyDescent="0.75">
      <c r="A41" s="345" t="s">
        <v>183</v>
      </c>
      <c r="B41" s="346"/>
      <c r="C41" s="346"/>
      <c r="D41" s="346"/>
      <c r="E41" s="346"/>
    </row>
    <row r="42" spans="1:5" ht="16" x14ac:dyDescent="0.8">
      <c r="A42" s="358" t="s">
        <v>182</v>
      </c>
    </row>
    <row r="43" spans="1:5" x14ac:dyDescent="0.75">
      <c r="A43" s="373" t="s">
        <v>24</v>
      </c>
      <c r="B43" s="373"/>
      <c r="C43" s="373"/>
      <c r="D43" s="373"/>
      <c r="E43" s="373"/>
    </row>
  </sheetData>
  <sheetProtection algorithmName="SHA-512" hashValue="2hUSBr2e2swaSBd22wdMYhugnpx4FnVuqcB28XC14B1BiwABXAqLD8fV2Zu/7ip/8BHL+lgFeDURejLRwKg3yw==" saltValue="84HQqHxWxYNfJfmjRKdH8g==" spinCount="100000" sheet="1" objects="1" scenarios="1" formatColumns="0" formatRows="0"/>
  <mergeCells count="5">
    <mergeCell ref="A11:E11"/>
    <mergeCell ref="A19:E19"/>
    <mergeCell ref="A28:E28"/>
    <mergeCell ref="A30:E30"/>
    <mergeCell ref="A43:E43"/>
  </mergeCells>
  <conditionalFormatting sqref="B9:E9">
    <cfRule type="containsText" dxfId="208" priority="1" operator="containsText" text="Did Not Meet">
      <formula>NOT(ISERROR(SEARCH("Did Not Meet",B9)))</formula>
    </cfRule>
    <cfRule type="containsText" dxfId="207" priority="2" operator="containsText" text="Met">
      <formula>NOT(ISERROR(SEARCH("Met",B9)))</formula>
    </cfRule>
  </conditionalFormatting>
  <conditionalFormatting sqref="B17:E17">
    <cfRule type="containsText" dxfId="206" priority="3" operator="containsText" text="Did Not Meet">
      <formula>NOT(ISERROR(SEARCH("Did Not Meet",B17)))</formula>
    </cfRule>
    <cfRule type="containsText" dxfId="205" priority="4" operator="containsText" text="Met">
      <formula>NOT(ISERROR(SEARCH("Met",B17)))</formula>
    </cfRule>
  </conditionalFormatting>
  <hyperlinks>
    <hyperlink ref="A29" location="'4. Multi-Year MOE Summary'!A6" display="Go to the Multi-Year MOE Summary" xr:uid="{00000000-0004-0000-0D00-000000000000}"/>
    <hyperlink ref="A42" r:id="rId1" xr:uid="{680064A1-E8AA-4654-AD81-DECE81D6D3FB}"/>
  </hyperlinks>
  <pageMargins left="0.7" right="0.7" top="0.75" bottom="0.75" header="0.3" footer="0.3"/>
  <pageSetup orientation="landscape" verticalDpi="300" r:id="rId2"/>
  <tableParts count="4">
    <tablePart r:id="rId3"/>
    <tablePart r:id="rId4"/>
    <tablePart r:id="rId5"/>
    <tablePart r:id="rId6"/>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pageSetUpPr autoPageBreaks="0"/>
  </sheetPr>
  <dimension ref="A1:N35"/>
  <sheetViews>
    <sheetView showGridLines="0" workbookViewId="0">
      <pane ySplit="4" topLeftCell="A5" activePane="bottomLeft" state="frozen"/>
      <selection activeCell="D5" sqref="D5"/>
      <selection pane="bottomLeft" activeCell="A5" sqref="A5"/>
    </sheetView>
  </sheetViews>
  <sheetFormatPr defaultColWidth="0" defaultRowHeight="0" customHeight="1" zeroHeight="1" x14ac:dyDescent="0.75"/>
  <cols>
    <col min="1" max="1" width="39.40625" style="20" bestFit="1" customWidth="1"/>
    <col min="2" max="3" width="12.86328125" style="20" customWidth="1"/>
    <col min="4" max="6" width="23.7265625" style="20" customWidth="1"/>
    <col min="7" max="7" width="5.40625" style="20" customWidth="1"/>
    <col min="8" max="8" width="39.40625" style="20" customWidth="1"/>
    <col min="9" max="10" width="12.86328125" style="20" customWidth="1"/>
    <col min="11" max="13" width="23.7265625" style="20" customWidth="1"/>
    <col min="14" max="14" width="0.86328125" style="20" customWidth="1"/>
    <col min="15" max="16384" width="10.54296875" style="20" hidden="1"/>
  </cols>
  <sheetData>
    <row r="1" spans="1:13" ht="16.75" thickBot="1" x14ac:dyDescent="0.9">
      <c r="A1" s="19" t="s">
        <v>48</v>
      </c>
      <c r="B1" s="48"/>
      <c r="D1" s="21" t="s">
        <v>14</v>
      </c>
      <c r="E1" s="20" t="str">
        <f>IF('2. Getting Started'!B2="","",'2. Getting Started'!B2)</f>
        <v/>
      </c>
      <c r="G1" s="376" t="s">
        <v>22</v>
      </c>
      <c r="H1" s="19" t="s">
        <v>49</v>
      </c>
      <c r="I1" s="48"/>
      <c r="K1" s="21" t="s">
        <v>14</v>
      </c>
      <c r="L1" s="20" t="str">
        <f>IF('2. Getting Started'!B2="","",'2. Getting Started'!B2)</f>
        <v/>
      </c>
    </row>
    <row r="2" spans="1:13" s="25" customFormat="1" ht="37.9" customHeight="1" thickBot="1" x14ac:dyDescent="0.9">
      <c r="A2" s="22" t="str">
        <f>CONCATENATE("Eligibility Standard - State Fiscal Year ",'2. Getting Started'!B6+3," -  LEA Effort - Budgeted Amounts")</f>
        <v>Eligibility Standard - State Fiscal Year 2027 -  LEA Effort - Budgeted Amounts</v>
      </c>
      <c r="B2" s="23"/>
      <c r="C2" s="23"/>
      <c r="D2" s="23"/>
      <c r="E2" s="23"/>
      <c r="F2" s="24"/>
      <c r="G2" s="376"/>
      <c r="H2" s="22" t="str">
        <f>CONCATENATE("Compliance Standard - State Fiscal Year ",'2. Getting Started'!B6+3," - LEA Effort - Final Expenditures")</f>
        <v>Compliance Standard - State Fiscal Year 2027 - LEA Effort - Final Expenditures</v>
      </c>
      <c r="I2" s="23"/>
      <c r="J2" s="23"/>
      <c r="K2" s="23"/>
      <c r="L2" s="23"/>
      <c r="M2" s="24"/>
    </row>
    <row r="3" spans="1:13" s="25" customFormat="1" ht="24" customHeight="1" x14ac:dyDescent="0.75">
      <c r="A3" s="26"/>
      <c r="B3" s="27"/>
      <c r="D3" s="28" t="str">
        <f>CONCATENATE("SFY ",'2. Getting Started'!$B6+3," Budget")</f>
        <v>SFY 2027 Budget</v>
      </c>
      <c r="E3" s="29"/>
      <c r="F3" s="30"/>
      <c r="G3" s="376"/>
      <c r="H3" s="26"/>
      <c r="I3" s="27"/>
      <c r="J3" s="31"/>
      <c r="K3" s="28" t="str">
        <f>CONCATENATE("SFY ",'2. Getting Started'!$B6+3," Final Expenditures")</f>
        <v>SFY 2027 Final Expenditures</v>
      </c>
      <c r="L3" s="29"/>
      <c r="M3" s="32"/>
    </row>
    <row r="4" spans="1:13" s="37" customFormat="1" ht="18.5" x14ac:dyDescent="0.9">
      <c r="A4" s="33" t="s">
        <v>50</v>
      </c>
      <c r="B4" s="34" t="s">
        <v>51</v>
      </c>
      <c r="C4" s="35" t="s">
        <v>52</v>
      </c>
      <c r="D4" s="36" t="s">
        <v>53</v>
      </c>
      <c r="E4" s="36" t="s">
        <v>54</v>
      </c>
      <c r="F4" s="36" t="s">
        <v>8</v>
      </c>
      <c r="G4" s="376"/>
      <c r="H4" s="33" t="s">
        <v>50</v>
      </c>
      <c r="I4" s="34" t="s">
        <v>55</v>
      </c>
      <c r="J4" s="35" t="s">
        <v>52</v>
      </c>
      <c r="K4" s="36" t="s">
        <v>53</v>
      </c>
      <c r="L4" s="36" t="s">
        <v>54</v>
      </c>
      <c r="M4" s="36" t="s">
        <v>8</v>
      </c>
    </row>
    <row r="5" spans="1:13" ht="16" x14ac:dyDescent="0.75">
      <c r="A5" s="49"/>
      <c r="B5" s="50"/>
      <c r="C5" s="51"/>
      <c r="D5" s="52"/>
      <c r="E5" s="52"/>
      <c r="F5" s="38" t="str">
        <f>IF(AND(D5="",E5=""),"",SUM(D5:E5))</f>
        <v/>
      </c>
      <c r="G5" s="376"/>
      <c r="H5" s="49"/>
      <c r="I5" s="50"/>
      <c r="J5" s="51"/>
      <c r="K5" s="52"/>
      <c r="L5" s="52"/>
      <c r="M5" s="38" t="str">
        <f>IF(AND(K5="",L5=""),"",SUM(K5:L5))</f>
        <v/>
      </c>
    </row>
    <row r="6" spans="1:13" ht="16" x14ac:dyDescent="0.75">
      <c r="A6" s="49"/>
      <c r="B6" s="50"/>
      <c r="C6" s="51"/>
      <c r="D6" s="52"/>
      <c r="E6" s="52"/>
      <c r="F6" s="38" t="str">
        <f t="shared" ref="F6:F29" si="0">IF(AND(D6="",E6=""),"",SUM(D6:E6))</f>
        <v/>
      </c>
      <c r="G6" s="376"/>
      <c r="H6" s="49"/>
      <c r="I6" s="50"/>
      <c r="J6" s="51"/>
      <c r="K6" s="52"/>
      <c r="L6" s="52"/>
      <c r="M6" s="38" t="str">
        <f t="shared" ref="M6:M29" si="1">IF(AND(K6="",L6=""),"",SUM(K6:L6))</f>
        <v/>
      </c>
    </row>
    <row r="7" spans="1:13" ht="16" x14ac:dyDescent="0.75">
      <c r="A7" s="49"/>
      <c r="B7" s="50"/>
      <c r="C7" s="51"/>
      <c r="D7" s="52"/>
      <c r="E7" s="52"/>
      <c r="F7" s="38" t="str">
        <f t="shared" si="0"/>
        <v/>
      </c>
      <c r="G7" s="376"/>
      <c r="H7" s="49"/>
      <c r="I7" s="50"/>
      <c r="J7" s="51"/>
      <c r="K7" s="52"/>
      <c r="L7" s="52"/>
      <c r="M7" s="38" t="str">
        <f t="shared" si="1"/>
        <v/>
      </c>
    </row>
    <row r="8" spans="1:13" ht="16" x14ac:dyDescent="0.75">
      <c r="A8" s="49"/>
      <c r="B8" s="50"/>
      <c r="C8" s="51"/>
      <c r="D8" s="52"/>
      <c r="E8" s="52"/>
      <c r="F8" s="38" t="str">
        <f t="shared" si="0"/>
        <v/>
      </c>
      <c r="G8" s="376"/>
      <c r="H8" s="49"/>
      <c r="I8" s="50"/>
      <c r="J8" s="51"/>
      <c r="K8" s="52"/>
      <c r="L8" s="52"/>
      <c r="M8" s="38" t="str">
        <f t="shared" si="1"/>
        <v/>
      </c>
    </row>
    <row r="9" spans="1:13" ht="16" x14ac:dyDescent="0.75">
      <c r="A9" s="49"/>
      <c r="B9" s="50"/>
      <c r="C9" s="51"/>
      <c r="D9" s="52"/>
      <c r="E9" s="52"/>
      <c r="F9" s="38" t="str">
        <f t="shared" si="0"/>
        <v/>
      </c>
      <c r="G9" s="376"/>
      <c r="H9" s="49"/>
      <c r="I9" s="50"/>
      <c r="J9" s="51"/>
      <c r="K9" s="52"/>
      <c r="L9" s="52"/>
      <c r="M9" s="38" t="str">
        <f t="shared" si="1"/>
        <v/>
      </c>
    </row>
    <row r="10" spans="1:13" ht="16" x14ac:dyDescent="0.75">
      <c r="A10" s="49"/>
      <c r="B10" s="50"/>
      <c r="C10" s="51"/>
      <c r="D10" s="52"/>
      <c r="E10" s="52"/>
      <c r="F10" s="38" t="str">
        <f t="shared" si="0"/>
        <v/>
      </c>
      <c r="G10" s="376"/>
      <c r="H10" s="49"/>
      <c r="I10" s="50"/>
      <c r="J10" s="51"/>
      <c r="K10" s="52"/>
      <c r="L10" s="52"/>
      <c r="M10" s="38" t="str">
        <f t="shared" si="1"/>
        <v/>
      </c>
    </row>
    <row r="11" spans="1:13" ht="16" x14ac:dyDescent="0.75">
      <c r="A11" s="49"/>
      <c r="B11" s="50"/>
      <c r="C11" s="51"/>
      <c r="D11" s="52"/>
      <c r="E11" s="52"/>
      <c r="F11" s="38" t="str">
        <f t="shared" si="0"/>
        <v/>
      </c>
      <c r="G11" s="376"/>
      <c r="H11" s="49"/>
      <c r="I11" s="50"/>
      <c r="J11" s="51"/>
      <c r="K11" s="52"/>
      <c r="L11" s="52"/>
      <c r="M11" s="38" t="str">
        <f t="shared" si="1"/>
        <v/>
      </c>
    </row>
    <row r="12" spans="1:13" ht="16" x14ac:dyDescent="0.75">
      <c r="A12" s="49"/>
      <c r="B12" s="50"/>
      <c r="C12" s="51"/>
      <c r="D12" s="52"/>
      <c r="E12" s="52"/>
      <c r="F12" s="38" t="str">
        <f t="shared" si="0"/>
        <v/>
      </c>
      <c r="G12" s="376"/>
      <c r="H12" s="49"/>
      <c r="I12" s="50"/>
      <c r="J12" s="51"/>
      <c r="K12" s="52"/>
      <c r="L12" s="52"/>
      <c r="M12" s="38" t="str">
        <f t="shared" si="1"/>
        <v/>
      </c>
    </row>
    <row r="13" spans="1:13" ht="16" x14ac:dyDescent="0.75">
      <c r="A13" s="49"/>
      <c r="B13" s="50"/>
      <c r="C13" s="51"/>
      <c r="D13" s="52"/>
      <c r="E13" s="52"/>
      <c r="F13" s="38" t="str">
        <f t="shared" si="0"/>
        <v/>
      </c>
      <c r="G13" s="376"/>
      <c r="H13" s="49"/>
      <c r="I13" s="50"/>
      <c r="J13" s="51"/>
      <c r="K13" s="52"/>
      <c r="L13" s="52"/>
      <c r="M13" s="38" t="str">
        <f t="shared" si="1"/>
        <v/>
      </c>
    </row>
    <row r="14" spans="1:13" ht="16" x14ac:dyDescent="0.75">
      <c r="A14" s="49"/>
      <c r="B14" s="50"/>
      <c r="C14" s="51"/>
      <c r="D14" s="52"/>
      <c r="E14" s="52"/>
      <c r="F14" s="38" t="str">
        <f t="shared" si="0"/>
        <v/>
      </c>
      <c r="G14" s="376"/>
      <c r="H14" s="49"/>
      <c r="I14" s="50"/>
      <c r="J14" s="51"/>
      <c r="K14" s="52"/>
      <c r="L14" s="52"/>
      <c r="M14" s="38" t="str">
        <f t="shared" si="1"/>
        <v/>
      </c>
    </row>
    <row r="15" spans="1:13" ht="16" x14ac:dyDescent="0.75">
      <c r="A15" s="49"/>
      <c r="B15" s="50"/>
      <c r="C15" s="51"/>
      <c r="D15" s="52"/>
      <c r="E15" s="52"/>
      <c r="F15" s="38" t="str">
        <f t="shared" si="0"/>
        <v/>
      </c>
      <c r="G15" s="376"/>
      <c r="H15" s="49"/>
      <c r="I15" s="50"/>
      <c r="J15" s="51"/>
      <c r="K15" s="52"/>
      <c r="L15" s="52"/>
      <c r="M15" s="38" t="str">
        <f t="shared" si="1"/>
        <v/>
      </c>
    </row>
    <row r="16" spans="1:13" ht="16" x14ac:dyDescent="0.75">
      <c r="A16" s="49"/>
      <c r="B16" s="50"/>
      <c r="C16" s="51"/>
      <c r="D16" s="52"/>
      <c r="E16" s="52"/>
      <c r="F16" s="38" t="str">
        <f t="shared" si="0"/>
        <v/>
      </c>
      <c r="G16" s="376"/>
      <c r="H16" s="49"/>
      <c r="I16" s="50"/>
      <c r="J16" s="51"/>
      <c r="K16" s="52"/>
      <c r="L16" s="52"/>
      <c r="M16" s="38" t="str">
        <f t="shared" si="1"/>
        <v/>
      </c>
    </row>
    <row r="17" spans="1:13" ht="16" x14ac:dyDescent="0.75">
      <c r="A17" s="49"/>
      <c r="B17" s="50"/>
      <c r="C17" s="51"/>
      <c r="D17" s="52"/>
      <c r="E17" s="52"/>
      <c r="F17" s="38" t="str">
        <f t="shared" si="0"/>
        <v/>
      </c>
      <c r="G17" s="376"/>
      <c r="H17" s="49"/>
      <c r="I17" s="50"/>
      <c r="J17" s="51"/>
      <c r="K17" s="52"/>
      <c r="L17" s="52"/>
      <c r="M17" s="38" t="str">
        <f t="shared" si="1"/>
        <v/>
      </c>
    </row>
    <row r="18" spans="1:13" ht="16" x14ac:dyDescent="0.75">
      <c r="A18" s="49"/>
      <c r="B18" s="50"/>
      <c r="C18" s="51"/>
      <c r="D18" s="52"/>
      <c r="E18" s="52"/>
      <c r="F18" s="38" t="str">
        <f t="shared" si="0"/>
        <v/>
      </c>
      <c r="G18" s="376"/>
      <c r="H18" s="49"/>
      <c r="I18" s="50"/>
      <c r="J18" s="51"/>
      <c r="K18" s="52"/>
      <c r="L18" s="52"/>
      <c r="M18" s="38" t="str">
        <f t="shared" si="1"/>
        <v/>
      </c>
    </row>
    <row r="19" spans="1:13" ht="16" x14ac:dyDescent="0.75">
      <c r="A19" s="49"/>
      <c r="B19" s="50"/>
      <c r="C19" s="51"/>
      <c r="D19" s="52"/>
      <c r="E19" s="52"/>
      <c r="F19" s="38" t="str">
        <f t="shared" si="0"/>
        <v/>
      </c>
      <c r="G19" s="376"/>
      <c r="H19" s="49"/>
      <c r="I19" s="50"/>
      <c r="J19" s="51"/>
      <c r="K19" s="52"/>
      <c r="L19" s="52"/>
      <c r="M19" s="38" t="str">
        <f t="shared" si="1"/>
        <v/>
      </c>
    </row>
    <row r="20" spans="1:13" ht="16" x14ac:dyDescent="0.75">
      <c r="A20" s="49"/>
      <c r="B20" s="50"/>
      <c r="C20" s="51"/>
      <c r="D20" s="52"/>
      <c r="E20" s="52"/>
      <c r="F20" s="38" t="str">
        <f t="shared" si="0"/>
        <v/>
      </c>
      <c r="G20" s="376"/>
      <c r="H20" s="49"/>
      <c r="I20" s="50"/>
      <c r="J20" s="51"/>
      <c r="K20" s="52"/>
      <c r="L20" s="52"/>
      <c r="M20" s="38" t="str">
        <f t="shared" si="1"/>
        <v/>
      </c>
    </row>
    <row r="21" spans="1:13" ht="16" x14ac:dyDescent="0.75">
      <c r="A21" s="49"/>
      <c r="B21" s="50"/>
      <c r="C21" s="51"/>
      <c r="D21" s="52"/>
      <c r="E21" s="52"/>
      <c r="F21" s="38" t="str">
        <f t="shared" si="0"/>
        <v/>
      </c>
      <c r="G21" s="376"/>
      <c r="H21" s="49"/>
      <c r="I21" s="50"/>
      <c r="J21" s="51"/>
      <c r="K21" s="52"/>
      <c r="L21" s="52"/>
      <c r="M21" s="38" t="str">
        <f t="shared" si="1"/>
        <v/>
      </c>
    </row>
    <row r="22" spans="1:13" ht="16" x14ac:dyDescent="0.75">
      <c r="A22" s="49"/>
      <c r="B22" s="50"/>
      <c r="C22" s="51"/>
      <c r="D22" s="52"/>
      <c r="E22" s="52"/>
      <c r="F22" s="38" t="str">
        <f t="shared" si="0"/>
        <v/>
      </c>
      <c r="G22" s="376"/>
      <c r="H22" s="49"/>
      <c r="I22" s="50"/>
      <c r="J22" s="51"/>
      <c r="K22" s="52"/>
      <c r="L22" s="52"/>
      <c r="M22" s="38" t="str">
        <f t="shared" si="1"/>
        <v/>
      </c>
    </row>
    <row r="23" spans="1:13" ht="16" x14ac:dyDescent="0.75">
      <c r="A23" s="49"/>
      <c r="B23" s="50"/>
      <c r="C23" s="51"/>
      <c r="D23" s="52"/>
      <c r="E23" s="52"/>
      <c r="F23" s="38" t="str">
        <f t="shared" si="0"/>
        <v/>
      </c>
      <c r="G23" s="376"/>
      <c r="H23" s="49"/>
      <c r="I23" s="50"/>
      <c r="J23" s="51"/>
      <c r="K23" s="52"/>
      <c r="L23" s="52"/>
      <c r="M23" s="38" t="str">
        <f t="shared" si="1"/>
        <v/>
      </c>
    </row>
    <row r="24" spans="1:13" ht="16" x14ac:dyDescent="0.75">
      <c r="A24" s="49"/>
      <c r="B24" s="50"/>
      <c r="C24" s="51"/>
      <c r="D24" s="52"/>
      <c r="E24" s="52"/>
      <c r="F24" s="38" t="str">
        <f t="shared" si="0"/>
        <v/>
      </c>
      <c r="G24" s="376"/>
      <c r="H24" s="49"/>
      <c r="I24" s="50"/>
      <c r="J24" s="51"/>
      <c r="K24" s="52"/>
      <c r="L24" s="52"/>
      <c r="M24" s="38" t="str">
        <f t="shared" si="1"/>
        <v/>
      </c>
    </row>
    <row r="25" spans="1:13" ht="16" x14ac:dyDescent="0.75">
      <c r="A25" s="49"/>
      <c r="B25" s="50"/>
      <c r="C25" s="51"/>
      <c r="D25" s="52"/>
      <c r="E25" s="52"/>
      <c r="F25" s="38" t="str">
        <f t="shared" si="0"/>
        <v/>
      </c>
      <c r="G25" s="376"/>
      <c r="H25" s="49"/>
      <c r="I25" s="50"/>
      <c r="J25" s="51"/>
      <c r="K25" s="52"/>
      <c r="L25" s="52"/>
      <c r="M25" s="38" t="str">
        <f t="shared" si="1"/>
        <v/>
      </c>
    </row>
    <row r="26" spans="1:13" ht="16" x14ac:dyDescent="0.75">
      <c r="A26" s="49"/>
      <c r="B26" s="50"/>
      <c r="C26" s="51"/>
      <c r="D26" s="52"/>
      <c r="E26" s="52"/>
      <c r="F26" s="38" t="str">
        <f t="shared" si="0"/>
        <v/>
      </c>
      <c r="G26" s="376"/>
      <c r="H26" s="49"/>
      <c r="I26" s="50"/>
      <c r="J26" s="51"/>
      <c r="K26" s="52"/>
      <c r="L26" s="52"/>
      <c r="M26" s="38" t="str">
        <f t="shared" si="1"/>
        <v/>
      </c>
    </row>
    <row r="27" spans="1:13" ht="16" x14ac:dyDescent="0.75">
      <c r="A27" s="49"/>
      <c r="B27" s="50"/>
      <c r="C27" s="51"/>
      <c r="D27" s="52"/>
      <c r="E27" s="52"/>
      <c r="F27" s="38" t="str">
        <f t="shared" si="0"/>
        <v/>
      </c>
      <c r="G27" s="376"/>
      <c r="H27" s="49"/>
      <c r="I27" s="50"/>
      <c r="J27" s="51"/>
      <c r="K27" s="52"/>
      <c r="L27" s="52"/>
      <c r="M27" s="38" t="str">
        <f t="shared" si="1"/>
        <v/>
      </c>
    </row>
    <row r="28" spans="1:13" ht="16" x14ac:dyDescent="0.75">
      <c r="A28" s="49"/>
      <c r="B28" s="50"/>
      <c r="C28" s="51"/>
      <c r="D28" s="52"/>
      <c r="E28" s="52"/>
      <c r="F28" s="38" t="str">
        <f t="shared" si="0"/>
        <v/>
      </c>
      <c r="G28" s="376"/>
      <c r="H28" s="49"/>
      <c r="I28" s="50"/>
      <c r="J28" s="51"/>
      <c r="K28" s="52"/>
      <c r="L28" s="52"/>
      <c r="M28" s="38" t="str">
        <f t="shared" si="1"/>
        <v/>
      </c>
    </row>
    <row r="29" spans="1:13" ht="16.75" thickBot="1" x14ac:dyDescent="0.9">
      <c r="A29" s="53"/>
      <c r="B29" s="54"/>
      <c r="C29" s="55"/>
      <c r="D29" s="56"/>
      <c r="E29" s="56"/>
      <c r="F29" s="38" t="str">
        <f t="shared" si="0"/>
        <v/>
      </c>
      <c r="G29" s="376"/>
      <c r="H29" s="53"/>
      <c r="I29" s="54"/>
      <c r="J29" s="55"/>
      <c r="K29" s="56"/>
      <c r="L29" s="56"/>
      <c r="M29" s="38" t="str">
        <f t="shared" si="1"/>
        <v/>
      </c>
    </row>
    <row r="30" spans="1:13" ht="19.25" thickBot="1" x14ac:dyDescent="0.9">
      <c r="A30" s="39"/>
      <c r="B30" s="40"/>
      <c r="C30" s="41" t="s">
        <v>56</v>
      </c>
      <c r="D30" s="42" t="str">
        <f>IF(AND(D5="",D6="",D7="",D8="",D9="",D10="",D11="",D12="",D13="",D14="",D15="",D16="",D17="",D18="",D19="",D20="",D21="",D22="",D23="",D24="",D25="",D26="",D27="",D28="",D29=""),"",SUM(D5:D29))</f>
        <v/>
      </c>
      <c r="E30" s="43"/>
      <c r="F30" s="42" t="str">
        <f>IF(AND(F5="",F6="",F7="",F8="",F9="",F10="",F11="",F12="",F13="",F14="",F15="",F16="",F17="",F18="",F19="",F20="",F21="",F22="",F23="",F24="",F25="",F26="",F27="",F28="",F29=""),"",SUM(F5:F29))</f>
        <v/>
      </c>
      <c r="G30" s="376"/>
      <c r="H30" s="39"/>
      <c r="I30" s="40"/>
      <c r="J30" s="41" t="s">
        <v>56</v>
      </c>
      <c r="K30" s="42" t="str">
        <f>IF(AND(K5="",K6="",K7="",K8="",K9="",K10="",K11="",K12="",K13="",K14="",K15="",K16="",K17="",K18="",K19="",K20="",K21="",K22="",K23="",K24="",K25="",K26="",K27="",K28="",K29=""),"",SUM(K5:K29))</f>
        <v/>
      </c>
      <c r="L30" s="43"/>
      <c r="M30" s="42" t="str">
        <f>IF(AND(M5="",M6="",M7="",M8="",M9="",M10="",M11="",M12="",M13="",M14="",M15="",M16="",M17="",M18="",M19="",M20="",M21="",M22="",M23="",M24="",M25="",M26="",M27="",M28="",M29=""),"",SUM(M5:M29))</f>
        <v/>
      </c>
    </row>
    <row r="31" spans="1:13" ht="19.25" thickBot="1" x14ac:dyDescent="0.9">
      <c r="A31" s="39"/>
      <c r="B31" s="39"/>
      <c r="C31" s="44" t="s">
        <v>57</v>
      </c>
      <c r="D31" s="42" t="str">
        <f>IF(OR($B1="",D30=""),"",(D30/$B1))</f>
        <v/>
      </c>
      <c r="E31" s="39"/>
      <c r="F31" s="42" t="str">
        <f>IF(OR($B1="",F30=""),"",(F30/$B1))</f>
        <v/>
      </c>
      <c r="G31" s="376"/>
      <c r="H31" s="39"/>
      <c r="I31" s="39"/>
      <c r="J31" s="44" t="s">
        <v>57</v>
      </c>
      <c r="K31" s="42" t="str">
        <f>IF(OR($I1="",K30=""),"",(K30/$I1))</f>
        <v/>
      </c>
      <c r="L31" s="39"/>
      <c r="M31" s="42" t="str">
        <f>IF(OR($I1="",M30=""),"",(M30/$I1))</f>
        <v/>
      </c>
    </row>
    <row r="32" spans="1:13" s="25" customFormat="1" ht="18.5" x14ac:dyDescent="0.65">
      <c r="A32" s="345" t="s">
        <v>183</v>
      </c>
      <c r="B32" s="45"/>
      <c r="C32" s="45"/>
      <c r="D32" s="45"/>
      <c r="E32" s="45"/>
      <c r="F32" s="45"/>
      <c r="G32" s="45"/>
      <c r="H32" s="45"/>
      <c r="I32" s="45"/>
      <c r="J32" s="45"/>
      <c r="K32" s="45"/>
      <c r="L32" s="45"/>
      <c r="M32" s="45"/>
    </row>
    <row r="33" spans="1:13" s="47" customFormat="1" ht="16" x14ac:dyDescent="0.8">
      <c r="A33" s="358" t="s">
        <v>182</v>
      </c>
      <c r="B33" s="46"/>
      <c r="C33" s="46"/>
      <c r="D33" s="46"/>
      <c r="E33" s="46"/>
      <c r="F33" s="46"/>
      <c r="G33" s="46"/>
      <c r="H33" s="46"/>
      <c r="I33" s="46"/>
      <c r="J33" s="46"/>
      <c r="K33" s="46"/>
      <c r="L33" s="46"/>
      <c r="M33" s="46"/>
    </row>
    <row r="34" spans="1:13" s="25" customFormat="1" ht="18.5" x14ac:dyDescent="0.75">
      <c r="A34" s="377" t="s">
        <v>24</v>
      </c>
      <c r="B34" s="377"/>
      <c r="C34" s="377"/>
      <c r="D34" s="377"/>
      <c r="E34" s="377"/>
      <c r="F34" s="377"/>
      <c r="G34" s="377"/>
      <c r="H34" s="377"/>
      <c r="I34" s="377"/>
      <c r="J34" s="377"/>
      <c r="K34" s="377"/>
      <c r="L34" s="377"/>
      <c r="M34" s="377"/>
    </row>
    <row r="35" spans="1:13" ht="16" hidden="1" x14ac:dyDescent="0.75"/>
  </sheetData>
  <sheetProtection algorithmName="SHA-512" hashValue="2GCq/9mq7XkF+NojJSzos3MAfR5Hvb0fLsik9T1TQgkowzk8bBdrA1Zq/xMShrkXpR+5wtwwh/U3LqOYMOTTCQ==" saltValue="Zrh0TzbXTn3gF+uisXl2kA=="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0E00-000000000000}"/>
    <dataValidation allowBlank="1" showInputMessage="1" showErrorMessage="1" prompt="Don't forget to enter Child Count in Cell I1." sqref="H5" xr:uid="{00000000-0002-0000-0E00-000001000000}"/>
  </dataValidations>
  <hyperlinks>
    <hyperlink ref="A33" r:id="rId1" xr:uid="{6F3739E8-3115-4608-9D0B-98F375EE1D4C}"/>
  </hyperlinks>
  <pageMargins left="0.75" right="0.75" top="1" bottom="1" header="0.5" footer="0.5"/>
  <pageSetup orientation="portrait" horizontalDpi="4294967292" verticalDpi="4294967292" r:id="rId2"/>
  <tableParts count="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pageSetUpPr autoPageBreaks="0"/>
  </sheetPr>
  <dimension ref="A1:AB75"/>
  <sheetViews>
    <sheetView showGridLines="0" zoomScale="90" zoomScaleNormal="90" zoomScalePageLayoutView="90" workbookViewId="0">
      <pane ySplit="3" topLeftCell="A4" activePane="bottomLeft" state="frozen"/>
      <selection activeCell="D21" sqref="D21"/>
      <selection pane="bottomLeft" activeCell="E1" sqref="E1"/>
    </sheetView>
  </sheetViews>
  <sheetFormatPr defaultColWidth="0" defaultRowHeight="16" zeroHeight="1" x14ac:dyDescent="0.8"/>
  <cols>
    <col min="1" max="1" width="40.26953125" style="57" customWidth="1"/>
    <col min="2" max="2" width="32.86328125" style="57" bestFit="1" customWidth="1"/>
    <col min="3" max="3" width="28" style="57" customWidth="1"/>
    <col min="4" max="5" width="28.26953125" style="57" customWidth="1"/>
    <col min="6" max="6" width="34" style="57" bestFit="1" customWidth="1"/>
    <col min="7" max="7" width="28.26953125" style="57" customWidth="1"/>
    <col min="8" max="8" width="40.26953125" style="57" customWidth="1"/>
    <col min="9" max="9" width="32.86328125" style="57" bestFit="1" customWidth="1"/>
    <col min="10" max="12" width="28.26953125" style="57" customWidth="1"/>
    <col min="13" max="13" width="34" style="57" bestFit="1" customWidth="1"/>
    <col min="14" max="14" width="0.86328125" style="57" customWidth="1"/>
    <col min="15" max="18" width="12.26953125" style="57" hidden="1" customWidth="1"/>
    <col min="19" max="19" width="13.7265625" style="57" hidden="1" customWidth="1"/>
    <col min="20" max="16384" width="12.26953125" style="57" hidden="1"/>
  </cols>
  <sheetData>
    <row r="1" spans="1:20" ht="25.9" customHeight="1" x14ac:dyDescent="0.8">
      <c r="A1" s="368" t="s">
        <v>58</v>
      </c>
      <c r="D1" s="58" t="s">
        <v>14</v>
      </c>
      <c r="E1" s="10" t="str">
        <f>IF('2. Getting Started'!$B2="","",'2. Getting Started'!$B2)</f>
        <v/>
      </c>
      <c r="G1" s="384" t="s">
        <v>177</v>
      </c>
      <c r="K1" s="58" t="s">
        <v>14</v>
      </c>
      <c r="L1" s="10" t="str">
        <f>IF('2. Getting Started'!$B2="","",'2. Getting Started'!$B2)</f>
        <v/>
      </c>
    </row>
    <row r="2" spans="1:20" ht="25.9" customHeight="1" thickBot="1" x14ac:dyDescent="0.95">
      <c r="A2" s="369" t="s">
        <v>171</v>
      </c>
      <c r="D2" s="58"/>
      <c r="E2" s="10"/>
      <c r="G2" s="384"/>
      <c r="H2" s="369" t="s">
        <v>171</v>
      </c>
      <c r="K2" s="58"/>
      <c r="L2" s="10"/>
    </row>
    <row r="3" spans="1:20" ht="25.9" customHeight="1" thickBot="1" x14ac:dyDescent="0.95">
      <c r="A3" s="59" t="str">
        <f>CONCATENATE("Eligibility Standard -- Exceptions to MOE as Permitted by 34 CFR §300.204 and Adjustment to MOE as Permitted by 34 CFR §300.205 -- Projections for State Fiscal Year ",'2. Getting Started'!B6+3," Budget")</f>
        <v>Eligibility Standard -- Exceptions to MOE as Permitted by 34 CFR §300.204 and Adjustment to MOE as Permitted by 34 CFR §300.205 -- Projections for State Fiscal Year 2027 Budget</v>
      </c>
      <c r="B3" s="60"/>
      <c r="C3" s="60"/>
      <c r="D3" s="60"/>
      <c r="E3" s="60"/>
      <c r="F3" s="61"/>
      <c r="G3" s="384"/>
      <c r="H3" s="59" t="str">
        <f>CONCATENATE("Compliance Standard -- Exceptions to MOE as Permitted by 34 CFR §300.204 and Adjustment to MOE as Permitted by 34 CFR §300.205 -- Final Expenditures for  State Fiscal Year ",'2. Getting Started'!B6+3)</f>
        <v>Compliance Standard -- Exceptions to MOE as Permitted by 34 CFR §300.204 and Adjustment to MOE as Permitted by 34 CFR §300.205 -- Final Expenditures for  State Fiscal Year 2027</v>
      </c>
      <c r="I3" s="60"/>
      <c r="J3" s="60"/>
      <c r="K3" s="60"/>
      <c r="L3" s="60"/>
      <c r="M3" s="61"/>
      <c r="O3" s="63"/>
      <c r="P3" s="63"/>
      <c r="Q3" s="63"/>
      <c r="R3" s="63"/>
      <c r="S3" s="63"/>
      <c r="T3" s="63"/>
    </row>
    <row r="4" spans="1:20" x14ac:dyDescent="0.8">
      <c r="A4" s="64" t="s">
        <v>59</v>
      </c>
      <c r="B4" s="65"/>
      <c r="C4" s="66"/>
      <c r="D4" s="66"/>
      <c r="E4" s="66"/>
      <c r="F4" s="67"/>
      <c r="G4" s="384"/>
      <c r="H4" s="64" t="s">
        <v>59</v>
      </c>
      <c r="I4" s="65"/>
      <c r="J4" s="66"/>
      <c r="K4" s="66"/>
      <c r="L4" s="66"/>
      <c r="M4" s="67"/>
      <c r="N4" s="69"/>
      <c r="O4" s="69"/>
      <c r="P4" s="69"/>
      <c r="Q4" s="69"/>
      <c r="R4" s="69"/>
      <c r="S4" s="69"/>
    </row>
    <row r="5" spans="1:20" x14ac:dyDescent="0.8">
      <c r="A5" s="70" t="s">
        <v>60</v>
      </c>
      <c r="B5" s="71"/>
      <c r="C5" s="68"/>
      <c r="D5" s="68"/>
      <c r="E5" s="68"/>
      <c r="F5" s="72"/>
      <c r="G5" s="384"/>
      <c r="H5" s="70" t="s">
        <v>60</v>
      </c>
      <c r="I5" s="71"/>
      <c r="J5" s="68"/>
      <c r="K5" s="68"/>
      <c r="L5" s="68"/>
      <c r="M5" s="72"/>
      <c r="N5" s="73"/>
      <c r="O5" s="73"/>
      <c r="P5" s="73"/>
      <c r="Q5" s="73"/>
      <c r="R5" s="73"/>
    </row>
    <row r="6" spans="1:20" ht="35.65" customHeight="1" thickBot="1" x14ac:dyDescent="0.95">
      <c r="A6" s="74" t="s">
        <v>61</v>
      </c>
      <c r="B6" s="75"/>
      <c r="C6" s="75"/>
      <c r="D6" s="75"/>
      <c r="E6" s="75"/>
      <c r="F6" s="76"/>
      <c r="G6" s="384"/>
      <c r="H6" s="74" t="s">
        <v>61</v>
      </c>
      <c r="I6" s="75"/>
      <c r="J6" s="75"/>
      <c r="K6" s="75"/>
      <c r="L6" s="75"/>
      <c r="M6" s="76"/>
      <c r="N6" s="73"/>
      <c r="O6" s="73"/>
      <c r="P6" s="73"/>
      <c r="Q6" s="73"/>
      <c r="R6" s="73"/>
      <c r="S6" s="73"/>
    </row>
    <row r="7" spans="1:20" x14ac:dyDescent="0.8">
      <c r="A7" s="77" t="s">
        <v>62</v>
      </c>
      <c r="B7" s="78" t="s">
        <v>63</v>
      </c>
      <c r="C7" s="79" t="s">
        <v>64</v>
      </c>
      <c r="D7" s="79" t="s">
        <v>65</v>
      </c>
      <c r="E7" s="80" t="s">
        <v>66</v>
      </c>
      <c r="F7" s="81" t="s">
        <v>67</v>
      </c>
      <c r="G7" s="384"/>
      <c r="H7" s="77" t="s">
        <v>62</v>
      </c>
      <c r="I7" s="78" t="s">
        <v>63</v>
      </c>
      <c r="J7" s="79" t="s">
        <v>64</v>
      </c>
      <c r="K7" s="79" t="s">
        <v>65</v>
      </c>
      <c r="L7" s="80" t="s">
        <v>66</v>
      </c>
      <c r="M7" s="81" t="s">
        <v>68</v>
      </c>
      <c r="N7" s="73"/>
      <c r="O7" s="73"/>
    </row>
    <row r="8" spans="1:20" x14ac:dyDescent="0.8">
      <c r="A8" s="185"/>
      <c r="B8" s="186"/>
      <c r="C8" s="186"/>
      <c r="D8" s="187"/>
      <c r="E8" s="187"/>
      <c r="F8" s="83">
        <f>D8+E8</f>
        <v>0</v>
      </c>
      <c r="G8" s="384"/>
      <c r="H8" s="185"/>
      <c r="I8" s="186"/>
      <c r="J8" s="186"/>
      <c r="K8" s="187"/>
      <c r="L8" s="187"/>
      <c r="M8" s="83">
        <f>K8+L8</f>
        <v>0</v>
      </c>
      <c r="N8" s="84"/>
      <c r="O8" s="84"/>
    </row>
    <row r="9" spans="1:20" x14ac:dyDescent="0.8">
      <c r="A9" s="185"/>
      <c r="B9" s="186"/>
      <c r="C9" s="186"/>
      <c r="D9" s="187"/>
      <c r="E9" s="187"/>
      <c r="F9" s="83">
        <f>D9+E9</f>
        <v>0</v>
      </c>
      <c r="G9" s="384"/>
      <c r="H9" s="185"/>
      <c r="I9" s="186"/>
      <c r="J9" s="186"/>
      <c r="K9" s="187"/>
      <c r="L9" s="187"/>
      <c r="M9" s="83">
        <f>K9+L9</f>
        <v>0</v>
      </c>
      <c r="N9" s="84"/>
      <c r="O9" s="84"/>
    </row>
    <row r="10" spans="1:20" x14ac:dyDescent="0.8">
      <c r="A10" s="185"/>
      <c r="B10" s="186"/>
      <c r="C10" s="186"/>
      <c r="D10" s="187"/>
      <c r="E10" s="187"/>
      <c r="F10" s="83">
        <f>D10+E10</f>
        <v>0</v>
      </c>
      <c r="G10" s="384"/>
      <c r="H10" s="185"/>
      <c r="I10" s="186"/>
      <c r="J10" s="186"/>
      <c r="K10" s="187"/>
      <c r="L10" s="187"/>
      <c r="M10" s="83">
        <f>K10+L10</f>
        <v>0</v>
      </c>
      <c r="N10" s="84"/>
      <c r="O10" s="84"/>
    </row>
    <row r="11" spans="1:20" x14ac:dyDescent="0.8">
      <c r="A11" s="185"/>
      <c r="B11" s="186"/>
      <c r="C11" s="186"/>
      <c r="D11" s="187"/>
      <c r="E11" s="187"/>
      <c r="F11" s="83">
        <f>D11+E11</f>
        <v>0</v>
      </c>
      <c r="G11" s="384"/>
      <c r="H11" s="185"/>
      <c r="I11" s="186"/>
      <c r="J11" s="186"/>
      <c r="K11" s="187"/>
      <c r="L11" s="187"/>
      <c r="M11" s="83">
        <f>K11+L11</f>
        <v>0</v>
      </c>
      <c r="N11" s="84"/>
      <c r="O11" s="84"/>
    </row>
    <row r="12" spans="1:20" x14ac:dyDescent="0.8">
      <c r="A12" s="185"/>
      <c r="B12" s="186"/>
      <c r="C12" s="186"/>
      <c r="D12" s="187"/>
      <c r="E12" s="187"/>
      <c r="F12" s="83">
        <f>D12+E12</f>
        <v>0</v>
      </c>
      <c r="G12" s="384"/>
      <c r="H12" s="185"/>
      <c r="I12" s="186"/>
      <c r="J12" s="186"/>
      <c r="K12" s="187"/>
      <c r="L12" s="187"/>
      <c r="M12" s="83">
        <f>K12+L12</f>
        <v>0</v>
      </c>
      <c r="N12" s="84"/>
      <c r="O12" s="84"/>
    </row>
    <row r="13" spans="1:20" ht="16.75" thickBot="1" x14ac:dyDescent="0.95">
      <c r="A13" s="85"/>
      <c r="B13" s="86"/>
      <c r="C13" s="87" t="s">
        <v>69</v>
      </c>
      <c r="D13" s="88">
        <f t="shared" ref="D13:F13" si="0">SUM(D8:D12)</f>
        <v>0</v>
      </c>
      <c r="E13" s="88">
        <f t="shared" si="0"/>
        <v>0</v>
      </c>
      <c r="F13" s="89">
        <f t="shared" si="0"/>
        <v>0</v>
      </c>
      <c r="G13" s="384"/>
      <c r="H13" s="85"/>
      <c r="I13" s="86"/>
      <c r="J13" s="87" t="s">
        <v>69</v>
      </c>
      <c r="K13" s="88">
        <f t="shared" ref="K13:M13" si="1">SUM(K8:K12)</f>
        <v>0</v>
      </c>
      <c r="L13" s="88">
        <f t="shared" si="1"/>
        <v>0</v>
      </c>
      <c r="M13" s="89">
        <f t="shared" si="1"/>
        <v>0</v>
      </c>
      <c r="N13" s="84"/>
      <c r="O13" s="84"/>
    </row>
    <row r="14" spans="1:20" ht="40.15" customHeight="1" thickBot="1" x14ac:dyDescent="0.95">
      <c r="A14" s="90" t="s">
        <v>70</v>
      </c>
      <c r="B14" s="91"/>
      <c r="C14" s="91"/>
      <c r="D14" s="91"/>
      <c r="E14" s="91"/>
      <c r="F14" s="92"/>
      <c r="G14" s="384"/>
      <c r="H14" s="90" t="s">
        <v>70</v>
      </c>
      <c r="I14" s="91"/>
      <c r="J14" s="91"/>
      <c r="K14" s="91"/>
      <c r="L14" s="91"/>
      <c r="M14" s="92"/>
      <c r="N14" s="73"/>
      <c r="O14" s="73"/>
      <c r="P14" s="73"/>
      <c r="Q14" s="73"/>
      <c r="R14" s="73"/>
      <c r="S14" s="93"/>
    </row>
    <row r="15" spans="1:20" x14ac:dyDescent="0.8">
      <c r="A15" s="94" t="s">
        <v>62</v>
      </c>
      <c r="B15" s="95" t="s">
        <v>63</v>
      </c>
      <c r="C15" s="96" t="s">
        <v>176</v>
      </c>
      <c r="D15" s="79" t="s">
        <v>65</v>
      </c>
      <c r="E15" s="80" t="s">
        <v>66</v>
      </c>
      <c r="F15" s="81" t="s">
        <v>67</v>
      </c>
      <c r="G15" s="384"/>
      <c r="H15" s="94" t="s">
        <v>62</v>
      </c>
      <c r="I15" s="95" t="s">
        <v>63</v>
      </c>
      <c r="J15" s="96" t="s">
        <v>176</v>
      </c>
      <c r="K15" s="79" t="s">
        <v>65</v>
      </c>
      <c r="L15" s="80" t="s">
        <v>66</v>
      </c>
      <c r="M15" s="81" t="s">
        <v>68</v>
      </c>
      <c r="N15" s="63"/>
      <c r="O15" s="98"/>
    </row>
    <row r="16" spans="1:20" x14ac:dyDescent="0.8">
      <c r="A16" s="188"/>
      <c r="B16" s="189"/>
      <c r="C16" s="99"/>
      <c r="D16" s="187"/>
      <c r="E16" s="187"/>
      <c r="F16" s="83">
        <f t="shared" ref="F16:F20" si="2">D16+E16</f>
        <v>0</v>
      </c>
      <c r="G16" s="384"/>
      <c r="H16" s="188"/>
      <c r="I16" s="189"/>
      <c r="J16" s="99"/>
      <c r="K16" s="187"/>
      <c r="L16" s="187"/>
      <c r="M16" s="83">
        <f t="shared" ref="M16:M20" si="3">K16+L16</f>
        <v>0</v>
      </c>
      <c r="N16" s="84"/>
      <c r="O16" s="84"/>
    </row>
    <row r="17" spans="1:19" x14ac:dyDescent="0.8">
      <c r="A17" s="188"/>
      <c r="B17" s="189"/>
      <c r="C17" s="99"/>
      <c r="D17" s="187"/>
      <c r="E17" s="187"/>
      <c r="F17" s="83">
        <f t="shared" si="2"/>
        <v>0</v>
      </c>
      <c r="G17" s="384"/>
      <c r="H17" s="188"/>
      <c r="I17" s="189"/>
      <c r="J17" s="99"/>
      <c r="K17" s="187"/>
      <c r="L17" s="187"/>
      <c r="M17" s="83">
        <f t="shared" si="3"/>
        <v>0</v>
      </c>
      <c r="N17" s="84"/>
      <c r="O17" s="84"/>
    </row>
    <row r="18" spans="1:19" x14ac:dyDescent="0.8">
      <c r="A18" s="188"/>
      <c r="B18" s="189"/>
      <c r="C18" s="99"/>
      <c r="D18" s="187"/>
      <c r="E18" s="187"/>
      <c r="F18" s="83">
        <f t="shared" si="2"/>
        <v>0</v>
      </c>
      <c r="G18" s="384"/>
      <c r="H18" s="188"/>
      <c r="I18" s="189"/>
      <c r="J18" s="99"/>
      <c r="K18" s="187"/>
      <c r="L18" s="187"/>
      <c r="M18" s="83">
        <f t="shared" si="3"/>
        <v>0</v>
      </c>
      <c r="N18" s="84"/>
      <c r="O18" s="84"/>
    </row>
    <row r="19" spans="1:19" x14ac:dyDescent="0.8">
      <c r="A19" s="188"/>
      <c r="B19" s="189"/>
      <c r="C19" s="99"/>
      <c r="D19" s="187"/>
      <c r="E19" s="187"/>
      <c r="F19" s="83">
        <f t="shared" si="2"/>
        <v>0</v>
      </c>
      <c r="G19" s="384"/>
      <c r="H19" s="188"/>
      <c r="I19" s="189"/>
      <c r="J19" s="99"/>
      <c r="K19" s="187"/>
      <c r="L19" s="187"/>
      <c r="M19" s="83">
        <f t="shared" si="3"/>
        <v>0</v>
      </c>
      <c r="N19" s="84"/>
      <c r="O19" s="84"/>
    </row>
    <row r="20" spans="1:19" x14ac:dyDescent="0.8">
      <c r="A20" s="188"/>
      <c r="B20" s="189"/>
      <c r="C20" s="99"/>
      <c r="D20" s="187"/>
      <c r="E20" s="187"/>
      <c r="F20" s="83">
        <f t="shared" si="2"/>
        <v>0</v>
      </c>
      <c r="G20" s="384"/>
      <c r="H20" s="188"/>
      <c r="I20" s="189"/>
      <c r="J20" s="99"/>
      <c r="K20" s="187"/>
      <c r="L20" s="187"/>
      <c r="M20" s="83">
        <f t="shared" si="3"/>
        <v>0</v>
      </c>
      <c r="N20" s="84"/>
      <c r="O20" s="84"/>
    </row>
    <row r="21" spans="1:19" x14ac:dyDescent="0.8">
      <c r="A21" s="100"/>
      <c r="B21" s="101"/>
      <c r="C21" s="102" t="s">
        <v>72</v>
      </c>
      <c r="D21" s="103">
        <f t="shared" ref="D21:F21" si="4">SUM(D16:D20)</f>
        <v>0</v>
      </c>
      <c r="E21" s="103">
        <f t="shared" si="4"/>
        <v>0</v>
      </c>
      <c r="F21" s="83">
        <f t="shared" si="4"/>
        <v>0</v>
      </c>
      <c r="G21" s="384"/>
      <c r="H21" s="100"/>
      <c r="I21" s="101"/>
      <c r="J21" s="102" t="s">
        <v>72</v>
      </c>
      <c r="K21" s="103">
        <f t="shared" ref="K21:M21" si="5">SUM(K16:K20)</f>
        <v>0</v>
      </c>
      <c r="L21" s="103">
        <f t="shared" si="5"/>
        <v>0</v>
      </c>
      <c r="M21" s="83">
        <f t="shared" si="5"/>
        <v>0</v>
      </c>
      <c r="N21" s="84"/>
      <c r="O21" s="84"/>
    </row>
    <row r="22" spans="1:19" ht="16.75" thickBot="1" x14ac:dyDescent="0.95">
      <c r="A22" s="104"/>
      <c r="B22" s="105"/>
      <c r="C22" s="106"/>
      <c r="D22" s="106"/>
      <c r="E22" s="107" t="s">
        <v>73</v>
      </c>
      <c r="F22" s="108">
        <f>F13-F21</f>
        <v>0</v>
      </c>
      <c r="G22" s="384"/>
      <c r="H22" s="104"/>
      <c r="I22" s="105"/>
      <c r="J22" s="105"/>
      <c r="K22" s="110"/>
      <c r="L22" s="107" t="s">
        <v>74</v>
      </c>
      <c r="M22" s="108">
        <f>M13-M21</f>
        <v>0</v>
      </c>
      <c r="N22" s="93"/>
      <c r="O22" s="93"/>
      <c r="P22" s="93"/>
      <c r="Q22" s="93"/>
      <c r="R22" s="93"/>
      <c r="S22" s="93"/>
    </row>
    <row r="23" spans="1:19" ht="16.75" thickBot="1" x14ac:dyDescent="0.95">
      <c r="A23" s="378" t="s">
        <v>22</v>
      </c>
      <c r="B23" s="378"/>
      <c r="C23" s="378"/>
      <c r="D23" s="378"/>
      <c r="E23" s="378"/>
      <c r="F23" s="378"/>
      <c r="G23" s="384"/>
      <c r="H23" s="378" t="s">
        <v>22</v>
      </c>
      <c r="I23" s="378"/>
      <c r="J23" s="378"/>
      <c r="K23" s="378"/>
      <c r="L23" s="378"/>
      <c r="M23" s="378"/>
      <c r="N23" s="93"/>
      <c r="O23" s="93"/>
      <c r="P23" s="93"/>
      <c r="Q23" s="93"/>
      <c r="R23" s="93"/>
      <c r="S23" s="93"/>
    </row>
    <row r="24" spans="1:19" x14ac:dyDescent="0.8">
      <c r="A24" s="111" t="s">
        <v>105</v>
      </c>
      <c r="B24" s="112"/>
      <c r="C24" s="112"/>
      <c r="D24" s="62"/>
      <c r="E24" s="119"/>
      <c r="F24" s="119"/>
      <c r="G24" s="384"/>
      <c r="H24" s="111" t="s">
        <v>105</v>
      </c>
      <c r="I24" s="112"/>
      <c r="J24" s="112"/>
      <c r="K24" s="62"/>
      <c r="L24" s="119"/>
      <c r="M24" s="119"/>
      <c r="N24" s="118"/>
      <c r="O24" s="118"/>
      <c r="P24" s="118"/>
      <c r="Q24" s="118"/>
    </row>
    <row r="25" spans="1:19" x14ac:dyDescent="0.8">
      <c r="A25" s="120" t="s">
        <v>71</v>
      </c>
      <c r="B25" s="121" t="s">
        <v>77</v>
      </c>
      <c r="C25" s="122"/>
      <c r="D25" s="123"/>
      <c r="E25" s="122"/>
      <c r="F25" s="122"/>
      <c r="G25" s="384"/>
      <c r="H25" s="120" t="s">
        <v>71</v>
      </c>
      <c r="I25" s="121" t="s">
        <v>77</v>
      </c>
      <c r="J25" s="122"/>
      <c r="K25" s="123"/>
      <c r="L25" s="122"/>
      <c r="M25" s="122"/>
      <c r="N25" s="118"/>
      <c r="O25" s="118"/>
      <c r="P25" s="118"/>
      <c r="Q25" s="118"/>
    </row>
    <row r="26" spans="1:19" x14ac:dyDescent="0.8">
      <c r="A26" s="124" t="str">
        <f>CONCATENATE("SFY ",'2. Getting Started'!B6+3," Projected Child Count")</f>
        <v>SFY 2027 Projected Child Count</v>
      </c>
      <c r="B26" s="125" t="str">
        <f>IF('14. Year 4 Amounts'!B1="","",'14. Year 4 Amounts'!B1)</f>
        <v/>
      </c>
      <c r="C26" s="122"/>
      <c r="D26" s="123"/>
      <c r="E26" s="122"/>
      <c r="F26" s="122"/>
      <c r="G26" s="384"/>
      <c r="H26" s="124" t="str">
        <f>CONCATENATE("SFY ",'2. Getting Started'!B6+3," Child Count")</f>
        <v>SFY 2027 Child Count</v>
      </c>
      <c r="I26" s="125" t="str">
        <f>IF('14. Year 4 Amounts'!I1="","",'14. Year 4 Amounts'!I1)</f>
        <v/>
      </c>
      <c r="J26" s="122"/>
      <c r="K26" s="123"/>
      <c r="L26" s="122"/>
      <c r="M26" s="122"/>
      <c r="N26" s="118"/>
      <c r="O26" s="118"/>
      <c r="P26" s="118"/>
      <c r="Q26" s="118"/>
    </row>
    <row r="27" spans="1:19" x14ac:dyDescent="0.8">
      <c r="A27" s="124" t="str">
        <f>CONCATENATE("SFY ",'2. Getting Started'!B6+2," Projected Child Count")</f>
        <v>SFY 2026 Projected Child Count</v>
      </c>
      <c r="B27" s="125" t="str">
        <f>IF('11. Year 3 Amounts'!B1="","",'11. Year 3 Amounts'!B1)</f>
        <v/>
      </c>
      <c r="C27" s="118"/>
      <c r="D27" s="127"/>
      <c r="E27" s="118"/>
      <c r="F27" s="122"/>
      <c r="G27" s="384"/>
      <c r="H27" s="124" t="str">
        <f>CONCATENATE("SFY ",'2. Getting Started'!B6+2," Child Count")</f>
        <v>SFY 2026 Child Count</v>
      </c>
      <c r="I27" s="125" t="str">
        <f>IF('11. Year 3 Amounts'!I1="","",'11. Year 3 Amounts'!I1)</f>
        <v/>
      </c>
      <c r="J27" s="118"/>
      <c r="K27" s="127"/>
      <c r="L27" s="118"/>
      <c r="M27" s="122"/>
      <c r="N27" s="128"/>
      <c r="O27" s="128"/>
      <c r="P27" s="128"/>
      <c r="Q27" s="128"/>
    </row>
    <row r="28" spans="1:19" x14ac:dyDescent="0.8">
      <c r="A28" s="126" t="s">
        <v>78</v>
      </c>
      <c r="B28" s="129" t="str">
        <f>IF(B26="","",B26-B27)</f>
        <v/>
      </c>
      <c r="C28" s="122" t="str">
        <f>IF(B28="","",IF(B28&gt;=0,"Not eligible for this exception",""))</f>
        <v/>
      </c>
      <c r="D28" s="123"/>
      <c r="E28" s="122"/>
      <c r="F28" s="122"/>
      <c r="G28" s="384"/>
      <c r="H28" s="126" t="s">
        <v>78</v>
      </c>
      <c r="I28" s="129" t="str">
        <f>IF(I26="","",I26-I27)</f>
        <v/>
      </c>
      <c r="J28" s="122" t="str">
        <f>IF(I28="","",IF(I28&gt;=0,"Not eligible for this exception",""))</f>
        <v/>
      </c>
      <c r="K28" s="123"/>
      <c r="L28" s="122"/>
      <c r="M28" s="122"/>
      <c r="N28" s="131"/>
      <c r="O28" s="131"/>
      <c r="P28" s="131"/>
      <c r="Q28" s="131"/>
    </row>
    <row r="29" spans="1:19" x14ac:dyDescent="0.8">
      <c r="A29" s="132" t="s">
        <v>79</v>
      </c>
      <c r="B29" s="133" t="str">
        <f>IF(B26="","",IF(B28&lt;=0,ABS(B28/B27),""))</f>
        <v/>
      </c>
      <c r="C29" s="134"/>
      <c r="D29" s="135"/>
      <c r="E29" s="134"/>
      <c r="F29" s="10"/>
      <c r="G29" s="384"/>
      <c r="H29" s="132" t="s">
        <v>79</v>
      </c>
      <c r="I29" s="133" t="str">
        <f>IF(I26="","",IF(I28&lt;=0,ABS(I28/I27),""))</f>
        <v/>
      </c>
      <c r="J29" s="134"/>
      <c r="K29" s="135"/>
      <c r="L29" s="134"/>
      <c r="M29" s="10"/>
      <c r="N29" s="136"/>
      <c r="O29" s="136"/>
      <c r="P29" s="137"/>
      <c r="Q29" s="137"/>
    </row>
    <row r="30" spans="1:19" x14ac:dyDescent="0.8">
      <c r="A30" s="114" t="s">
        <v>71</v>
      </c>
      <c r="B30" s="115" t="s">
        <v>0</v>
      </c>
      <c r="C30" s="115" t="s">
        <v>2</v>
      </c>
      <c r="D30" s="10"/>
      <c r="E30" s="71"/>
      <c r="F30" s="71"/>
      <c r="G30" s="384"/>
      <c r="H30" s="114" t="s">
        <v>71</v>
      </c>
      <c r="I30" s="115" t="s">
        <v>75</v>
      </c>
      <c r="J30" s="115" t="s">
        <v>76</v>
      </c>
      <c r="K30" s="10"/>
      <c r="L30" s="71"/>
      <c r="M30" s="71"/>
      <c r="N30" s="137"/>
      <c r="O30" s="137"/>
    </row>
    <row r="31" spans="1:19" x14ac:dyDescent="0.8">
      <c r="A31" s="138" t="str">
        <f>CONCATENATE("SFY ",'2. Getting Started'!B6+2," Budget")</f>
        <v>SFY 2026 Budget</v>
      </c>
      <c r="B31" s="139" t="str">
        <f>IF('11. Year 3 Amounts'!D30="","",'11. Year 3 Amounts'!D30)</f>
        <v/>
      </c>
      <c r="C31" s="139" t="str">
        <f>IF('11. Year 3 Amounts'!F30="","",'11. Year 3 Amounts'!F30)</f>
        <v/>
      </c>
      <c r="D31" s="140"/>
      <c r="E31" s="73"/>
      <c r="F31" s="73"/>
      <c r="G31" s="384"/>
      <c r="H31" s="138" t="str">
        <f>CONCATENATE("SFY ",'2. Getting Started'!B6+2," Final Expenditures")</f>
        <v>SFY 2026 Final Expenditures</v>
      </c>
      <c r="I31" s="139" t="str">
        <f>IF('11. Year 3 Amounts'!K30="","",'11. Year 3 Amounts'!K30)</f>
        <v/>
      </c>
      <c r="J31" s="139" t="str">
        <f>IF('11. Year 3 Amounts'!M30="","",'11. Year 3 Amounts'!M30)</f>
        <v/>
      </c>
      <c r="K31" s="141"/>
      <c r="L31" s="73"/>
      <c r="M31" s="73"/>
    </row>
    <row r="32" spans="1:19" x14ac:dyDescent="0.8">
      <c r="A32" s="116" t="s">
        <v>80</v>
      </c>
      <c r="B32" s="142" t="str">
        <f>IF(OR($B26="",B29="",B31=""),"",($B29*B31))</f>
        <v/>
      </c>
      <c r="C32" s="142" t="str">
        <f>IF(OR($B26="",B29="",C31=""),"",($B29*C31))</f>
        <v/>
      </c>
      <c r="D32" s="141"/>
      <c r="E32" s="117"/>
      <c r="F32" s="117"/>
      <c r="G32" s="384"/>
      <c r="H32" s="116" t="s">
        <v>81</v>
      </c>
      <c r="I32" s="142" t="str">
        <f>IF(OR($I26="",I29="",I31=""),"",($I29*I31))</f>
        <v/>
      </c>
      <c r="J32" s="142" t="str">
        <f>IF(OR($I26="",I29="",J31=""),"",($I29*J31))</f>
        <v/>
      </c>
      <c r="K32" s="141"/>
      <c r="L32" s="117"/>
      <c r="M32" s="117"/>
    </row>
    <row r="33" spans="1:28" ht="16.75" thickBot="1" x14ac:dyDescent="0.95">
      <c r="A33" s="379" t="s">
        <v>22</v>
      </c>
      <c r="B33" s="379"/>
      <c r="C33" s="379"/>
      <c r="D33" s="122"/>
      <c r="E33" s="122"/>
      <c r="F33" s="122"/>
      <c r="G33" s="384"/>
      <c r="H33" s="379" t="s">
        <v>22</v>
      </c>
      <c r="I33" s="379"/>
      <c r="J33" s="379"/>
      <c r="K33" s="122"/>
      <c r="L33" s="122"/>
      <c r="M33" s="122"/>
      <c r="P33" s="117"/>
      <c r="Q33" s="117"/>
      <c r="R33" s="117"/>
      <c r="S33" s="117"/>
      <c r="T33" s="117"/>
      <c r="U33" s="73"/>
      <c r="V33" s="117"/>
      <c r="W33" s="117"/>
      <c r="X33" s="117"/>
      <c r="Y33" s="117"/>
      <c r="Z33" s="117"/>
      <c r="AA33" s="117"/>
    </row>
    <row r="34" spans="1:28" x14ac:dyDescent="0.8">
      <c r="A34" s="111" t="s">
        <v>82</v>
      </c>
      <c r="B34" s="144"/>
      <c r="C34" s="145"/>
      <c r="D34" s="146"/>
      <c r="E34" s="130"/>
      <c r="F34" s="130"/>
      <c r="G34" s="384"/>
      <c r="H34" s="111" t="s">
        <v>82</v>
      </c>
      <c r="I34" s="144"/>
      <c r="J34" s="145"/>
      <c r="K34" s="146"/>
      <c r="L34" s="130"/>
      <c r="M34" s="130"/>
      <c r="P34" s="117"/>
      <c r="Q34" s="117"/>
      <c r="R34" s="117"/>
      <c r="S34" s="117"/>
      <c r="T34" s="117"/>
      <c r="U34" s="117"/>
      <c r="V34" s="117"/>
      <c r="W34" s="117"/>
      <c r="X34" s="117"/>
      <c r="Y34" s="117"/>
      <c r="Z34" s="117"/>
      <c r="AA34" s="117"/>
    </row>
    <row r="35" spans="1:28" x14ac:dyDescent="0.8">
      <c r="A35" s="147" t="s">
        <v>83</v>
      </c>
      <c r="B35" s="71"/>
      <c r="C35" s="148"/>
      <c r="D35" s="149"/>
      <c r="E35" s="10"/>
      <c r="F35" s="10"/>
      <c r="G35" s="384"/>
      <c r="H35" s="147" t="s">
        <v>83</v>
      </c>
      <c r="I35" s="71"/>
      <c r="J35" s="148"/>
      <c r="K35" s="149"/>
      <c r="L35" s="10"/>
      <c r="M35" s="10"/>
      <c r="P35" s="73"/>
      <c r="Q35" s="73"/>
      <c r="R35" s="73"/>
      <c r="S35" s="73"/>
      <c r="T35" s="73"/>
      <c r="U35" s="73"/>
      <c r="V35" s="73"/>
      <c r="W35" s="73"/>
      <c r="X35" s="73"/>
      <c r="Y35" s="73"/>
      <c r="Z35" s="73"/>
      <c r="AA35" s="73"/>
    </row>
    <row r="36" spans="1:28" x14ac:dyDescent="0.8">
      <c r="A36" s="150" t="s">
        <v>84</v>
      </c>
      <c r="B36" s="71"/>
      <c r="C36" s="151"/>
      <c r="D36" s="149"/>
      <c r="E36" s="10"/>
      <c r="F36" s="10"/>
      <c r="G36" s="384"/>
      <c r="H36" s="150" t="s">
        <v>84</v>
      </c>
      <c r="I36" s="71"/>
      <c r="J36" s="151"/>
      <c r="K36" s="149"/>
      <c r="L36" s="10"/>
      <c r="M36" s="10"/>
      <c r="Q36" s="73"/>
      <c r="R36" s="73"/>
      <c r="S36" s="73"/>
      <c r="T36" s="73"/>
      <c r="U36" s="73"/>
      <c r="V36" s="73"/>
      <c r="W36" s="73"/>
      <c r="X36" s="73"/>
      <c r="Y36" s="73"/>
      <c r="Z36" s="73"/>
      <c r="AA36" s="73"/>
      <c r="AB36" s="73"/>
    </row>
    <row r="37" spans="1:28" x14ac:dyDescent="0.8">
      <c r="A37" s="152" t="s">
        <v>85</v>
      </c>
      <c r="B37" s="153" t="s">
        <v>86</v>
      </c>
      <c r="C37" s="154" t="s">
        <v>87</v>
      </c>
      <c r="D37" s="117"/>
      <c r="E37" s="143"/>
      <c r="F37" s="143"/>
      <c r="G37" s="384"/>
      <c r="H37" s="152" t="s">
        <v>85</v>
      </c>
      <c r="I37" s="153" t="s">
        <v>86</v>
      </c>
      <c r="J37" s="154" t="s">
        <v>88</v>
      </c>
      <c r="K37" s="117"/>
      <c r="L37" s="143"/>
      <c r="M37" s="143"/>
      <c r="P37" s="93"/>
      <c r="Q37" s="93"/>
      <c r="R37" s="93"/>
      <c r="S37" s="93"/>
      <c r="T37" s="93"/>
      <c r="U37" s="93"/>
      <c r="V37" s="93"/>
      <c r="W37" s="93"/>
      <c r="X37" s="93"/>
      <c r="Y37" s="93"/>
      <c r="Z37" s="93"/>
      <c r="AA37" s="93"/>
    </row>
    <row r="38" spans="1:28" x14ac:dyDescent="0.8">
      <c r="A38" s="190"/>
      <c r="B38" s="191"/>
      <c r="C38" s="192"/>
      <c r="D38" s="143"/>
      <c r="E38" s="143"/>
      <c r="F38" s="143"/>
      <c r="G38" s="384"/>
      <c r="H38" s="190"/>
      <c r="I38" s="191"/>
      <c r="J38" s="192"/>
      <c r="K38" s="143"/>
      <c r="L38" s="143"/>
      <c r="M38" s="143"/>
      <c r="P38" s="93"/>
      <c r="Q38" s="93"/>
      <c r="R38" s="93"/>
      <c r="S38" s="93"/>
      <c r="T38" s="93"/>
      <c r="U38" s="93"/>
      <c r="V38" s="93"/>
      <c r="W38" s="93"/>
      <c r="X38" s="93"/>
      <c r="Y38" s="93"/>
      <c r="Z38" s="93"/>
      <c r="AA38" s="93"/>
    </row>
    <row r="39" spans="1:28" x14ac:dyDescent="0.8">
      <c r="A39" s="190"/>
      <c r="B39" s="191"/>
      <c r="C39" s="192"/>
      <c r="D39" s="143"/>
      <c r="E39" s="71"/>
      <c r="F39" s="71"/>
      <c r="G39" s="384"/>
      <c r="H39" s="190"/>
      <c r="I39" s="191"/>
      <c r="J39" s="192"/>
      <c r="K39" s="143"/>
      <c r="L39" s="71"/>
      <c r="M39" s="71"/>
      <c r="P39" s="93"/>
      <c r="Q39" s="93"/>
      <c r="R39" s="93"/>
      <c r="S39" s="93"/>
      <c r="T39" s="93"/>
      <c r="U39" s="93"/>
      <c r="V39" s="93"/>
      <c r="W39" s="93"/>
      <c r="X39" s="93"/>
      <c r="Y39" s="93"/>
      <c r="Z39" s="93"/>
      <c r="AA39" s="93"/>
    </row>
    <row r="40" spans="1:28" x14ac:dyDescent="0.8">
      <c r="A40" s="190"/>
      <c r="B40" s="191"/>
      <c r="C40" s="192"/>
      <c r="D40" s="143"/>
      <c r="E40" s="71"/>
      <c r="F40" s="71"/>
      <c r="G40" s="384"/>
      <c r="H40" s="190"/>
      <c r="I40" s="191"/>
      <c r="J40" s="192"/>
      <c r="K40" s="143"/>
      <c r="L40" s="71"/>
      <c r="M40" s="71"/>
      <c r="P40" s="93"/>
      <c r="Q40" s="93"/>
      <c r="R40" s="93"/>
      <c r="S40" s="93"/>
      <c r="T40" s="93"/>
      <c r="U40" s="93"/>
      <c r="V40" s="93"/>
      <c r="W40" s="93"/>
      <c r="X40" s="93"/>
      <c r="Y40" s="93"/>
      <c r="Z40" s="93"/>
      <c r="AA40" s="93"/>
    </row>
    <row r="41" spans="1:28" x14ac:dyDescent="0.8">
      <c r="A41" s="190"/>
      <c r="B41" s="191"/>
      <c r="C41" s="192"/>
      <c r="D41" s="143"/>
      <c r="E41" s="119"/>
      <c r="F41" s="119"/>
      <c r="G41" s="384"/>
      <c r="H41" s="190"/>
      <c r="I41" s="191"/>
      <c r="J41" s="192"/>
      <c r="K41" s="143"/>
      <c r="L41" s="119"/>
      <c r="M41" s="119"/>
      <c r="P41" s="93"/>
      <c r="Q41" s="93"/>
      <c r="R41" s="93"/>
      <c r="S41" s="93"/>
      <c r="T41" s="93"/>
      <c r="U41" s="93"/>
      <c r="V41" s="93"/>
      <c r="W41" s="93"/>
      <c r="X41" s="93"/>
      <c r="Y41" s="93"/>
      <c r="Z41" s="93"/>
      <c r="AA41" s="93"/>
    </row>
    <row r="42" spans="1:28" x14ac:dyDescent="0.8">
      <c r="A42" s="190"/>
      <c r="B42" s="191"/>
      <c r="C42" s="192"/>
      <c r="D42" s="143"/>
      <c r="F42" s="10"/>
      <c r="G42" s="384"/>
      <c r="H42" s="190"/>
      <c r="I42" s="191"/>
      <c r="J42" s="192"/>
      <c r="K42" s="143"/>
      <c r="M42" s="10"/>
      <c r="P42" s="73"/>
      <c r="Q42" s="73"/>
      <c r="R42" s="73"/>
      <c r="S42" s="73"/>
      <c r="T42" s="73"/>
      <c r="U42" s="73"/>
      <c r="V42" s="73"/>
      <c r="W42" s="73"/>
      <c r="X42" s="73"/>
      <c r="Y42" s="73"/>
      <c r="Z42" s="73"/>
      <c r="AA42" s="73"/>
    </row>
    <row r="43" spans="1:28" x14ac:dyDescent="0.8">
      <c r="A43" s="156" t="s">
        <v>89</v>
      </c>
      <c r="B43" s="157"/>
      <c r="C43" s="158">
        <f>SUM(C38:C42)</f>
        <v>0</v>
      </c>
      <c r="D43" s="143"/>
      <c r="E43" s="73"/>
      <c r="F43" s="71"/>
      <c r="G43" s="384"/>
      <c r="H43" s="156" t="s">
        <v>90</v>
      </c>
      <c r="I43" s="157"/>
      <c r="J43" s="158">
        <f>SUM(J38:J42)</f>
        <v>0</v>
      </c>
      <c r="K43" s="143"/>
      <c r="L43" s="73"/>
      <c r="M43" s="71"/>
      <c r="P43" s="73"/>
      <c r="Q43" s="73"/>
      <c r="R43" s="73"/>
      <c r="S43" s="73"/>
      <c r="T43" s="73"/>
      <c r="U43" s="73"/>
      <c r="V43" s="73"/>
      <c r="W43" s="73"/>
      <c r="X43" s="73"/>
      <c r="Y43" s="73"/>
      <c r="Z43" s="73"/>
      <c r="AA43" s="73"/>
    </row>
    <row r="44" spans="1:28" ht="16.75" thickBot="1" x14ac:dyDescent="0.95">
      <c r="A44" s="381" t="s">
        <v>22</v>
      </c>
      <c r="B44" s="381"/>
      <c r="C44" s="381"/>
      <c r="D44" s="71"/>
      <c r="E44" s="71"/>
      <c r="F44" s="71"/>
      <c r="G44" s="384"/>
      <c r="H44" s="381" t="s">
        <v>22</v>
      </c>
      <c r="I44" s="381"/>
      <c r="J44" s="381"/>
      <c r="K44" s="71"/>
      <c r="L44" s="71"/>
      <c r="M44" s="71"/>
      <c r="P44" s="93"/>
      <c r="Q44" s="93"/>
      <c r="R44" s="93"/>
      <c r="S44" s="93"/>
      <c r="T44" s="93"/>
      <c r="U44" s="93"/>
      <c r="V44" s="93"/>
      <c r="W44" s="93"/>
      <c r="X44" s="93"/>
      <c r="Y44" s="93"/>
      <c r="Z44" s="93"/>
      <c r="AA44" s="93"/>
    </row>
    <row r="45" spans="1:28" x14ac:dyDescent="0.8">
      <c r="A45" s="111" t="s">
        <v>91</v>
      </c>
      <c r="B45" s="113"/>
      <c r="C45" s="119"/>
      <c r="D45" s="119"/>
      <c r="E45" s="119"/>
      <c r="F45" s="119"/>
      <c r="G45" s="384"/>
      <c r="H45" s="111" t="s">
        <v>91</v>
      </c>
      <c r="I45" s="113"/>
      <c r="J45" s="119"/>
      <c r="K45" s="119"/>
      <c r="L45" s="119"/>
      <c r="M45" s="119"/>
      <c r="O45" s="93"/>
      <c r="P45" s="93"/>
      <c r="Q45" s="93"/>
      <c r="R45" s="93"/>
      <c r="S45" s="93"/>
      <c r="T45" s="93"/>
      <c r="U45" s="93"/>
      <c r="V45" s="93"/>
      <c r="W45" s="93"/>
      <c r="X45" s="93"/>
      <c r="Y45" s="93"/>
      <c r="Z45" s="93"/>
    </row>
    <row r="46" spans="1:28" ht="26.65" customHeight="1" x14ac:dyDescent="0.8">
      <c r="A46" s="70" t="s">
        <v>92</v>
      </c>
      <c r="B46" s="151"/>
      <c r="C46" s="119"/>
      <c r="D46" s="71"/>
      <c r="E46" s="73"/>
      <c r="F46" s="73"/>
      <c r="G46" s="384"/>
      <c r="H46" s="70" t="s">
        <v>92</v>
      </c>
      <c r="I46" s="151"/>
      <c r="J46" s="119"/>
      <c r="K46" s="71"/>
      <c r="L46" s="73"/>
      <c r="M46" s="73"/>
      <c r="O46" s="93"/>
      <c r="P46" s="93"/>
      <c r="Q46" s="93"/>
      <c r="R46" s="93"/>
      <c r="S46" s="93"/>
      <c r="T46" s="93"/>
      <c r="U46" s="93"/>
      <c r="V46" s="93"/>
      <c r="W46" s="93"/>
      <c r="X46" s="93"/>
      <c r="Y46" s="93"/>
      <c r="Z46" s="93"/>
    </row>
    <row r="47" spans="1:28" x14ac:dyDescent="0.8">
      <c r="A47" s="159" t="s">
        <v>93</v>
      </c>
      <c r="B47" s="160" t="s">
        <v>94</v>
      </c>
      <c r="C47" s="117"/>
      <c r="D47" s="117"/>
      <c r="E47" s="143"/>
      <c r="F47" s="109"/>
      <c r="G47" s="384"/>
      <c r="H47" s="159" t="s">
        <v>93</v>
      </c>
      <c r="I47" s="160" t="s">
        <v>95</v>
      </c>
      <c r="J47" s="117"/>
      <c r="K47" s="117"/>
      <c r="L47" s="143"/>
      <c r="M47" s="109"/>
      <c r="O47" s="93"/>
      <c r="P47" s="93"/>
      <c r="Q47" s="93"/>
      <c r="R47" s="93"/>
      <c r="S47" s="93"/>
      <c r="T47" s="93"/>
      <c r="U47" s="93"/>
      <c r="V47" s="93"/>
      <c r="W47" s="93"/>
      <c r="X47" s="93"/>
      <c r="Y47" s="93"/>
      <c r="Z47" s="93"/>
    </row>
    <row r="48" spans="1:28" ht="60" customHeight="1" x14ac:dyDescent="0.8">
      <c r="A48" s="193"/>
      <c r="B48" s="194"/>
      <c r="C48" s="143"/>
      <c r="D48" s="143"/>
      <c r="E48" s="143"/>
      <c r="F48" s="71"/>
      <c r="G48" s="384"/>
      <c r="H48" s="193"/>
      <c r="I48" s="194"/>
      <c r="J48" s="143"/>
      <c r="K48" s="143"/>
      <c r="L48" s="143"/>
      <c r="M48" s="71"/>
      <c r="O48" s="93"/>
      <c r="P48" s="93"/>
      <c r="Q48" s="93"/>
      <c r="R48" s="93"/>
      <c r="S48" s="93"/>
      <c r="T48" s="93"/>
      <c r="U48" s="93"/>
      <c r="V48" s="93"/>
      <c r="W48" s="93"/>
      <c r="X48" s="93"/>
      <c r="Y48" s="93"/>
      <c r="Z48" s="93"/>
    </row>
    <row r="49" spans="1:26" ht="60" customHeight="1" x14ac:dyDescent="0.8">
      <c r="A49" s="193"/>
      <c r="B49" s="194"/>
      <c r="C49" s="143"/>
      <c r="D49" s="143"/>
      <c r="E49" s="155"/>
      <c r="F49" s="155"/>
      <c r="G49" s="384"/>
      <c r="H49" s="193"/>
      <c r="I49" s="194"/>
      <c r="J49" s="143"/>
      <c r="K49" s="143"/>
      <c r="L49" s="155"/>
      <c r="M49" s="155"/>
      <c r="O49" s="93"/>
      <c r="P49" s="93"/>
      <c r="Q49" s="93"/>
      <c r="R49" s="93"/>
      <c r="S49" s="93"/>
      <c r="T49" s="93"/>
      <c r="U49" s="93"/>
      <c r="V49" s="93"/>
      <c r="W49" s="93"/>
      <c r="X49" s="93"/>
      <c r="Y49" s="93"/>
      <c r="Z49" s="93"/>
    </row>
    <row r="50" spans="1:26" ht="60" customHeight="1" x14ac:dyDescent="0.8">
      <c r="A50" s="193"/>
      <c r="B50" s="194"/>
      <c r="C50" s="143"/>
      <c r="D50" s="143"/>
      <c r="E50" s="71"/>
      <c r="F50" s="71"/>
      <c r="G50" s="384"/>
      <c r="H50" s="193"/>
      <c r="I50" s="194"/>
      <c r="J50" s="143"/>
      <c r="K50" s="143"/>
      <c r="L50" s="71"/>
      <c r="M50" s="71"/>
    </row>
    <row r="51" spans="1:26" ht="60" customHeight="1" x14ac:dyDescent="0.8">
      <c r="A51" s="193"/>
      <c r="B51" s="194"/>
      <c r="C51" s="143"/>
      <c r="D51" s="143"/>
      <c r="E51" s="161"/>
      <c r="F51" s="161"/>
      <c r="G51" s="384"/>
      <c r="H51" s="193"/>
      <c r="I51" s="194"/>
      <c r="J51" s="143"/>
      <c r="K51" s="143"/>
      <c r="L51" s="161"/>
      <c r="M51" s="161"/>
    </row>
    <row r="52" spans="1:26" ht="60" customHeight="1" x14ac:dyDescent="0.8">
      <c r="A52" s="193"/>
      <c r="B52" s="194"/>
      <c r="C52" s="143"/>
      <c r="D52" s="143"/>
      <c r="E52" s="162"/>
      <c r="F52" s="162"/>
      <c r="G52" s="384"/>
      <c r="H52" s="193"/>
      <c r="I52" s="194"/>
      <c r="J52" s="143"/>
      <c r="K52" s="143"/>
      <c r="L52" s="162"/>
      <c r="M52" s="162"/>
    </row>
    <row r="53" spans="1:26" x14ac:dyDescent="0.8">
      <c r="A53" s="163" t="s">
        <v>89</v>
      </c>
      <c r="B53" s="164">
        <f>SUM(B48:B52)</f>
        <v>0</v>
      </c>
      <c r="C53" s="143"/>
      <c r="D53" s="143"/>
      <c r="E53" s="73"/>
      <c r="G53" s="384"/>
      <c r="H53" s="165" t="s">
        <v>90</v>
      </c>
      <c r="I53" s="164">
        <f>SUM(I48:I52)</f>
        <v>0</v>
      </c>
      <c r="J53" s="143"/>
      <c r="K53" s="143"/>
      <c r="L53" s="73"/>
    </row>
    <row r="54" spans="1:26" ht="16.75" thickBot="1" x14ac:dyDescent="0.95">
      <c r="A54" s="379" t="s">
        <v>22</v>
      </c>
      <c r="B54" s="379"/>
      <c r="C54" s="10"/>
      <c r="D54" s="71"/>
      <c r="E54" s="71"/>
      <c r="F54" s="71"/>
      <c r="G54" s="384"/>
      <c r="H54" s="379" t="s">
        <v>22</v>
      </c>
      <c r="I54" s="379"/>
      <c r="J54" s="10"/>
      <c r="K54" s="71"/>
      <c r="L54" s="71"/>
      <c r="M54" s="71"/>
    </row>
    <row r="55" spans="1:26" x14ac:dyDescent="0.8">
      <c r="A55" s="166" t="str">
        <f>IF('3b. High Cost Fund'!B6="No","This exception is not valid in your state.","Exception (e) The assumption of cost by the high cost fund operated by the")</f>
        <v>This exception is not valid in your state.</v>
      </c>
      <c r="B55" s="145"/>
      <c r="C55" s="146"/>
      <c r="D55" s="130"/>
      <c r="E55" s="130"/>
      <c r="F55" s="143"/>
      <c r="G55" s="384"/>
      <c r="H55" s="166" t="str">
        <f>IF('3b. High Cost Fund'!B6="No","This exception is not valid in your state.","Exception (e) The assumption of cost by the high cost fund operated by the")</f>
        <v>This exception is not valid in your state.</v>
      </c>
      <c r="I55" s="145"/>
      <c r="J55" s="146"/>
      <c r="K55" s="130"/>
      <c r="L55" s="130"/>
      <c r="M55" s="143"/>
    </row>
    <row r="56" spans="1:26" ht="28.15" customHeight="1" x14ac:dyDescent="0.8">
      <c r="A56" s="70" t="str">
        <f>IF('3b. High Cost Fund'!B6="No","","SEA under §300.704. MUST be explicitly permitted by the SEA.")</f>
        <v/>
      </c>
      <c r="B56" s="167"/>
      <c r="C56" s="168"/>
      <c r="D56" s="169"/>
      <c r="E56" s="162"/>
      <c r="F56" s="143"/>
      <c r="G56" s="384"/>
      <c r="H56" s="70" t="str">
        <f>IF('3b. High Cost Fund'!B6="No","","SEA under §300.704. MUST be explicitly permitted by the SEA.")</f>
        <v/>
      </c>
      <c r="I56" s="167"/>
      <c r="J56" s="146"/>
      <c r="K56" s="169"/>
      <c r="L56" s="162"/>
      <c r="M56" s="143"/>
    </row>
    <row r="57" spans="1:26" x14ac:dyDescent="0.8">
      <c r="A57" s="170" t="s">
        <v>85</v>
      </c>
      <c r="B57" s="171" t="s">
        <v>96</v>
      </c>
      <c r="C57" s="117"/>
      <c r="D57" s="143"/>
      <c r="E57" s="143"/>
      <c r="F57" s="10"/>
      <c r="G57" s="384"/>
      <c r="H57" s="352" t="s">
        <v>85</v>
      </c>
      <c r="I57" s="171" t="s">
        <v>97</v>
      </c>
      <c r="J57" s="117"/>
      <c r="K57" s="143"/>
      <c r="L57" s="143"/>
      <c r="M57" s="10"/>
    </row>
    <row r="58" spans="1:26" ht="15.4" customHeight="1" x14ac:dyDescent="0.8">
      <c r="A58" s="195"/>
      <c r="B58" s="196"/>
      <c r="C58" s="338" t="str">
        <f>IF(AND(B58&lt;&gt;"",'3b. High Cost Fund'!$B6="No"),"Invalid entry. This exception is valid only in states with high-cost funds. If your state has a high-cost fund, please indicate that on tab 3b.","")</f>
        <v/>
      </c>
      <c r="D58" s="143"/>
      <c r="E58" s="143"/>
      <c r="F58" s="10"/>
      <c r="G58" s="384"/>
      <c r="H58" s="353"/>
      <c r="I58" s="196"/>
      <c r="J58" s="338" t="str">
        <f>IF(AND(I58&lt;&gt;"",'3b. High Cost Fund'!$B6="No"),"Invalid entry. This exception is valid only in states with high-cost funds. If your state has a high-cost fund, please indicate that on tab 3b.","")</f>
        <v/>
      </c>
      <c r="K58" s="143"/>
      <c r="L58" s="143"/>
      <c r="M58" s="10"/>
    </row>
    <row r="59" spans="1:26" x14ac:dyDescent="0.8">
      <c r="A59" s="195"/>
      <c r="B59" s="196"/>
      <c r="C59" s="143"/>
      <c r="D59" s="10"/>
      <c r="E59" s="10"/>
      <c r="F59" s="10"/>
      <c r="G59" s="384"/>
      <c r="H59" s="353"/>
      <c r="I59" s="196"/>
      <c r="J59" s="143"/>
      <c r="K59" s="10"/>
      <c r="L59" s="10"/>
      <c r="M59" s="10"/>
    </row>
    <row r="60" spans="1:26" x14ac:dyDescent="0.8">
      <c r="A60" s="195"/>
      <c r="B60" s="196"/>
      <c r="C60" s="143"/>
      <c r="D60" s="10"/>
      <c r="E60" s="10"/>
      <c r="F60" s="10"/>
      <c r="G60" s="384"/>
      <c r="H60" s="353"/>
      <c r="I60" s="196"/>
      <c r="J60" s="143"/>
      <c r="K60" s="10"/>
      <c r="L60" s="10"/>
      <c r="M60" s="10"/>
    </row>
    <row r="61" spans="1:26" x14ac:dyDescent="0.8">
      <c r="A61" s="195"/>
      <c r="B61" s="196"/>
      <c r="C61" s="143"/>
      <c r="D61" s="10"/>
      <c r="E61" s="10"/>
      <c r="F61" s="10"/>
      <c r="G61" s="384"/>
      <c r="H61" s="353"/>
      <c r="I61" s="196"/>
      <c r="J61" s="143"/>
      <c r="K61" s="10"/>
      <c r="L61" s="10"/>
      <c r="M61" s="10"/>
    </row>
    <row r="62" spans="1:26" x14ac:dyDescent="0.8">
      <c r="A62" s="195"/>
      <c r="B62" s="196"/>
      <c r="C62" s="143"/>
      <c r="D62" s="10"/>
      <c r="E62" s="10"/>
      <c r="F62" s="10"/>
      <c r="G62" s="384"/>
      <c r="H62" s="353"/>
      <c r="I62" s="196"/>
      <c r="J62" s="143"/>
      <c r="K62" s="10"/>
      <c r="L62" s="10"/>
      <c r="M62" s="10"/>
    </row>
    <row r="63" spans="1:26" x14ac:dyDescent="0.8">
      <c r="A63" s="172" t="s">
        <v>89</v>
      </c>
      <c r="B63" s="173">
        <f>IF('3b. High Cost Fund'!$B6="No",0,SUM(B58:B62))</f>
        <v>0</v>
      </c>
      <c r="C63" s="143"/>
      <c r="D63" s="10"/>
      <c r="E63" s="10"/>
      <c r="F63" s="10"/>
      <c r="G63" s="384"/>
      <c r="H63" s="354" t="s">
        <v>90</v>
      </c>
      <c r="I63" s="173">
        <f>IF('3b. High Cost Fund'!$B6="No",0,SUM(I58:I62))</f>
        <v>0</v>
      </c>
      <c r="J63" s="143"/>
      <c r="K63" s="10"/>
      <c r="L63" s="10"/>
      <c r="M63" s="10"/>
    </row>
    <row r="64" spans="1:26" ht="16.75" thickBot="1" x14ac:dyDescent="0.95">
      <c r="A64" s="379" t="s">
        <v>22</v>
      </c>
      <c r="B64" s="379"/>
      <c r="C64" s="143"/>
      <c r="D64" s="10"/>
      <c r="E64" s="10"/>
      <c r="F64" s="10"/>
      <c r="G64" s="384"/>
      <c r="H64" s="379" t="s">
        <v>22</v>
      </c>
      <c r="I64" s="379"/>
      <c r="J64" s="143"/>
      <c r="K64" s="10"/>
      <c r="L64" s="10"/>
      <c r="M64" s="10"/>
    </row>
    <row r="65" spans="1:13" x14ac:dyDescent="0.8">
      <c r="A65" s="347" t="s">
        <v>107</v>
      </c>
      <c r="B65" s="348"/>
      <c r="C65" s="143"/>
      <c r="D65" s="10"/>
      <c r="E65" s="10"/>
      <c r="F65" s="10"/>
      <c r="G65" s="384"/>
      <c r="H65" s="347" t="s">
        <v>106</v>
      </c>
      <c r="I65" s="348"/>
      <c r="J65" s="143"/>
      <c r="K65" s="10"/>
      <c r="L65" s="10"/>
      <c r="M65" s="10"/>
    </row>
    <row r="66" spans="1:13" x14ac:dyDescent="0.8">
      <c r="A66" s="242" t="s">
        <v>123</v>
      </c>
      <c r="B66" s="265" t="s">
        <v>124</v>
      </c>
      <c r="C66" s="143"/>
      <c r="D66" s="10"/>
      <c r="E66" s="10"/>
      <c r="F66" s="10"/>
      <c r="G66" s="384"/>
      <c r="H66" s="269" t="s">
        <v>123</v>
      </c>
      <c r="I66" s="270" t="s">
        <v>124</v>
      </c>
      <c r="J66" s="143"/>
      <c r="K66" s="10"/>
      <c r="L66" s="10"/>
      <c r="M66" s="10"/>
    </row>
    <row r="67" spans="1:13" x14ac:dyDescent="0.8">
      <c r="A67" s="102" t="s">
        <v>0</v>
      </c>
      <c r="B67" s="240">
        <f>IF(B$28&gt;=0,(F$22+C$43+B$53+B$63),(F$22+C$43+B$53+B$63+B$32))</f>
        <v>0</v>
      </c>
      <c r="C67" s="143"/>
      <c r="D67" s="10"/>
      <c r="E67" s="10"/>
      <c r="F67" s="10"/>
      <c r="G67" s="384"/>
      <c r="H67" s="102" t="s">
        <v>0</v>
      </c>
      <c r="I67" s="240">
        <f>IF(I$28&gt;=0,(M$22+J$43+I$53+I$63),(M$22+J$43+I$53+I$63+I$32))</f>
        <v>0</v>
      </c>
      <c r="J67" s="143"/>
      <c r="K67" s="10"/>
      <c r="L67" s="10"/>
      <c r="M67" s="10"/>
    </row>
    <row r="68" spans="1:13" x14ac:dyDescent="0.8">
      <c r="A68" s="241" t="s">
        <v>2</v>
      </c>
      <c r="B68" s="173">
        <f>IF(B$28&gt;=0,(F$22+C$43+B$53+B$63),(F$22+C$43+B$53+B$63+C$32))</f>
        <v>0</v>
      </c>
      <c r="C68" s="143"/>
      <c r="D68" s="10"/>
      <c r="E68" s="10"/>
      <c r="F68" s="10"/>
      <c r="G68" s="384"/>
      <c r="H68" s="241" t="s">
        <v>2</v>
      </c>
      <c r="I68" s="173">
        <f>IF(I$28&gt;=0,(M$22+J$43+I$53+I$63),(M$22+J$43+I$53+I$63+J$32))</f>
        <v>0</v>
      </c>
      <c r="J68" s="143"/>
      <c r="K68" s="10"/>
      <c r="L68" s="10"/>
      <c r="M68" s="10"/>
    </row>
    <row r="69" spans="1:13" ht="16.75" thickBot="1" x14ac:dyDescent="0.95">
      <c r="A69" s="382" t="s">
        <v>22</v>
      </c>
      <c r="B69" s="382"/>
      <c r="C69" s="10"/>
      <c r="D69" s="10"/>
      <c r="E69" s="10"/>
      <c r="F69" s="10"/>
      <c r="G69" s="384"/>
      <c r="H69" s="382" t="s">
        <v>22</v>
      </c>
      <c r="I69" s="382"/>
      <c r="J69" s="10"/>
      <c r="K69" s="10"/>
      <c r="L69" s="10"/>
      <c r="M69" s="10"/>
    </row>
    <row r="70" spans="1:13" ht="31.15" customHeight="1" x14ac:dyDescent="0.8">
      <c r="A70" s="337" t="s">
        <v>98</v>
      </c>
      <c r="B70" s="176"/>
      <c r="C70" s="11"/>
      <c r="D70" s="177"/>
      <c r="E70" s="10"/>
      <c r="F70" s="10"/>
      <c r="G70" s="384"/>
      <c r="H70" s="337" t="s">
        <v>98</v>
      </c>
      <c r="I70" s="176"/>
      <c r="J70" s="11"/>
      <c r="K70" s="177"/>
      <c r="L70" s="10"/>
      <c r="M70" s="10"/>
    </row>
    <row r="71" spans="1:13" x14ac:dyDescent="0.8">
      <c r="A71" s="178" t="s">
        <v>71</v>
      </c>
      <c r="B71" s="179" t="s">
        <v>99</v>
      </c>
      <c r="C71" s="11" t="s">
        <v>100</v>
      </c>
      <c r="E71" s="10"/>
      <c r="F71" s="10"/>
      <c r="G71" s="384"/>
      <c r="H71" s="178" t="s">
        <v>71</v>
      </c>
      <c r="I71" s="179" t="s">
        <v>101</v>
      </c>
      <c r="J71" s="11" t="s">
        <v>100</v>
      </c>
      <c r="K71" s="10"/>
      <c r="L71" s="10"/>
      <c r="M71" s="10"/>
    </row>
    <row r="72" spans="1:13" x14ac:dyDescent="0.8">
      <c r="A72" s="180" t="s">
        <v>102</v>
      </c>
      <c r="B72" s="197">
        <v>0</v>
      </c>
      <c r="C72" s="181" t="s">
        <v>103</v>
      </c>
      <c r="D72" s="10"/>
      <c r="E72" s="10"/>
      <c r="F72" s="10"/>
      <c r="G72" s="384"/>
      <c r="H72" s="180" t="s">
        <v>104</v>
      </c>
      <c r="I72" s="197">
        <v>0</v>
      </c>
      <c r="J72" s="181" t="s">
        <v>103</v>
      </c>
      <c r="K72" s="10"/>
      <c r="L72" s="10"/>
      <c r="M72" s="10"/>
    </row>
    <row r="73" spans="1:13" ht="30" customHeight="1" x14ac:dyDescent="0.8">
      <c r="A73" s="345" t="s">
        <v>183</v>
      </c>
      <c r="B73" s="182"/>
      <c r="C73" s="182"/>
      <c r="D73" s="182"/>
      <c r="E73" s="182"/>
      <c r="F73" s="182"/>
      <c r="G73" s="384"/>
      <c r="H73" s="182"/>
      <c r="I73" s="182"/>
      <c r="J73" s="182"/>
      <c r="K73" s="182"/>
      <c r="L73" s="182"/>
      <c r="M73" s="182"/>
    </row>
    <row r="74" spans="1:13" s="184" customFormat="1" x14ac:dyDescent="0.8">
      <c r="A74" s="358" t="s">
        <v>182</v>
      </c>
      <c r="B74" s="183"/>
      <c r="C74" s="183"/>
      <c r="D74" s="183"/>
      <c r="E74" s="183"/>
      <c r="F74" s="183"/>
      <c r="G74" s="384"/>
      <c r="H74" s="183"/>
      <c r="I74" s="183"/>
      <c r="J74" s="183"/>
      <c r="K74" s="183"/>
      <c r="L74" s="183"/>
      <c r="M74" s="183"/>
    </row>
    <row r="75" spans="1:13" x14ac:dyDescent="0.8">
      <c r="A75" s="380" t="s">
        <v>24</v>
      </c>
      <c r="B75" s="380"/>
      <c r="C75" s="380"/>
      <c r="D75" s="380"/>
      <c r="E75" s="380"/>
      <c r="F75" s="380"/>
      <c r="G75" s="380"/>
      <c r="H75" s="380"/>
      <c r="I75" s="380"/>
      <c r="J75" s="380"/>
      <c r="K75" s="380"/>
      <c r="L75" s="380"/>
      <c r="M75" s="380"/>
    </row>
  </sheetData>
  <sheetProtection algorithmName="SHA-512" hashValue="0GV6f5ee5cBa9XpL0CULeEbXdzT4n7YqebZk/YmKc6ohYvqncm8JqFXvPo+4pp346GwRKkT2vYdBlr+fCuqX8Q==" saltValue="7f5xAnzmPRRSKXblea7IMg==" spinCount="100000" sheet="1" formatColumns="0" formatRows="0"/>
  <mergeCells count="14">
    <mergeCell ref="A75:M75"/>
    <mergeCell ref="A64:B64"/>
    <mergeCell ref="H64:I64"/>
    <mergeCell ref="A23:F23"/>
    <mergeCell ref="H23:M23"/>
    <mergeCell ref="A33:C33"/>
    <mergeCell ref="H33:J33"/>
    <mergeCell ref="A44:C44"/>
    <mergeCell ref="H44:J44"/>
    <mergeCell ref="G1:G74"/>
    <mergeCell ref="A54:B54"/>
    <mergeCell ref="H54:I54"/>
    <mergeCell ref="A69:B69"/>
    <mergeCell ref="H69:I69"/>
  </mergeCells>
  <conditionalFormatting sqref="A55">
    <cfRule type="containsText" dxfId="204" priority="2" operator="containsText" text="not valid">
      <formula>NOT(ISERROR(SEARCH("not valid",A55)))</formula>
    </cfRule>
  </conditionalFormatting>
  <conditionalFormatting sqref="H55">
    <cfRule type="containsText" dxfId="203" priority="1" operator="containsText" text="not valid">
      <formula>NOT(ISERROR(SEARCH("not valid",H55)))</formula>
    </cfRule>
  </conditionalFormatting>
  <dataValidations count="1">
    <dataValidation type="list" allowBlank="1" showInputMessage="1" showErrorMessage="1" sqref="B38:B42 I38:I42" xr:uid="{00000000-0002-0000-0F00-000000000000}">
      <formula1>Exception_c</formula1>
    </dataValidation>
  </dataValidations>
  <hyperlinks>
    <hyperlink ref="C72" r:id="rId1" xr:uid="{00000000-0004-0000-0F00-000000000000}"/>
    <hyperlink ref="J72" r:id="rId2" xr:uid="{00000000-0004-0000-0F00-000001000000}"/>
    <hyperlink ref="A74" r:id="rId3" xr:uid="{7E8FE70E-4876-4073-9E5C-AD09B59EBFE2}"/>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70C0"/>
  </sheetPr>
  <dimension ref="A1:F43"/>
  <sheetViews>
    <sheetView showGridLines="0" workbookViewId="0"/>
  </sheetViews>
  <sheetFormatPr defaultColWidth="0" defaultRowHeight="14.75" zeroHeight="1" x14ac:dyDescent="0.75"/>
  <cols>
    <col min="1" max="1" width="43.40625" bestFit="1" customWidth="1"/>
    <col min="2" max="5" width="33.7265625" customWidth="1"/>
    <col min="6" max="6" width="0.86328125" customWidth="1"/>
    <col min="7" max="16384" width="9.1328125" hidden="1"/>
  </cols>
  <sheetData>
    <row r="1" spans="1:5" ht="21" x14ac:dyDescent="1">
      <c r="A1" s="302" t="str">
        <f>CONCATENATE("Summary of Year 4: State Fiscal Year ",'2. Getting Started'!B6+3)</f>
        <v>Summary of Year 4: State Fiscal Year 2027</v>
      </c>
      <c r="B1" s="300"/>
      <c r="C1" s="300"/>
      <c r="D1" s="21" t="s">
        <v>14</v>
      </c>
      <c r="E1" s="20" t="str">
        <f>IF('2. Getting Started'!B2="","",'2. Getting Started'!B2)</f>
        <v/>
      </c>
    </row>
    <row r="2" spans="1:5" ht="18.5" x14ac:dyDescent="0.9">
      <c r="A2" s="2" t="str">
        <f>CONCATENATE("State fiscal year ",'2. Getting Started'!B6+3," covers the period ",'2. Getting Started'!B4,", ",'2. Getting Started'!B6+2," through ",'2. Getting Started'!B5,", ",'2. Getting Started'!B6+3)</f>
        <v>State fiscal year 2027 covers the period July 1, 2026 through June 30, 2027</v>
      </c>
      <c r="B2" s="300"/>
      <c r="C2" s="300"/>
      <c r="D2" s="301"/>
      <c r="E2" s="300"/>
    </row>
    <row r="3" spans="1:5" ht="18.5" x14ac:dyDescent="0.9">
      <c r="A3" s="8"/>
      <c r="B3" s="18"/>
      <c r="C3" s="18"/>
      <c r="D3" s="201"/>
      <c r="E3" s="18"/>
    </row>
    <row r="4" spans="1:5" ht="16" x14ac:dyDescent="0.8">
      <c r="A4" s="5" t="s">
        <v>7</v>
      </c>
      <c r="B4" s="4"/>
      <c r="C4" s="4"/>
      <c r="D4" s="4"/>
      <c r="E4" s="4"/>
    </row>
    <row r="5" spans="1:5" x14ac:dyDescent="0.75">
      <c r="A5" s="260" t="s">
        <v>125</v>
      </c>
      <c r="B5" s="244" t="s">
        <v>0</v>
      </c>
      <c r="C5" s="244" t="s">
        <v>2</v>
      </c>
      <c r="D5" s="244" t="s">
        <v>3</v>
      </c>
      <c r="E5" s="245" t="s">
        <v>4</v>
      </c>
    </row>
    <row r="6" spans="1:5" x14ac:dyDescent="0.75">
      <c r="A6" s="243" t="s">
        <v>44</v>
      </c>
      <c r="B6" s="3" t="str">
        <f>IF('2. Getting Started'!B10="","",IF('38. Total Local Funds'!$F22="Met",'2. Getting Started'!$B$6+1,IF('38. Total Local Funds'!$F14="Met",'2. Getting Started'!$B$6,'2. Getting Started'!$B10)))</f>
        <v/>
      </c>
      <c r="C6" s="3" t="str">
        <f>IF('2. Getting Started'!B11="","",IF('39. Total State &amp; Local Funds'!$F22="Met",'2. Getting Started'!$B$6+1,IF('39. Total State &amp; Local Funds'!$F14="Met",'2. Getting Started'!$B$6,'2. Getting Started'!$B11)))</f>
        <v/>
      </c>
      <c r="D6" s="3" t="str">
        <f>IF('2. Getting Started'!B12="","",IF('40. Local Funds Per Capita'!$F23="Met",'2. Getting Started'!$B$6+1,IF('40. Local Funds Per Capita'!$F15="Met",'2. Getting Started'!$B$6,'2. Getting Started'!$B12)))</f>
        <v/>
      </c>
      <c r="E6" s="257" t="str">
        <f>IF('2. Getting Started'!B13="","",IF('41. State &amp; Local Funds Per Cap'!$F23="Met",'2. Getting Started'!$B$6+1,IF('41. State &amp; Local Funds Per Cap'!$F15="Met",'2. Getting Started'!$B$6,'2. Getting Started'!$B13)))</f>
        <v/>
      </c>
    </row>
    <row r="7" spans="1:5" x14ac:dyDescent="0.75">
      <c r="A7" s="243" t="s">
        <v>45</v>
      </c>
      <c r="B7" s="204" t="str">
        <f>IF(B6="","",IF(B6='2. Getting Started'!$B$6+1,'8. Year 2 Amounts'!K30,IF(B6='2. Getting Started'!$B$6,'5. Year 1 Amounts'!K30,'2. Getting Started'!$C10)))</f>
        <v/>
      </c>
      <c r="C7" s="204" t="str">
        <f>IF(C6="","",IF(C6='2. Getting Started'!$B$6+1,'8. Year 2 Amounts'!M30,IF(C6='2. Getting Started'!$B$6,'5. Year 1 Amounts'!M30,'2. Getting Started'!$C11)))</f>
        <v/>
      </c>
      <c r="D7" s="204" t="str">
        <f>IF(D6="","",IF(D6='2. Getting Started'!$B$6+1,'8. Year 2 Amounts'!K31,IF(D6='2. Getting Started'!$B$6,'5. Year 1 Amounts'!K31,'2. Getting Started'!$C12)))</f>
        <v/>
      </c>
      <c r="E7" s="267" t="str">
        <f>IF(E6="","",IF(E6='2. Getting Started'!$B$6+1,'8. Year 2 Amounts'!M31,IF(E6='2. Getting Started'!$B$6,'5. Year 1 Amounts'!M31,'2. Getting Started'!$C13)))</f>
        <v/>
      </c>
    </row>
    <row r="8" spans="1:5" x14ac:dyDescent="0.75">
      <c r="A8" s="243" t="s">
        <v>9</v>
      </c>
      <c r="B8" s="204" t="str">
        <f>'14. Year 4 Amounts'!D30</f>
        <v/>
      </c>
      <c r="C8" s="204" t="str">
        <f>'14. Year 4 Amounts'!F30</f>
        <v/>
      </c>
      <c r="D8" s="204" t="str">
        <f>'14. Year 4 Amounts'!D31</f>
        <v/>
      </c>
      <c r="E8" s="267" t="str">
        <f>'14. Year 4 Amounts'!F31</f>
        <v/>
      </c>
    </row>
    <row r="9" spans="1:5" x14ac:dyDescent="0.75">
      <c r="A9" s="243" t="s">
        <v>117</v>
      </c>
      <c r="B9" s="200" t="str">
        <f>IF(B8="","",IF(B8&gt;=B7,"Met",IF(AND(B8&lt;B7,'38. Total Local Funds'!$B38="Met"),"Met with Exceptions &amp; Adjustments","Did Not Meet")))</f>
        <v/>
      </c>
      <c r="C9" s="200" t="str">
        <f>IF(C8="","",IF(C8&gt;=C7,"Met",IF(AND(C8&lt;C7,'39. Total State &amp; Local Funds'!$B38="Met"),"Met with Exceptions &amp; Adjustments","Did Not Meet")))</f>
        <v/>
      </c>
      <c r="D9" s="200" t="str">
        <f>IF(D8="","",IF(D8&gt;=D7,"Met",IF(AND(D8&lt;D7,'40. Local Funds Per Capita'!$B39="Met"),"Met with Exceptions &amp; Adjustments","Did Not Meet")))</f>
        <v/>
      </c>
      <c r="E9" s="259" t="str">
        <f>IF(E8="","",IF(E8&gt;=E7,"Met",IF(AND(E8&lt;E7,'41. State &amp; Local Funds Per Cap'!$B39="Met"),"Met with Exceptions &amp; Adjustments","Did Not Meet")))</f>
        <v/>
      </c>
    </row>
    <row r="10" spans="1:5" x14ac:dyDescent="0.75">
      <c r="A10" s="246" t="s">
        <v>46</v>
      </c>
      <c r="B10" s="256" t="str">
        <f>IF(B9="","",IF(B9="Did Not Meet",'38. Total Local Funds'!$B36-'38. Total Local Funds'!$B37,0))</f>
        <v/>
      </c>
      <c r="C10" s="256" t="str">
        <f>IF(C9="","",IF(C9="Did Not Meet",'39. Total State &amp; Local Funds'!$B36-'39. Total State &amp; Local Funds'!$B37,0))</f>
        <v/>
      </c>
      <c r="D10" s="256" t="str">
        <f>IF(D9="","",IF(D9="Did Not Meet",(('40. Local Funds Per Capita'!$B37-'40. Local Funds Per Capita'!$B38)*'14. Year 4 Amounts'!B1),0))</f>
        <v/>
      </c>
      <c r="E10" s="261" t="str">
        <f>IF(E9="","",IF(E9="Did Not Meet",(('41. State &amp; Local Funds Per Cap'!$B37-'41. State &amp; Local Funds Per Cap'!$B38)*'14. Year 4 Amounts'!B1),0))</f>
        <v/>
      </c>
    </row>
    <row r="11" spans="1:5" x14ac:dyDescent="0.75">
      <c r="A11" s="373" t="s">
        <v>175</v>
      </c>
      <c r="B11" s="373"/>
      <c r="C11" s="373"/>
      <c r="D11" s="373"/>
      <c r="E11" s="373"/>
    </row>
    <row r="12" spans="1:5" ht="16" x14ac:dyDescent="0.8">
      <c r="A12" s="5" t="s">
        <v>10</v>
      </c>
      <c r="B12" s="5"/>
      <c r="C12" s="5"/>
      <c r="D12" s="5"/>
      <c r="E12" s="5"/>
    </row>
    <row r="13" spans="1:5" x14ac:dyDescent="0.75">
      <c r="A13" s="260" t="s">
        <v>125</v>
      </c>
      <c r="B13" s="244" t="s">
        <v>0</v>
      </c>
      <c r="C13" s="244" t="s">
        <v>2</v>
      </c>
      <c r="D13" s="244" t="s">
        <v>3</v>
      </c>
      <c r="E13" s="245" t="s">
        <v>4</v>
      </c>
    </row>
    <row r="14" spans="1:5" x14ac:dyDescent="0.75">
      <c r="A14" s="243" t="s">
        <v>44</v>
      </c>
      <c r="B14" s="3" t="str">
        <f>IF('2. Getting Started'!B10="","",IF('38. Total Local Funds'!F30="Met",'2. Getting Started'!$B$6+2,IF('38. Total Local Funds'!F22="Met",'2. Getting Started'!$B$6+1,IF('38. Total Local Funds'!$F14="Met",'2. Getting Started'!$B$6,'2. Getting Started'!$B10))))</f>
        <v/>
      </c>
      <c r="C14" s="3" t="str">
        <f>IF('2. Getting Started'!B11="","",IF('39. Total State &amp; Local Funds'!F30="Met",'2. Getting Started'!$B$6+2,IF('39. Total State &amp; Local Funds'!F22="Met",'2. Getting Started'!$B$6+1,IF('39. Total State &amp; Local Funds'!$F14="Met",'2. Getting Started'!$B$6,'2. Getting Started'!$B11))))</f>
        <v/>
      </c>
      <c r="D14" s="3" t="str">
        <f>IF('2. Getting Started'!B12="","",IF('40. Local Funds Per Capita'!F31="Met",'2. Getting Started'!$B$6+2,IF('40. Local Funds Per Capita'!F23="Met",'2. Getting Started'!$B$6+1,IF('40. Local Funds Per Capita'!$F15="Met",'2. Getting Started'!$B$6,'2. Getting Started'!$B12))))</f>
        <v/>
      </c>
      <c r="E14" s="257" t="str">
        <f>IF('2. Getting Started'!B13="","",IF('41. State &amp; Local Funds Per Cap'!F31="Met",'2. Getting Started'!$B$6+2,IF('41. State &amp; Local Funds Per Cap'!F23="Met",'2. Getting Started'!$B$6+1,IF('41. State &amp; Local Funds Per Cap'!$F15="Met",'2. Getting Started'!$B$6,'2. Getting Started'!$B13))))</f>
        <v/>
      </c>
    </row>
    <row r="15" spans="1:5" x14ac:dyDescent="0.75">
      <c r="A15" s="243" t="s">
        <v>45</v>
      </c>
      <c r="B15" s="17" t="str">
        <f>IF(B14="","",IF(B14='2. Getting Started'!$B$6+2,'11. Year 3 Amounts'!K30,IF(B14='2. Getting Started'!$B$6+1,'8. Year 2 Amounts'!K30,IF(B14='2. Getting Started'!$B$6,'5. Year 1 Amounts'!K30,'2. Getting Started'!$C10))))</f>
        <v/>
      </c>
      <c r="C15" s="17" t="str">
        <f>IF(C14="","",IF(C14='2. Getting Started'!$B$6+2,'11. Year 3 Amounts'!M30,IF(C14='2. Getting Started'!$B$6+1,'8. Year 2 Amounts'!M30,IF(C14='2. Getting Started'!$B$6,'5. Year 1 Amounts'!M30,'2. Getting Started'!$C11))))</f>
        <v/>
      </c>
      <c r="D15" s="17" t="str">
        <f>IF(D14="","",IF(D14='2. Getting Started'!$B$6+2,'11. Year 3 Amounts'!K31,IF(D14='2. Getting Started'!$B$6+1,'8. Year 2 Amounts'!K31,IF(D14='2. Getting Started'!$B$6,'5. Year 1 Amounts'!K31,'2. Getting Started'!$C12))))</f>
        <v/>
      </c>
      <c r="E15" s="258" t="str">
        <f>IF(E14="","",IF(E14='2. Getting Started'!$B$6+2,'11. Year 3 Amounts'!M31,IF(E14='2. Getting Started'!$B$6+1,'8. Year 2 Amounts'!M31,IF(E14='2. Getting Started'!$B$6,'5. Year 1 Amounts'!M31,'2. Getting Started'!$C13))))</f>
        <v/>
      </c>
    </row>
    <row r="16" spans="1:5" x14ac:dyDescent="0.75">
      <c r="A16" s="243" t="s">
        <v>11</v>
      </c>
      <c r="B16" s="17" t="str">
        <f>'14. Year 4 Amounts'!K30</f>
        <v/>
      </c>
      <c r="C16" s="17" t="str">
        <f>'14. Year 4 Amounts'!M30</f>
        <v/>
      </c>
      <c r="D16" s="17" t="str">
        <f>'14. Year 4 Amounts'!K31</f>
        <v/>
      </c>
      <c r="E16" s="258" t="str">
        <f>'14. Year 4 Amounts'!M31</f>
        <v/>
      </c>
    </row>
    <row r="17" spans="1:5" x14ac:dyDescent="0.75">
      <c r="A17" s="243" t="s">
        <v>117</v>
      </c>
      <c r="B17" s="200" t="str">
        <f>IF(B16="","",IF(B16&gt;=B15,"Met",IF(AND(B16&lt;B15,'38. Total Local Funds'!F38="Met"),"Met with Exceptions &amp; Adjustments","Did Not Meet")))</f>
        <v/>
      </c>
      <c r="C17" s="200" t="str">
        <f>IF(C16="","",IF(C16&gt;=C15,"Met",IF(AND(C16&lt;C15,'39. Total State &amp; Local Funds'!F38="Met"),"Met with Exceptions &amp; Adjustments","Did Not Meet")))</f>
        <v/>
      </c>
      <c r="D17" s="200" t="str">
        <f>IF(D16="","",IF(D16&gt;=D15,"Met",IF(AND(D16&lt;D15,'40. Local Funds Per Capita'!F39="Met"),"Met with Exceptions &amp; Adjustments","Did Not Meet")))</f>
        <v/>
      </c>
      <c r="E17" s="259" t="str">
        <f>IF(E16="","",IF(E16&gt;=E15,"Met",IF(AND(E16&lt;E15,'41. State &amp; Local Funds Per Cap'!F39="Met"),"Met with Exceptions &amp; Adjustments","Did Not Meet")))</f>
        <v/>
      </c>
    </row>
    <row r="18" spans="1:5" x14ac:dyDescent="0.75">
      <c r="A18" s="246" t="s">
        <v>46</v>
      </c>
      <c r="B18" s="256" t="str">
        <f>IF(B17="","",IF(B17="Did Not Meet",'38. Total Local Funds'!F36-'38. Total Local Funds'!F37,0))</f>
        <v/>
      </c>
      <c r="C18" s="256" t="str">
        <f>IF(C17="","",IF(C17="Did Not Meet",'39. Total State &amp; Local Funds'!F36-'39. Total State &amp; Local Funds'!F37,0))</f>
        <v/>
      </c>
      <c r="D18" s="256" t="str">
        <f>IF(D17="","",IF(D17="Did Not Meet",(('40. Local Funds Per Capita'!F37-'40. Local Funds Per Capita'!F38)*'14. Year 4 Amounts'!I1),0))</f>
        <v/>
      </c>
      <c r="E18" s="261" t="str">
        <f>IF(E17="","",IF(E17="Did Not Meet",(('41. State &amp; Local Funds Per Cap'!F37-'41. State &amp; Local Funds Per Cap'!F38)*'14. Year 4 Amounts'!I1),0))</f>
        <v/>
      </c>
    </row>
    <row r="19" spans="1:5" x14ac:dyDescent="0.75">
      <c r="A19" s="373" t="s">
        <v>175</v>
      </c>
      <c r="B19" s="373"/>
      <c r="C19" s="373"/>
      <c r="D19" s="373"/>
      <c r="E19" s="373"/>
    </row>
    <row r="20" spans="1:5" ht="16" x14ac:dyDescent="0.8">
      <c r="A20" s="198"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9"/>
    </row>
    <row r="21" spans="1:5" x14ac:dyDescent="0.75">
      <c r="A21" s="260" t="s">
        <v>126</v>
      </c>
      <c r="B21" s="271" t="s">
        <v>130</v>
      </c>
    </row>
    <row r="22" spans="1:5" x14ac:dyDescent="0.75">
      <c r="A22" s="243" t="s">
        <v>110</v>
      </c>
      <c r="B22" s="272"/>
    </row>
    <row r="23" spans="1:5" x14ac:dyDescent="0.75">
      <c r="A23" s="243" t="s">
        <v>111</v>
      </c>
      <c r="B23" s="272"/>
    </row>
    <row r="24" spans="1:5" x14ac:dyDescent="0.75">
      <c r="A24" s="243" t="s">
        <v>112</v>
      </c>
      <c r="B24" s="258">
        <f>B22+B23</f>
        <v>0</v>
      </c>
    </row>
    <row r="25" spans="1:5" x14ac:dyDescent="0.75">
      <c r="A25" s="243" t="s">
        <v>113</v>
      </c>
      <c r="B25" s="258">
        <f>MIN(B24,B18,C18,D18,E18)</f>
        <v>0</v>
      </c>
    </row>
    <row r="26" spans="1:5" x14ac:dyDescent="0.75">
      <c r="A26" s="243" t="s">
        <v>114</v>
      </c>
      <c r="B26" s="263"/>
    </row>
    <row r="27" spans="1:5" x14ac:dyDescent="0.75">
      <c r="A27" s="246" t="s">
        <v>115</v>
      </c>
      <c r="B27" s="264"/>
    </row>
    <row r="28" spans="1:5" x14ac:dyDescent="0.75">
      <c r="A28" s="373" t="s">
        <v>175</v>
      </c>
      <c r="B28" s="373"/>
      <c r="C28" s="373"/>
      <c r="D28" s="373"/>
      <c r="E28" s="373"/>
    </row>
    <row r="29" spans="1:5" ht="16" x14ac:dyDescent="0.8">
      <c r="A29" s="322" t="s">
        <v>149</v>
      </c>
    </row>
    <row r="30" spans="1:5" x14ac:dyDescent="0.75">
      <c r="A30" s="373" t="s">
        <v>175</v>
      </c>
      <c r="B30" s="373"/>
      <c r="C30" s="373"/>
      <c r="D30" s="373"/>
      <c r="E30" s="373"/>
    </row>
    <row r="31" spans="1:5" x14ac:dyDescent="0.75">
      <c r="A31" s="2" t="str">
        <f>CONCATENATE("Exceptions and Adjustment Claimed for State Fiscal Year ",'2. Getting Started'!B6+3)</f>
        <v>Exceptions and Adjustment Claimed for State Fiscal Year 2027</v>
      </c>
    </row>
    <row r="32" spans="1:5" x14ac:dyDescent="0.75">
      <c r="A32" s="2"/>
      <c r="B32" s="323" t="s">
        <v>148</v>
      </c>
      <c r="C32" s="4"/>
      <c r="D32" s="323" t="s">
        <v>152</v>
      </c>
      <c r="E32" s="4"/>
    </row>
    <row r="33" spans="1:5" x14ac:dyDescent="0.75">
      <c r="A33" s="217" t="s">
        <v>151</v>
      </c>
      <c r="B33" s="324" t="s">
        <v>155</v>
      </c>
      <c r="C33" s="325" t="s">
        <v>156</v>
      </c>
      <c r="D33" s="326" t="s">
        <v>153</v>
      </c>
      <c r="E33" s="325" t="s">
        <v>154</v>
      </c>
    </row>
    <row r="34" spans="1:5" x14ac:dyDescent="0.75">
      <c r="A34" s="223" t="s">
        <v>140</v>
      </c>
      <c r="B34" s="17">
        <f>'15. Year 4 Exc &amp; Adj'!F22</f>
        <v>0</v>
      </c>
      <c r="C34" s="258">
        <f>'15. Year 4 Exc &amp; Adj'!F22</f>
        <v>0</v>
      </c>
      <c r="D34" s="327">
        <f>'15. Year 4 Exc &amp; Adj'!M22</f>
        <v>0</v>
      </c>
      <c r="E34" s="17">
        <f>'15. Year 4 Exc &amp; Adj'!M22</f>
        <v>0</v>
      </c>
    </row>
    <row r="35" spans="1:5" x14ac:dyDescent="0.75">
      <c r="A35" s="223" t="s">
        <v>141</v>
      </c>
      <c r="B35" s="17" t="str">
        <f>'15. Year 4 Exc &amp; Adj'!B32</f>
        <v/>
      </c>
      <c r="C35" s="258" t="str">
        <f>'15. Year 4 Exc &amp; Adj'!C32</f>
        <v/>
      </c>
      <c r="D35" s="327" t="str">
        <f>'15. Year 4 Exc &amp; Adj'!I32</f>
        <v/>
      </c>
      <c r="E35" s="258" t="str">
        <f>'15. Year 4 Exc &amp; Adj'!J32</f>
        <v/>
      </c>
    </row>
    <row r="36" spans="1:5" x14ac:dyDescent="0.75">
      <c r="A36" s="223" t="s">
        <v>142</v>
      </c>
      <c r="B36" s="17">
        <f>'15. Year 4 Exc &amp; Adj'!C43</f>
        <v>0</v>
      </c>
      <c r="C36" s="258">
        <f>'15. Year 4 Exc &amp; Adj'!C43</f>
        <v>0</v>
      </c>
      <c r="D36" s="327">
        <f>'15. Year 4 Exc &amp; Adj'!J43</f>
        <v>0</v>
      </c>
      <c r="E36" s="17">
        <f>'15. Year 4 Exc &amp; Adj'!J43</f>
        <v>0</v>
      </c>
    </row>
    <row r="37" spans="1:5" x14ac:dyDescent="0.75">
      <c r="A37" s="223" t="s">
        <v>143</v>
      </c>
      <c r="B37" s="17">
        <f>'15. Year 4 Exc &amp; Adj'!B53</f>
        <v>0</v>
      </c>
      <c r="C37" s="258">
        <f>'15. Year 4 Exc &amp; Adj'!B53</f>
        <v>0</v>
      </c>
      <c r="D37" s="327">
        <f>'15. Year 4 Exc &amp; Adj'!I53</f>
        <v>0</v>
      </c>
      <c r="E37" s="17">
        <f>'15. Year 4 Exc &amp; Adj'!I53</f>
        <v>0</v>
      </c>
    </row>
    <row r="38" spans="1:5" x14ac:dyDescent="0.75">
      <c r="A38" s="223" t="str">
        <f>IF('3b. High Cost Fund'!B6="No","This exception is not valid for your state.","Exception (e)")</f>
        <v>This exception is not valid for your state.</v>
      </c>
      <c r="B38" s="332" t="str">
        <f>IF('3b. High Cost Fund'!B6="No","",'15. Year 4 Exc &amp; Adj'!B63)</f>
        <v/>
      </c>
      <c r="C38" s="333" t="str">
        <f>IF('3b. High Cost Fund'!B6="No","",'15. Year 4 Exc &amp; Adj'!B63)</f>
        <v/>
      </c>
      <c r="D38" s="327" t="str">
        <f>IF('3b. High Cost Fund'!B6="No","",'15. Year 4 Exc &amp; Adj'!I63)</f>
        <v/>
      </c>
      <c r="E38" s="332" t="str">
        <f>IF('3b. High Cost Fund'!B6="No","",'15. Year 4 Exc &amp; Adj'!I63)</f>
        <v/>
      </c>
    </row>
    <row r="39" spans="1:5" x14ac:dyDescent="0.75">
      <c r="A39" s="223" t="s">
        <v>144</v>
      </c>
      <c r="B39" s="17">
        <f>AdjDataYear4Budget[Projected Adjustment]</f>
        <v>0</v>
      </c>
      <c r="C39" s="17">
        <f>AdjDataYear4Budget[Projected Adjustment]</f>
        <v>0</v>
      </c>
      <c r="D39" s="328">
        <f>AdjDataYear4Expenditures[[Adjustment ]]</f>
        <v>0</v>
      </c>
      <c r="E39" s="17">
        <f>AdjDataYear4Expenditures[[Adjustment ]]</f>
        <v>0</v>
      </c>
    </row>
    <row r="40" spans="1:5" x14ac:dyDescent="0.75">
      <c r="A40" s="246" t="s">
        <v>124</v>
      </c>
      <c r="B40" s="329">
        <f>SUM(B34:B39)</f>
        <v>0</v>
      </c>
      <c r="C40" s="330">
        <f>SUM(C34:C39)</f>
        <v>0</v>
      </c>
      <c r="D40" s="331">
        <f>SUM(D34:D39)</f>
        <v>0</v>
      </c>
      <c r="E40" s="330">
        <f>SUM(E34:E39)</f>
        <v>0</v>
      </c>
    </row>
    <row r="41" spans="1:5" ht="29.25" customHeight="1" x14ac:dyDescent="0.75">
      <c r="A41" s="345" t="s">
        <v>183</v>
      </c>
      <c r="B41" s="346"/>
      <c r="C41" s="346"/>
      <c r="D41" s="346"/>
      <c r="E41" s="346"/>
    </row>
    <row r="42" spans="1:5" ht="16" x14ac:dyDescent="0.8">
      <c r="A42" s="358" t="s">
        <v>182</v>
      </c>
    </row>
    <row r="43" spans="1:5" x14ac:dyDescent="0.75">
      <c r="A43" s="373" t="s">
        <v>24</v>
      </c>
      <c r="B43" s="373"/>
      <c r="C43" s="373"/>
      <c r="D43" s="373"/>
      <c r="E43" s="373"/>
    </row>
  </sheetData>
  <sheetProtection algorithmName="SHA-512" hashValue="rNwokvoXT5vPWnvoU7bdGx7t4mQWtZqPVecaq2sCgR1QBGvE3B8GRKZfrBLPX9SEmdi23FMcceIDs86LFf/ygw==" saltValue="jqNeIzy/1srAePh+v+0o5g==" spinCount="100000" sheet="1" objects="1" scenarios="1" formatColumns="0" formatRows="0"/>
  <mergeCells count="5">
    <mergeCell ref="A11:E11"/>
    <mergeCell ref="A19:E19"/>
    <mergeCell ref="A28:E28"/>
    <mergeCell ref="A30:E30"/>
    <mergeCell ref="A43:E43"/>
  </mergeCells>
  <conditionalFormatting sqref="B9:E9">
    <cfRule type="containsText" dxfId="202" priority="1" operator="containsText" text="Did Not Meet">
      <formula>NOT(ISERROR(SEARCH("Did Not Meet",B9)))</formula>
    </cfRule>
    <cfRule type="containsText" dxfId="201" priority="2" operator="containsText" text="Met">
      <formula>NOT(ISERROR(SEARCH("Met",B9)))</formula>
    </cfRule>
  </conditionalFormatting>
  <conditionalFormatting sqref="B17:E17">
    <cfRule type="containsText" dxfId="200" priority="3" operator="containsText" text="Did Not Meet">
      <formula>NOT(ISERROR(SEARCH("Did Not Meet",B17)))</formula>
    </cfRule>
    <cfRule type="containsText" dxfId="199" priority="4" operator="containsText" text="Met">
      <formula>NOT(ISERROR(SEARCH("Met",B17)))</formula>
    </cfRule>
  </conditionalFormatting>
  <hyperlinks>
    <hyperlink ref="A29" location="'4. Multi-Year MOE Summary'!A7" display="Go to the Multi-Year MOE Summary" xr:uid="{00000000-0004-0000-1000-000000000000}"/>
    <hyperlink ref="A42" r:id="rId1" xr:uid="{C0B29EF7-BB84-4E0F-888B-ADA1D6CFB458}"/>
  </hyperlinks>
  <pageMargins left="0.7" right="0.7" top="0.75" bottom="0.75" header="0.3" footer="0.3"/>
  <pageSetup orientation="landscape" verticalDpi="300" r:id="rId2"/>
  <tableParts count="4">
    <tablePart r:id="rId3"/>
    <tablePart r:id="rId4"/>
    <tablePart r:id="rId5"/>
    <tablePart r:id="rId6"/>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FF0000"/>
    <pageSetUpPr autoPageBreaks="0"/>
  </sheetPr>
  <dimension ref="A1:N35"/>
  <sheetViews>
    <sheetView showGridLines="0" workbookViewId="0">
      <pane ySplit="4" topLeftCell="A5" activePane="bottomLeft" state="frozen"/>
      <selection activeCell="D5" sqref="D5"/>
      <selection pane="bottomLeft" activeCell="A5" sqref="A5"/>
    </sheetView>
  </sheetViews>
  <sheetFormatPr defaultColWidth="0" defaultRowHeight="0" customHeight="1" zeroHeight="1" x14ac:dyDescent="0.75"/>
  <cols>
    <col min="1" max="1" width="39.40625" style="20" bestFit="1" customWidth="1"/>
    <col min="2" max="3" width="12.86328125" style="20" customWidth="1"/>
    <col min="4" max="6" width="23.7265625" style="20" customWidth="1"/>
    <col min="7" max="7" width="5.40625" style="20" customWidth="1"/>
    <col min="8" max="8" width="39.40625" style="20" customWidth="1"/>
    <col min="9" max="10" width="12.86328125" style="20" customWidth="1"/>
    <col min="11" max="13" width="23.7265625" style="20" customWidth="1"/>
    <col min="14" max="14" width="0.86328125" style="20" customWidth="1"/>
    <col min="15" max="16384" width="10.54296875" style="20" hidden="1"/>
  </cols>
  <sheetData>
    <row r="1" spans="1:13" ht="16.75" thickBot="1" x14ac:dyDescent="0.9">
      <c r="A1" s="19" t="s">
        <v>48</v>
      </c>
      <c r="B1" s="48"/>
      <c r="D1" s="21" t="s">
        <v>14</v>
      </c>
      <c r="E1" s="20" t="str">
        <f>IF('2. Getting Started'!B2="","",'2. Getting Started'!B2)</f>
        <v/>
      </c>
      <c r="G1" s="376" t="s">
        <v>22</v>
      </c>
      <c r="H1" s="19" t="s">
        <v>49</v>
      </c>
      <c r="I1" s="48"/>
      <c r="K1" s="21" t="s">
        <v>14</v>
      </c>
      <c r="L1" s="20" t="str">
        <f>IF('2. Getting Started'!B2="","",'2. Getting Started'!B2)</f>
        <v/>
      </c>
    </row>
    <row r="2" spans="1:13" s="25" customFormat="1" ht="37.9" customHeight="1" thickBot="1" x14ac:dyDescent="0.9">
      <c r="A2" s="22" t="str">
        <f>CONCATENATE("Eligibility Standard - State Fiscal Year ",'2. Getting Started'!B6+4," -  LEA Effort - Budgeted Amounts")</f>
        <v>Eligibility Standard - State Fiscal Year 2028 -  LEA Effort - Budgeted Amounts</v>
      </c>
      <c r="B2" s="23"/>
      <c r="C2" s="23"/>
      <c r="D2" s="23"/>
      <c r="E2" s="23"/>
      <c r="F2" s="24"/>
      <c r="G2" s="376"/>
      <c r="H2" s="22" t="str">
        <f>CONCATENATE("Compliance Standard - State Fiscal Year ",'2. Getting Started'!B6+4," - LEA Effort - Final Expenditures")</f>
        <v>Compliance Standard - State Fiscal Year 2028 - LEA Effort - Final Expenditures</v>
      </c>
      <c r="I2" s="23"/>
      <c r="J2" s="23"/>
      <c r="K2" s="23"/>
      <c r="L2" s="23"/>
      <c r="M2" s="24"/>
    </row>
    <row r="3" spans="1:13" s="25" customFormat="1" ht="24" customHeight="1" x14ac:dyDescent="0.75">
      <c r="A3" s="26"/>
      <c r="B3" s="27"/>
      <c r="D3" s="28" t="str">
        <f>CONCATENATE("SFY ",'2. Getting Started'!$B6+4," Budget")</f>
        <v>SFY 2028 Budget</v>
      </c>
      <c r="E3" s="29"/>
      <c r="F3" s="30"/>
      <c r="G3" s="376"/>
      <c r="H3" s="26"/>
      <c r="I3" s="27"/>
      <c r="J3" s="31"/>
      <c r="K3" s="28" t="str">
        <f>CONCATENATE("SFY ",'2. Getting Started'!$B6+4," Final Expenditures")</f>
        <v>SFY 2028 Final Expenditures</v>
      </c>
      <c r="L3" s="29"/>
      <c r="M3" s="32"/>
    </row>
    <row r="4" spans="1:13" s="37" customFormat="1" ht="18.5" x14ac:dyDescent="0.9">
      <c r="A4" s="33" t="s">
        <v>50</v>
      </c>
      <c r="B4" s="34" t="s">
        <v>51</v>
      </c>
      <c r="C4" s="35" t="s">
        <v>52</v>
      </c>
      <c r="D4" s="36" t="s">
        <v>53</v>
      </c>
      <c r="E4" s="36" t="s">
        <v>54</v>
      </c>
      <c r="F4" s="36" t="s">
        <v>8</v>
      </c>
      <c r="G4" s="376"/>
      <c r="H4" s="33" t="s">
        <v>50</v>
      </c>
      <c r="I4" s="34" t="s">
        <v>55</v>
      </c>
      <c r="J4" s="35" t="s">
        <v>52</v>
      </c>
      <c r="K4" s="36" t="s">
        <v>53</v>
      </c>
      <c r="L4" s="36" t="s">
        <v>54</v>
      </c>
      <c r="M4" s="36" t="s">
        <v>8</v>
      </c>
    </row>
    <row r="5" spans="1:13" ht="16" x14ac:dyDescent="0.75">
      <c r="A5" s="49"/>
      <c r="B5" s="50"/>
      <c r="C5" s="51"/>
      <c r="D5" s="52"/>
      <c r="E5" s="52"/>
      <c r="F5" s="38" t="str">
        <f>IF(AND(D5="",E5=""),"",SUM(D5:E5))</f>
        <v/>
      </c>
      <c r="G5" s="376"/>
      <c r="H5" s="49"/>
      <c r="I5" s="50"/>
      <c r="J5" s="51"/>
      <c r="K5" s="52"/>
      <c r="L5" s="52"/>
      <c r="M5" s="38" t="str">
        <f>IF(AND(K5="",L5=""),"",SUM(K5:L5))</f>
        <v/>
      </c>
    </row>
    <row r="6" spans="1:13" ht="16" x14ac:dyDescent="0.75">
      <c r="A6" s="49"/>
      <c r="B6" s="50"/>
      <c r="C6" s="51"/>
      <c r="D6" s="52"/>
      <c r="E6" s="52"/>
      <c r="F6" s="38" t="str">
        <f t="shared" ref="F6:F29" si="0">IF(AND(D6="",E6=""),"",SUM(D6:E6))</f>
        <v/>
      </c>
      <c r="G6" s="376"/>
      <c r="H6" s="49"/>
      <c r="I6" s="50"/>
      <c r="J6" s="51"/>
      <c r="K6" s="52"/>
      <c r="L6" s="52"/>
      <c r="M6" s="38" t="str">
        <f t="shared" ref="M6:M29" si="1">IF(AND(K6="",L6=""),"",SUM(K6:L6))</f>
        <v/>
      </c>
    </row>
    <row r="7" spans="1:13" ht="16" x14ac:dyDescent="0.75">
      <c r="A7" s="49"/>
      <c r="B7" s="50"/>
      <c r="C7" s="51"/>
      <c r="D7" s="52"/>
      <c r="E7" s="52"/>
      <c r="F7" s="38" t="str">
        <f t="shared" si="0"/>
        <v/>
      </c>
      <c r="G7" s="376"/>
      <c r="H7" s="49"/>
      <c r="I7" s="50"/>
      <c r="J7" s="51"/>
      <c r="K7" s="52"/>
      <c r="L7" s="52"/>
      <c r="M7" s="38" t="str">
        <f t="shared" si="1"/>
        <v/>
      </c>
    </row>
    <row r="8" spans="1:13" ht="16" x14ac:dyDescent="0.75">
      <c r="A8" s="49"/>
      <c r="B8" s="50"/>
      <c r="C8" s="51"/>
      <c r="D8" s="52"/>
      <c r="E8" s="52"/>
      <c r="F8" s="38" t="str">
        <f t="shared" si="0"/>
        <v/>
      </c>
      <c r="G8" s="376"/>
      <c r="H8" s="49"/>
      <c r="I8" s="50"/>
      <c r="J8" s="51"/>
      <c r="K8" s="52"/>
      <c r="L8" s="52"/>
      <c r="M8" s="38" t="str">
        <f t="shared" si="1"/>
        <v/>
      </c>
    </row>
    <row r="9" spans="1:13" ht="16" x14ac:dyDescent="0.75">
      <c r="A9" s="49"/>
      <c r="B9" s="50"/>
      <c r="C9" s="51"/>
      <c r="D9" s="52"/>
      <c r="E9" s="52"/>
      <c r="F9" s="38" t="str">
        <f t="shared" si="0"/>
        <v/>
      </c>
      <c r="G9" s="376"/>
      <c r="H9" s="49"/>
      <c r="I9" s="50"/>
      <c r="J9" s="51"/>
      <c r="K9" s="52"/>
      <c r="L9" s="52"/>
      <c r="M9" s="38" t="str">
        <f t="shared" si="1"/>
        <v/>
      </c>
    </row>
    <row r="10" spans="1:13" ht="16" x14ac:dyDescent="0.75">
      <c r="A10" s="49"/>
      <c r="B10" s="50"/>
      <c r="C10" s="51"/>
      <c r="D10" s="52"/>
      <c r="E10" s="52"/>
      <c r="F10" s="38" t="str">
        <f t="shared" si="0"/>
        <v/>
      </c>
      <c r="G10" s="376"/>
      <c r="H10" s="49"/>
      <c r="I10" s="50"/>
      <c r="J10" s="51"/>
      <c r="K10" s="52"/>
      <c r="L10" s="52"/>
      <c r="M10" s="38" t="str">
        <f t="shared" si="1"/>
        <v/>
      </c>
    </row>
    <row r="11" spans="1:13" ht="16" x14ac:dyDescent="0.75">
      <c r="A11" s="49"/>
      <c r="B11" s="50"/>
      <c r="C11" s="51"/>
      <c r="D11" s="52"/>
      <c r="E11" s="52"/>
      <c r="F11" s="38" t="str">
        <f t="shared" si="0"/>
        <v/>
      </c>
      <c r="G11" s="376"/>
      <c r="H11" s="49"/>
      <c r="I11" s="50"/>
      <c r="J11" s="51"/>
      <c r="K11" s="52"/>
      <c r="L11" s="52"/>
      <c r="M11" s="38" t="str">
        <f t="shared" si="1"/>
        <v/>
      </c>
    </row>
    <row r="12" spans="1:13" ht="16" x14ac:dyDescent="0.75">
      <c r="A12" s="49"/>
      <c r="B12" s="50"/>
      <c r="C12" s="51"/>
      <c r="D12" s="52"/>
      <c r="E12" s="52"/>
      <c r="F12" s="38" t="str">
        <f t="shared" si="0"/>
        <v/>
      </c>
      <c r="G12" s="376"/>
      <c r="H12" s="49"/>
      <c r="I12" s="50"/>
      <c r="J12" s="51"/>
      <c r="K12" s="52"/>
      <c r="L12" s="52"/>
      <c r="M12" s="38" t="str">
        <f t="shared" si="1"/>
        <v/>
      </c>
    </row>
    <row r="13" spans="1:13" ht="16" x14ac:dyDescent="0.75">
      <c r="A13" s="49"/>
      <c r="B13" s="50"/>
      <c r="C13" s="51"/>
      <c r="D13" s="52"/>
      <c r="E13" s="52"/>
      <c r="F13" s="38" t="str">
        <f t="shared" si="0"/>
        <v/>
      </c>
      <c r="G13" s="376"/>
      <c r="H13" s="49"/>
      <c r="I13" s="50"/>
      <c r="J13" s="51"/>
      <c r="K13" s="52"/>
      <c r="L13" s="52"/>
      <c r="M13" s="38" t="str">
        <f t="shared" si="1"/>
        <v/>
      </c>
    </row>
    <row r="14" spans="1:13" ht="16" x14ac:dyDescent="0.75">
      <c r="A14" s="49"/>
      <c r="B14" s="50"/>
      <c r="C14" s="51"/>
      <c r="D14" s="52"/>
      <c r="E14" s="52"/>
      <c r="F14" s="38" t="str">
        <f t="shared" si="0"/>
        <v/>
      </c>
      <c r="G14" s="376"/>
      <c r="H14" s="49"/>
      <c r="I14" s="50"/>
      <c r="J14" s="51"/>
      <c r="K14" s="52"/>
      <c r="L14" s="52"/>
      <c r="M14" s="38" t="str">
        <f t="shared" si="1"/>
        <v/>
      </c>
    </row>
    <row r="15" spans="1:13" ht="16" x14ac:dyDescent="0.75">
      <c r="A15" s="49"/>
      <c r="B15" s="50"/>
      <c r="C15" s="51"/>
      <c r="D15" s="52"/>
      <c r="E15" s="52"/>
      <c r="F15" s="38" t="str">
        <f t="shared" si="0"/>
        <v/>
      </c>
      <c r="G15" s="376"/>
      <c r="H15" s="49"/>
      <c r="I15" s="50"/>
      <c r="J15" s="51"/>
      <c r="K15" s="52"/>
      <c r="L15" s="52"/>
      <c r="M15" s="38" t="str">
        <f t="shared" si="1"/>
        <v/>
      </c>
    </row>
    <row r="16" spans="1:13" ht="16" x14ac:dyDescent="0.75">
      <c r="A16" s="49"/>
      <c r="B16" s="50"/>
      <c r="C16" s="51"/>
      <c r="D16" s="52"/>
      <c r="E16" s="52"/>
      <c r="F16" s="38" t="str">
        <f t="shared" si="0"/>
        <v/>
      </c>
      <c r="G16" s="376"/>
      <c r="H16" s="49"/>
      <c r="I16" s="50"/>
      <c r="J16" s="51"/>
      <c r="K16" s="52"/>
      <c r="L16" s="52"/>
      <c r="M16" s="38" t="str">
        <f t="shared" si="1"/>
        <v/>
      </c>
    </row>
    <row r="17" spans="1:13" ht="16" x14ac:dyDescent="0.75">
      <c r="A17" s="49"/>
      <c r="B17" s="50"/>
      <c r="C17" s="51"/>
      <c r="D17" s="52"/>
      <c r="E17" s="52"/>
      <c r="F17" s="38" t="str">
        <f t="shared" si="0"/>
        <v/>
      </c>
      <c r="G17" s="376"/>
      <c r="H17" s="49"/>
      <c r="I17" s="50"/>
      <c r="J17" s="51"/>
      <c r="K17" s="52"/>
      <c r="L17" s="52"/>
      <c r="M17" s="38" t="str">
        <f t="shared" si="1"/>
        <v/>
      </c>
    </row>
    <row r="18" spans="1:13" ht="16" x14ac:dyDescent="0.75">
      <c r="A18" s="49"/>
      <c r="B18" s="50"/>
      <c r="C18" s="51"/>
      <c r="D18" s="52"/>
      <c r="E18" s="52"/>
      <c r="F18" s="38" t="str">
        <f t="shared" si="0"/>
        <v/>
      </c>
      <c r="G18" s="376"/>
      <c r="H18" s="49"/>
      <c r="I18" s="50"/>
      <c r="J18" s="51"/>
      <c r="K18" s="52"/>
      <c r="L18" s="52"/>
      <c r="M18" s="38" t="str">
        <f t="shared" si="1"/>
        <v/>
      </c>
    </row>
    <row r="19" spans="1:13" ht="16" x14ac:dyDescent="0.75">
      <c r="A19" s="49"/>
      <c r="B19" s="50"/>
      <c r="C19" s="51"/>
      <c r="D19" s="52"/>
      <c r="E19" s="52"/>
      <c r="F19" s="38" t="str">
        <f t="shared" si="0"/>
        <v/>
      </c>
      <c r="G19" s="376"/>
      <c r="H19" s="49"/>
      <c r="I19" s="50"/>
      <c r="J19" s="51"/>
      <c r="K19" s="52"/>
      <c r="L19" s="52"/>
      <c r="M19" s="38" t="str">
        <f t="shared" si="1"/>
        <v/>
      </c>
    </row>
    <row r="20" spans="1:13" ht="16" x14ac:dyDescent="0.75">
      <c r="A20" s="49"/>
      <c r="B20" s="50"/>
      <c r="C20" s="51"/>
      <c r="D20" s="52"/>
      <c r="E20" s="52"/>
      <c r="F20" s="38" t="str">
        <f t="shared" si="0"/>
        <v/>
      </c>
      <c r="G20" s="376"/>
      <c r="H20" s="49"/>
      <c r="I20" s="50"/>
      <c r="J20" s="51"/>
      <c r="K20" s="52"/>
      <c r="L20" s="52"/>
      <c r="M20" s="38" t="str">
        <f t="shared" si="1"/>
        <v/>
      </c>
    </row>
    <row r="21" spans="1:13" ht="16" x14ac:dyDescent="0.75">
      <c r="A21" s="49"/>
      <c r="B21" s="50"/>
      <c r="C21" s="51"/>
      <c r="D21" s="52"/>
      <c r="E21" s="52"/>
      <c r="F21" s="38" t="str">
        <f t="shared" si="0"/>
        <v/>
      </c>
      <c r="G21" s="376"/>
      <c r="H21" s="49"/>
      <c r="I21" s="50"/>
      <c r="J21" s="51"/>
      <c r="K21" s="52"/>
      <c r="L21" s="52"/>
      <c r="M21" s="38" t="str">
        <f t="shared" si="1"/>
        <v/>
      </c>
    </row>
    <row r="22" spans="1:13" ht="16" x14ac:dyDescent="0.75">
      <c r="A22" s="49"/>
      <c r="B22" s="50"/>
      <c r="C22" s="51"/>
      <c r="D22" s="52"/>
      <c r="E22" s="52"/>
      <c r="F22" s="38" t="str">
        <f t="shared" si="0"/>
        <v/>
      </c>
      <c r="G22" s="376"/>
      <c r="H22" s="49"/>
      <c r="I22" s="50"/>
      <c r="J22" s="51"/>
      <c r="K22" s="52"/>
      <c r="L22" s="52"/>
      <c r="M22" s="38" t="str">
        <f t="shared" si="1"/>
        <v/>
      </c>
    </row>
    <row r="23" spans="1:13" ht="16" x14ac:dyDescent="0.75">
      <c r="A23" s="49"/>
      <c r="B23" s="50"/>
      <c r="C23" s="51"/>
      <c r="D23" s="52"/>
      <c r="E23" s="52"/>
      <c r="F23" s="38" t="str">
        <f t="shared" si="0"/>
        <v/>
      </c>
      <c r="G23" s="376"/>
      <c r="H23" s="49"/>
      <c r="I23" s="50"/>
      <c r="J23" s="51"/>
      <c r="K23" s="52"/>
      <c r="L23" s="52"/>
      <c r="M23" s="38" t="str">
        <f t="shared" si="1"/>
        <v/>
      </c>
    </row>
    <row r="24" spans="1:13" ht="16" x14ac:dyDescent="0.75">
      <c r="A24" s="49"/>
      <c r="B24" s="50"/>
      <c r="C24" s="51"/>
      <c r="D24" s="52"/>
      <c r="E24" s="52"/>
      <c r="F24" s="38" t="str">
        <f t="shared" si="0"/>
        <v/>
      </c>
      <c r="G24" s="376"/>
      <c r="H24" s="49"/>
      <c r="I24" s="50"/>
      <c r="J24" s="51"/>
      <c r="K24" s="52"/>
      <c r="L24" s="52"/>
      <c r="M24" s="38" t="str">
        <f t="shared" si="1"/>
        <v/>
      </c>
    </row>
    <row r="25" spans="1:13" ht="16" x14ac:dyDescent="0.75">
      <c r="A25" s="49"/>
      <c r="B25" s="50"/>
      <c r="C25" s="51"/>
      <c r="D25" s="52"/>
      <c r="E25" s="52"/>
      <c r="F25" s="38" t="str">
        <f t="shared" si="0"/>
        <v/>
      </c>
      <c r="G25" s="376"/>
      <c r="H25" s="49"/>
      <c r="I25" s="50"/>
      <c r="J25" s="51"/>
      <c r="K25" s="52"/>
      <c r="L25" s="52"/>
      <c r="M25" s="38" t="str">
        <f t="shared" si="1"/>
        <v/>
      </c>
    </row>
    <row r="26" spans="1:13" ht="16" x14ac:dyDescent="0.75">
      <c r="A26" s="49"/>
      <c r="B26" s="50"/>
      <c r="C26" s="51"/>
      <c r="D26" s="52"/>
      <c r="E26" s="52"/>
      <c r="F26" s="38" t="str">
        <f t="shared" si="0"/>
        <v/>
      </c>
      <c r="G26" s="376"/>
      <c r="H26" s="49"/>
      <c r="I26" s="50"/>
      <c r="J26" s="51"/>
      <c r="K26" s="52"/>
      <c r="L26" s="52"/>
      <c r="M26" s="38" t="str">
        <f t="shared" si="1"/>
        <v/>
      </c>
    </row>
    <row r="27" spans="1:13" ht="16" x14ac:dyDescent="0.75">
      <c r="A27" s="49"/>
      <c r="B27" s="50"/>
      <c r="C27" s="51"/>
      <c r="D27" s="52"/>
      <c r="E27" s="52"/>
      <c r="F27" s="38" t="str">
        <f t="shared" si="0"/>
        <v/>
      </c>
      <c r="G27" s="376"/>
      <c r="H27" s="49"/>
      <c r="I27" s="50"/>
      <c r="J27" s="51"/>
      <c r="K27" s="52"/>
      <c r="L27" s="52"/>
      <c r="M27" s="38" t="str">
        <f t="shared" si="1"/>
        <v/>
      </c>
    </row>
    <row r="28" spans="1:13" ht="16" x14ac:dyDescent="0.75">
      <c r="A28" s="49"/>
      <c r="B28" s="50"/>
      <c r="C28" s="51"/>
      <c r="D28" s="52"/>
      <c r="E28" s="52"/>
      <c r="F28" s="38" t="str">
        <f t="shared" si="0"/>
        <v/>
      </c>
      <c r="G28" s="376"/>
      <c r="H28" s="49"/>
      <c r="I28" s="50"/>
      <c r="J28" s="51"/>
      <c r="K28" s="52"/>
      <c r="L28" s="52"/>
      <c r="M28" s="38" t="str">
        <f t="shared" si="1"/>
        <v/>
      </c>
    </row>
    <row r="29" spans="1:13" ht="16.75" thickBot="1" x14ac:dyDescent="0.9">
      <c r="A29" s="53"/>
      <c r="B29" s="54"/>
      <c r="C29" s="55"/>
      <c r="D29" s="56"/>
      <c r="E29" s="56"/>
      <c r="F29" s="38" t="str">
        <f t="shared" si="0"/>
        <v/>
      </c>
      <c r="G29" s="376"/>
      <c r="H29" s="53"/>
      <c r="I29" s="54"/>
      <c r="J29" s="55"/>
      <c r="K29" s="56"/>
      <c r="L29" s="56"/>
      <c r="M29" s="38" t="str">
        <f t="shared" si="1"/>
        <v/>
      </c>
    </row>
    <row r="30" spans="1:13" ht="19.25" thickBot="1" x14ac:dyDescent="0.9">
      <c r="A30" s="39"/>
      <c r="B30" s="40"/>
      <c r="C30" s="41" t="s">
        <v>56</v>
      </c>
      <c r="D30" s="42" t="str">
        <f>IF(AND(D5="",D6="",D7="",D8="",D9="",D10="",D11="",D12="",D13="",D14="",D15="",D16="",D17="",D18="",D19="",D20="",D21="",D22="",D23="",D24="",D25="",D26="",D27="",D28="",D29=""),"",SUM(D5:D29))</f>
        <v/>
      </c>
      <c r="E30" s="43"/>
      <c r="F30" s="42" t="str">
        <f>IF(AND(F5="",F6="",F7="",F8="",F9="",F10="",F11="",F12="",F13="",F14="",F15="",F16="",F17="",F18="",F19="",F20="",F21="",F22="",F23="",F24="",F25="",F26="",F27="",F28="",F29=""),"",SUM(F5:F29))</f>
        <v/>
      </c>
      <c r="G30" s="376"/>
      <c r="H30" s="39"/>
      <c r="I30" s="40"/>
      <c r="J30" s="41" t="s">
        <v>56</v>
      </c>
      <c r="K30" s="42" t="str">
        <f>IF(AND(K5="",K6="",K7="",K8="",K9="",K10="",K11="",K12="",K13="",K14="",K15="",K16="",K17="",K18="",K19="",K20="",K21="",K22="",K23="",K24="",K25="",K26="",K27="",K28="",K29=""),"",SUM(K5:K29))</f>
        <v/>
      </c>
      <c r="L30" s="43"/>
      <c r="M30" s="42" t="str">
        <f>IF(AND(M5="",M6="",M7="",M8="",M9="",M10="",M11="",M12="",M13="",M14="",M15="",M16="",M17="",M18="",M19="",M20="",M21="",M22="",M23="",M24="",M25="",M26="",M27="",M28="",M29=""),"",SUM(M5:M29))</f>
        <v/>
      </c>
    </row>
    <row r="31" spans="1:13" ht="19.25" thickBot="1" x14ac:dyDescent="0.9">
      <c r="A31" s="39"/>
      <c r="B31" s="39"/>
      <c r="C31" s="44" t="s">
        <v>57</v>
      </c>
      <c r="D31" s="42" t="str">
        <f>IF(OR($B1="",D30=""),"",(D30/$B1))</f>
        <v/>
      </c>
      <c r="E31" s="39"/>
      <c r="F31" s="42" t="str">
        <f>IF(OR($B1="",F30=""),"",(F30/$B1))</f>
        <v/>
      </c>
      <c r="G31" s="376"/>
      <c r="H31" s="39"/>
      <c r="I31" s="39"/>
      <c r="J31" s="44" t="s">
        <v>57</v>
      </c>
      <c r="K31" s="42" t="str">
        <f>IF(OR($I1="",K30=""),"",(K30/$I1))</f>
        <v/>
      </c>
      <c r="L31" s="39"/>
      <c r="M31" s="42" t="str">
        <f>IF(OR($I1="",M30=""),"",(M30/$I1))</f>
        <v/>
      </c>
    </row>
    <row r="32" spans="1:13" s="25" customFormat="1" ht="18.5" x14ac:dyDescent="0.65">
      <c r="A32" s="345" t="s">
        <v>183</v>
      </c>
      <c r="B32" s="45"/>
      <c r="C32" s="45"/>
      <c r="D32" s="45"/>
      <c r="E32" s="45"/>
      <c r="F32" s="45"/>
      <c r="G32" s="45"/>
      <c r="H32" s="45"/>
      <c r="I32" s="45"/>
      <c r="J32" s="45"/>
      <c r="K32" s="45"/>
      <c r="L32" s="45"/>
      <c r="M32" s="45"/>
    </row>
    <row r="33" spans="1:13" s="47" customFormat="1" ht="16" x14ac:dyDescent="0.8">
      <c r="A33" s="358" t="s">
        <v>182</v>
      </c>
      <c r="B33" s="46"/>
      <c r="C33" s="46"/>
      <c r="D33" s="46"/>
      <c r="E33" s="46"/>
      <c r="F33" s="46"/>
      <c r="G33" s="46"/>
      <c r="H33" s="46"/>
      <c r="I33" s="46"/>
      <c r="J33" s="46"/>
      <c r="K33" s="46"/>
      <c r="L33" s="46"/>
      <c r="M33" s="46"/>
    </row>
    <row r="34" spans="1:13" s="25" customFormat="1" ht="18.5" x14ac:dyDescent="0.75">
      <c r="A34" s="377" t="s">
        <v>24</v>
      </c>
      <c r="B34" s="377"/>
      <c r="C34" s="377"/>
      <c r="D34" s="377"/>
      <c r="E34" s="377"/>
      <c r="F34" s="377"/>
      <c r="G34" s="377"/>
      <c r="H34" s="377"/>
      <c r="I34" s="377"/>
      <c r="J34" s="377"/>
      <c r="K34" s="377"/>
      <c r="L34" s="377"/>
      <c r="M34" s="377"/>
    </row>
    <row r="35" spans="1:13" ht="16" hidden="1" x14ac:dyDescent="0.75"/>
  </sheetData>
  <sheetProtection algorithmName="SHA-512" hashValue="wD57c3FuNHqTVqR6k4TwbbvOaq+75anFY1kYXyEsg+G1ErXJWTSm1piTMi+x/6vdfpzGvxQ5GG7cDg3v/tOMhQ==" saltValue="YCR1eIDDMU9wKbtO8gdmPg=="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1100-000000000000}"/>
    <dataValidation allowBlank="1" showInputMessage="1" showErrorMessage="1" prompt="Don't forget to enter Child Count in Cell I1." sqref="H5" xr:uid="{00000000-0002-0000-1100-000001000000}"/>
  </dataValidations>
  <hyperlinks>
    <hyperlink ref="A33" r:id="rId1" xr:uid="{156AFC08-64EC-4800-B11C-D2153F389E8A}"/>
  </hyperlinks>
  <pageMargins left="0.75" right="0.75" top="1" bottom="1" header="0.5" footer="0.5"/>
  <pageSetup orientation="portrait" horizontalDpi="4294967292" verticalDpi="4294967292" r:id="rId2"/>
  <tableParts count="2">
    <tablePart r:id="rId3"/>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5"/>
    <pageSetUpPr autoPageBreaks="0"/>
  </sheetPr>
  <dimension ref="A1:AB75"/>
  <sheetViews>
    <sheetView showGridLines="0" zoomScale="90" zoomScaleNormal="90" zoomScalePageLayoutView="90" workbookViewId="0">
      <pane ySplit="3" topLeftCell="A4" activePane="bottomLeft" state="frozen"/>
      <selection activeCell="D21" sqref="D21"/>
      <selection pane="bottomLeft" activeCell="H2" activeCellId="1" sqref="A2 H2"/>
    </sheetView>
  </sheetViews>
  <sheetFormatPr defaultColWidth="0" defaultRowHeight="16" zeroHeight="1" x14ac:dyDescent="0.8"/>
  <cols>
    <col min="1" max="1" width="40.26953125" style="57" customWidth="1"/>
    <col min="2" max="2" width="32.86328125" style="57" bestFit="1" customWidth="1"/>
    <col min="3" max="3" width="28" style="57" customWidth="1"/>
    <col min="4" max="5" width="28.26953125" style="57" customWidth="1"/>
    <col min="6" max="6" width="34" style="57" bestFit="1" customWidth="1"/>
    <col min="7" max="7" width="28.26953125" style="57" customWidth="1"/>
    <col min="8" max="8" width="40.26953125" style="57" customWidth="1"/>
    <col min="9" max="9" width="32.86328125" style="57" bestFit="1" customWidth="1"/>
    <col min="10" max="12" width="28.26953125" style="57" customWidth="1"/>
    <col min="13" max="13" width="34" style="57" bestFit="1" customWidth="1"/>
    <col min="14" max="14" width="0.86328125" style="57" customWidth="1"/>
    <col min="15" max="18" width="12.26953125" style="57" hidden="1" customWidth="1"/>
    <col min="19" max="19" width="13.7265625" style="57" hidden="1" customWidth="1"/>
    <col min="20" max="16384" width="12.26953125" style="57" hidden="1"/>
  </cols>
  <sheetData>
    <row r="1" spans="1:20" ht="25.9" customHeight="1" x14ac:dyDescent="0.8">
      <c r="A1" s="368" t="s">
        <v>58</v>
      </c>
      <c r="D1" s="58" t="s">
        <v>14</v>
      </c>
      <c r="E1" s="10" t="str">
        <f>IF('2. Getting Started'!$B2="","",'2. Getting Started'!$B2)</f>
        <v/>
      </c>
      <c r="G1" s="384" t="s">
        <v>177</v>
      </c>
      <c r="K1" s="58" t="s">
        <v>14</v>
      </c>
      <c r="L1" s="10" t="str">
        <f>IF('2. Getting Started'!$B2="","",'2. Getting Started'!$B2)</f>
        <v/>
      </c>
    </row>
    <row r="2" spans="1:20" ht="25.9" customHeight="1" thickBot="1" x14ac:dyDescent="0.95">
      <c r="A2" s="369" t="s">
        <v>171</v>
      </c>
      <c r="D2" s="58"/>
      <c r="E2" s="10"/>
      <c r="G2" s="384"/>
      <c r="H2" s="369" t="s">
        <v>171</v>
      </c>
      <c r="K2" s="58"/>
      <c r="L2" s="10"/>
    </row>
    <row r="3" spans="1:20" ht="25.9" customHeight="1" thickBot="1" x14ac:dyDescent="0.95">
      <c r="A3" s="59" t="str">
        <f>CONCATENATE("Eligibility Standard -- Exceptions to MOE as Permitted by 34 CFR §300.204 and Adjustment to MOE as Permitted by 34 CFR §300.205 -- Projections for State Fiscal Year ",'2. Getting Started'!B6+4," Budget")</f>
        <v>Eligibility Standard -- Exceptions to MOE as Permitted by 34 CFR §300.204 and Adjustment to MOE as Permitted by 34 CFR §300.205 -- Projections for State Fiscal Year 2028 Budget</v>
      </c>
      <c r="B3" s="60"/>
      <c r="C3" s="60"/>
      <c r="D3" s="60"/>
      <c r="E3" s="60"/>
      <c r="F3" s="61"/>
      <c r="G3" s="384"/>
      <c r="H3" s="59" t="str">
        <f>CONCATENATE("Compliance Standard -- Exceptions to MOE as Permitted by 34 CFR §300.204 and Adjustment to MOE as Permitted by 34 CFR §300.205 -- Final Expenditures for  State Fiscal Year ",'2. Getting Started'!B6+4)</f>
        <v>Compliance Standard -- Exceptions to MOE as Permitted by 34 CFR §300.204 and Adjustment to MOE as Permitted by 34 CFR §300.205 -- Final Expenditures for  State Fiscal Year 2028</v>
      </c>
      <c r="I3" s="60"/>
      <c r="J3" s="60"/>
      <c r="K3" s="60"/>
      <c r="L3" s="60"/>
      <c r="M3" s="61"/>
      <c r="O3" s="63"/>
      <c r="P3" s="63"/>
      <c r="Q3" s="63"/>
      <c r="R3" s="63"/>
      <c r="S3" s="63"/>
      <c r="T3" s="63"/>
    </row>
    <row r="4" spans="1:20" x14ac:dyDescent="0.8">
      <c r="A4" s="64" t="s">
        <v>59</v>
      </c>
      <c r="B4" s="65"/>
      <c r="C4" s="66"/>
      <c r="D4" s="66"/>
      <c r="E4" s="66"/>
      <c r="F4" s="67"/>
      <c r="G4" s="384"/>
      <c r="H4" s="64" t="s">
        <v>59</v>
      </c>
      <c r="I4" s="65"/>
      <c r="J4" s="66"/>
      <c r="K4" s="66"/>
      <c r="L4" s="66"/>
      <c r="M4" s="67"/>
      <c r="N4" s="69"/>
      <c r="O4" s="69"/>
      <c r="P4" s="69"/>
      <c r="Q4" s="69"/>
      <c r="R4" s="69"/>
      <c r="S4" s="69"/>
    </row>
    <row r="5" spans="1:20" x14ac:dyDescent="0.8">
      <c r="A5" s="70" t="s">
        <v>60</v>
      </c>
      <c r="B5" s="71"/>
      <c r="C5" s="68"/>
      <c r="D5" s="68"/>
      <c r="E5" s="68"/>
      <c r="F5" s="72"/>
      <c r="G5" s="384"/>
      <c r="H5" s="70" t="s">
        <v>60</v>
      </c>
      <c r="I5" s="71"/>
      <c r="J5" s="68"/>
      <c r="K5" s="68"/>
      <c r="L5" s="68"/>
      <c r="M5" s="72"/>
      <c r="N5" s="73"/>
      <c r="O5" s="73"/>
      <c r="P5" s="73"/>
      <c r="Q5" s="73"/>
      <c r="R5" s="73"/>
    </row>
    <row r="6" spans="1:20" ht="35.65" customHeight="1" thickBot="1" x14ac:dyDescent="0.95">
      <c r="A6" s="74" t="s">
        <v>61</v>
      </c>
      <c r="B6" s="75"/>
      <c r="C6" s="75"/>
      <c r="D6" s="75"/>
      <c r="E6" s="75"/>
      <c r="F6" s="76"/>
      <c r="G6" s="384"/>
      <c r="H6" s="74" t="s">
        <v>61</v>
      </c>
      <c r="I6" s="75"/>
      <c r="J6" s="75"/>
      <c r="K6" s="75"/>
      <c r="L6" s="75"/>
      <c r="M6" s="76"/>
      <c r="N6" s="73"/>
      <c r="O6" s="73"/>
      <c r="P6" s="73"/>
      <c r="Q6" s="73"/>
      <c r="R6" s="73"/>
      <c r="S6" s="73"/>
    </row>
    <row r="7" spans="1:20" x14ac:dyDescent="0.8">
      <c r="A7" s="77" t="s">
        <v>62</v>
      </c>
      <c r="B7" s="78" t="s">
        <v>63</v>
      </c>
      <c r="C7" s="79" t="s">
        <v>64</v>
      </c>
      <c r="D7" s="79" t="s">
        <v>65</v>
      </c>
      <c r="E7" s="80" t="s">
        <v>66</v>
      </c>
      <c r="F7" s="81" t="s">
        <v>67</v>
      </c>
      <c r="G7" s="384"/>
      <c r="H7" s="77" t="s">
        <v>62</v>
      </c>
      <c r="I7" s="78" t="s">
        <v>63</v>
      </c>
      <c r="J7" s="79" t="s">
        <v>64</v>
      </c>
      <c r="K7" s="79" t="s">
        <v>65</v>
      </c>
      <c r="L7" s="80" t="s">
        <v>66</v>
      </c>
      <c r="M7" s="81" t="s">
        <v>68</v>
      </c>
      <c r="N7" s="73"/>
      <c r="O7" s="73"/>
    </row>
    <row r="8" spans="1:20" x14ac:dyDescent="0.8">
      <c r="A8" s="185"/>
      <c r="B8" s="186"/>
      <c r="C8" s="186"/>
      <c r="D8" s="187"/>
      <c r="E8" s="187"/>
      <c r="F8" s="83">
        <f>D8+E8</f>
        <v>0</v>
      </c>
      <c r="G8" s="384"/>
      <c r="H8" s="185"/>
      <c r="I8" s="186"/>
      <c r="J8" s="186"/>
      <c r="K8" s="187"/>
      <c r="L8" s="187"/>
      <c r="M8" s="83">
        <f>K8+L8</f>
        <v>0</v>
      </c>
      <c r="N8" s="84"/>
      <c r="O8" s="84"/>
    </row>
    <row r="9" spans="1:20" x14ac:dyDescent="0.8">
      <c r="A9" s="185"/>
      <c r="B9" s="186"/>
      <c r="C9" s="186"/>
      <c r="D9" s="187"/>
      <c r="E9" s="187"/>
      <c r="F9" s="83">
        <f>D9+E9</f>
        <v>0</v>
      </c>
      <c r="G9" s="384"/>
      <c r="H9" s="185"/>
      <c r="I9" s="186"/>
      <c r="J9" s="186"/>
      <c r="K9" s="187"/>
      <c r="L9" s="187"/>
      <c r="M9" s="83">
        <f>K9+L9</f>
        <v>0</v>
      </c>
      <c r="N9" s="84"/>
      <c r="O9" s="84"/>
    </row>
    <row r="10" spans="1:20" x14ac:dyDescent="0.8">
      <c r="A10" s="185"/>
      <c r="B10" s="186"/>
      <c r="C10" s="186"/>
      <c r="D10" s="187"/>
      <c r="E10" s="187"/>
      <c r="F10" s="83">
        <f>D10+E10</f>
        <v>0</v>
      </c>
      <c r="G10" s="384"/>
      <c r="H10" s="185"/>
      <c r="I10" s="186"/>
      <c r="J10" s="186"/>
      <c r="K10" s="187"/>
      <c r="L10" s="187"/>
      <c r="M10" s="83">
        <f>K10+L10</f>
        <v>0</v>
      </c>
      <c r="N10" s="84"/>
      <c r="O10" s="84"/>
    </row>
    <row r="11" spans="1:20" x14ac:dyDescent="0.8">
      <c r="A11" s="185"/>
      <c r="B11" s="186"/>
      <c r="C11" s="186"/>
      <c r="D11" s="187"/>
      <c r="E11" s="187"/>
      <c r="F11" s="83">
        <f>D11+E11</f>
        <v>0</v>
      </c>
      <c r="G11" s="384"/>
      <c r="H11" s="185"/>
      <c r="I11" s="186"/>
      <c r="J11" s="186"/>
      <c r="K11" s="187"/>
      <c r="L11" s="187"/>
      <c r="M11" s="83">
        <f>K11+L11</f>
        <v>0</v>
      </c>
      <c r="N11" s="84"/>
      <c r="O11" s="84"/>
    </row>
    <row r="12" spans="1:20" x14ac:dyDescent="0.8">
      <c r="A12" s="185"/>
      <c r="B12" s="186"/>
      <c r="C12" s="186"/>
      <c r="D12" s="187"/>
      <c r="E12" s="187"/>
      <c r="F12" s="83">
        <f>D12+E12</f>
        <v>0</v>
      </c>
      <c r="G12" s="384"/>
      <c r="H12" s="185"/>
      <c r="I12" s="186"/>
      <c r="J12" s="186"/>
      <c r="K12" s="187"/>
      <c r="L12" s="187"/>
      <c r="M12" s="83">
        <f>K12+L12</f>
        <v>0</v>
      </c>
      <c r="N12" s="84"/>
      <c r="O12" s="84"/>
    </row>
    <row r="13" spans="1:20" ht="16.75" thickBot="1" x14ac:dyDescent="0.95">
      <c r="A13" s="85"/>
      <c r="B13" s="86"/>
      <c r="C13" s="87" t="s">
        <v>69</v>
      </c>
      <c r="D13" s="88">
        <f t="shared" ref="D13:F13" si="0">SUM(D8:D12)</f>
        <v>0</v>
      </c>
      <c r="E13" s="88">
        <f t="shared" si="0"/>
        <v>0</v>
      </c>
      <c r="F13" s="89">
        <f t="shared" si="0"/>
        <v>0</v>
      </c>
      <c r="G13" s="384"/>
      <c r="H13" s="85"/>
      <c r="I13" s="86"/>
      <c r="J13" s="87" t="s">
        <v>69</v>
      </c>
      <c r="K13" s="88">
        <f t="shared" ref="K13:M13" si="1">SUM(K8:K12)</f>
        <v>0</v>
      </c>
      <c r="L13" s="88">
        <f t="shared" si="1"/>
        <v>0</v>
      </c>
      <c r="M13" s="89">
        <f t="shared" si="1"/>
        <v>0</v>
      </c>
      <c r="N13" s="84"/>
      <c r="O13" s="84"/>
    </row>
    <row r="14" spans="1:20" ht="40.15" customHeight="1" thickBot="1" x14ac:dyDescent="0.95">
      <c r="A14" s="90" t="s">
        <v>70</v>
      </c>
      <c r="B14" s="91"/>
      <c r="C14" s="91"/>
      <c r="D14" s="91"/>
      <c r="E14" s="91"/>
      <c r="F14" s="92"/>
      <c r="G14" s="384"/>
      <c r="H14" s="90" t="s">
        <v>70</v>
      </c>
      <c r="I14" s="91"/>
      <c r="J14" s="91"/>
      <c r="K14" s="91"/>
      <c r="L14" s="91"/>
      <c r="M14" s="92"/>
      <c r="N14" s="73"/>
      <c r="O14" s="73"/>
      <c r="P14" s="73"/>
      <c r="Q14" s="73"/>
      <c r="R14" s="73"/>
      <c r="S14" s="93"/>
    </row>
    <row r="15" spans="1:20" x14ac:dyDescent="0.8">
      <c r="A15" s="94" t="s">
        <v>62</v>
      </c>
      <c r="B15" s="95" t="s">
        <v>63</v>
      </c>
      <c r="C15" s="96" t="s">
        <v>176</v>
      </c>
      <c r="D15" s="79" t="s">
        <v>65</v>
      </c>
      <c r="E15" s="80" t="s">
        <v>66</v>
      </c>
      <c r="F15" s="81" t="s">
        <v>67</v>
      </c>
      <c r="G15" s="384"/>
      <c r="H15" s="94" t="s">
        <v>62</v>
      </c>
      <c r="I15" s="95" t="s">
        <v>63</v>
      </c>
      <c r="J15" s="96" t="s">
        <v>176</v>
      </c>
      <c r="K15" s="79" t="s">
        <v>65</v>
      </c>
      <c r="L15" s="80" t="s">
        <v>66</v>
      </c>
      <c r="M15" s="81" t="s">
        <v>68</v>
      </c>
      <c r="N15" s="63"/>
      <c r="O15" s="98"/>
    </row>
    <row r="16" spans="1:20" x14ac:dyDescent="0.8">
      <c r="A16" s="188"/>
      <c r="B16" s="189"/>
      <c r="C16" s="99"/>
      <c r="D16" s="187"/>
      <c r="E16" s="187"/>
      <c r="F16" s="83">
        <f t="shared" ref="F16:F20" si="2">D16+E16</f>
        <v>0</v>
      </c>
      <c r="G16" s="384"/>
      <c r="H16" s="188"/>
      <c r="I16" s="189"/>
      <c r="J16" s="99"/>
      <c r="K16" s="187"/>
      <c r="L16" s="187"/>
      <c r="M16" s="83">
        <f t="shared" ref="M16:M20" si="3">K16+L16</f>
        <v>0</v>
      </c>
      <c r="N16" s="84"/>
      <c r="O16" s="84"/>
    </row>
    <row r="17" spans="1:19" x14ac:dyDescent="0.8">
      <c r="A17" s="188"/>
      <c r="B17" s="189"/>
      <c r="C17" s="99"/>
      <c r="D17" s="187"/>
      <c r="E17" s="187"/>
      <c r="F17" s="83">
        <f t="shared" si="2"/>
        <v>0</v>
      </c>
      <c r="G17" s="384"/>
      <c r="H17" s="188"/>
      <c r="I17" s="189"/>
      <c r="J17" s="99"/>
      <c r="K17" s="187"/>
      <c r="L17" s="187"/>
      <c r="M17" s="83">
        <f t="shared" si="3"/>
        <v>0</v>
      </c>
      <c r="N17" s="84"/>
      <c r="O17" s="84"/>
    </row>
    <row r="18" spans="1:19" x14ac:dyDescent="0.8">
      <c r="A18" s="188"/>
      <c r="B18" s="189"/>
      <c r="C18" s="99"/>
      <c r="D18" s="187"/>
      <c r="E18" s="187"/>
      <c r="F18" s="83">
        <f t="shared" si="2"/>
        <v>0</v>
      </c>
      <c r="G18" s="384"/>
      <c r="H18" s="188"/>
      <c r="I18" s="189"/>
      <c r="J18" s="99"/>
      <c r="K18" s="187"/>
      <c r="L18" s="187"/>
      <c r="M18" s="83">
        <f t="shared" si="3"/>
        <v>0</v>
      </c>
      <c r="N18" s="84"/>
      <c r="O18" s="84"/>
    </row>
    <row r="19" spans="1:19" x14ac:dyDescent="0.8">
      <c r="A19" s="188"/>
      <c r="B19" s="189"/>
      <c r="C19" s="99"/>
      <c r="D19" s="187"/>
      <c r="E19" s="187"/>
      <c r="F19" s="83">
        <f t="shared" si="2"/>
        <v>0</v>
      </c>
      <c r="G19" s="384"/>
      <c r="H19" s="188"/>
      <c r="I19" s="189"/>
      <c r="J19" s="99"/>
      <c r="K19" s="187"/>
      <c r="L19" s="187"/>
      <c r="M19" s="83">
        <f t="shared" si="3"/>
        <v>0</v>
      </c>
      <c r="N19" s="84"/>
      <c r="O19" s="84"/>
    </row>
    <row r="20" spans="1:19" x14ac:dyDescent="0.8">
      <c r="A20" s="188"/>
      <c r="B20" s="189"/>
      <c r="C20" s="99"/>
      <c r="D20" s="187"/>
      <c r="E20" s="187"/>
      <c r="F20" s="83">
        <f t="shared" si="2"/>
        <v>0</v>
      </c>
      <c r="G20" s="384"/>
      <c r="H20" s="188"/>
      <c r="I20" s="189"/>
      <c r="J20" s="99"/>
      <c r="K20" s="187"/>
      <c r="L20" s="187"/>
      <c r="M20" s="83">
        <f t="shared" si="3"/>
        <v>0</v>
      </c>
      <c r="N20" s="84"/>
      <c r="O20" s="84"/>
    </row>
    <row r="21" spans="1:19" x14ac:dyDescent="0.8">
      <c r="A21" s="100"/>
      <c r="B21" s="101"/>
      <c r="C21" s="102" t="s">
        <v>72</v>
      </c>
      <c r="D21" s="103">
        <f t="shared" ref="D21:F21" si="4">SUM(D16:D20)</f>
        <v>0</v>
      </c>
      <c r="E21" s="103">
        <f t="shared" si="4"/>
        <v>0</v>
      </c>
      <c r="F21" s="83">
        <f t="shared" si="4"/>
        <v>0</v>
      </c>
      <c r="G21" s="384"/>
      <c r="H21" s="100"/>
      <c r="I21" s="101"/>
      <c r="J21" s="102" t="s">
        <v>72</v>
      </c>
      <c r="K21" s="103">
        <f t="shared" ref="K21:M21" si="5">SUM(K16:K20)</f>
        <v>0</v>
      </c>
      <c r="L21" s="103">
        <f t="shared" si="5"/>
        <v>0</v>
      </c>
      <c r="M21" s="83">
        <f t="shared" si="5"/>
        <v>0</v>
      </c>
      <c r="N21" s="84"/>
      <c r="O21" s="84"/>
    </row>
    <row r="22" spans="1:19" ht="16.75" thickBot="1" x14ac:dyDescent="0.95">
      <c r="A22" s="104"/>
      <c r="B22" s="105"/>
      <c r="C22" s="106"/>
      <c r="D22" s="106"/>
      <c r="E22" s="107" t="s">
        <v>73</v>
      </c>
      <c r="F22" s="108">
        <f>F13-F21</f>
        <v>0</v>
      </c>
      <c r="G22" s="384"/>
      <c r="H22" s="104"/>
      <c r="I22" s="105"/>
      <c r="J22" s="105"/>
      <c r="K22" s="110"/>
      <c r="L22" s="107" t="s">
        <v>74</v>
      </c>
      <c r="M22" s="108">
        <f>M13-M21</f>
        <v>0</v>
      </c>
      <c r="N22" s="93"/>
      <c r="O22" s="93"/>
      <c r="P22" s="93"/>
      <c r="Q22" s="93"/>
      <c r="R22" s="93"/>
      <c r="S22" s="93"/>
    </row>
    <row r="23" spans="1:19" ht="16.75" thickBot="1" x14ac:dyDescent="0.95">
      <c r="A23" s="378" t="s">
        <v>22</v>
      </c>
      <c r="B23" s="378"/>
      <c r="C23" s="378"/>
      <c r="D23" s="378"/>
      <c r="E23" s="378"/>
      <c r="F23" s="378"/>
      <c r="G23" s="384"/>
      <c r="H23" s="378" t="s">
        <v>22</v>
      </c>
      <c r="I23" s="378"/>
      <c r="J23" s="378"/>
      <c r="K23" s="378"/>
      <c r="L23" s="378"/>
      <c r="M23" s="378"/>
      <c r="N23" s="93"/>
      <c r="O23" s="93"/>
      <c r="P23" s="93"/>
      <c r="Q23" s="93"/>
      <c r="R23" s="93"/>
      <c r="S23" s="93"/>
    </row>
    <row r="24" spans="1:19" x14ac:dyDescent="0.8">
      <c r="A24" s="111" t="s">
        <v>105</v>
      </c>
      <c r="B24" s="112"/>
      <c r="C24" s="112"/>
      <c r="D24" s="62"/>
      <c r="E24" s="119"/>
      <c r="F24" s="119"/>
      <c r="G24" s="384"/>
      <c r="H24" s="111" t="s">
        <v>105</v>
      </c>
      <c r="I24" s="112"/>
      <c r="J24" s="112"/>
      <c r="K24" s="62"/>
      <c r="L24" s="119"/>
      <c r="M24" s="119"/>
      <c r="N24" s="118"/>
      <c r="O24" s="118"/>
      <c r="P24" s="118"/>
      <c r="Q24" s="118"/>
    </row>
    <row r="25" spans="1:19" x14ac:dyDescent="0.8">
      <c r="A25" s="120" t="s">
        <v>71</v>
      </c>
      <c r="B25" s="121" t="s">
        <v>77</v>
      </c>
      <c r="C25" s="122"/>
      <c r="D25" s="123"/>
      <c r="E25" s="122"/>
      <c r="F25" s="122"/>
      <c r="G25" s="384"/>
      <c r="H25" s="120" t="s">
        <v>71</v>
      </c>
      <c r="I25" s="121" t="s">
        <v>77</v>
      </c>
      <c r="J25" s="122"/>
      <c r="K25" s="123"/>
      <c r="L25" s="122"/>
      <c r="M25" s="122"/>
      <c r="N25" s="118"/>
      <c r="O25" s="118"/>
      <c r="P25" s="118"/>
      <c r="Q25" s="118"/>
    </row>
    <row r="26" spans="1:19" x14ac:dyDescent="0.8">
      <c r="A26" s="124" t="str">
        <f>CONCATENATE("SFY ",'2. Getting Started'!B6+4," Projected Child Count")</f>
        <v>SFY 2028 Projected Child Count</v>
      </c>
      <c r="B26" s="125" t="str">
        <f>IF('17. Year 5 Amounts'!B1="","",'17. Year 5 Amounts'!B1)</f>
        <v/>
      </c>
      <c r="C26" s="122"/>
      <c r="D26" s="123"/>
      <c r="E26" s="122"/>
      <c r="F26" s="122"/>
      <c r="G26" s="384"/>
      <c r="H26" s="124" t="str">
        <f>CONCATENATE("SFY ",'2. Getting Started'!B6+4," Child Count")</f>
        <v>SFY 2028 Child Count</v>
      </c>
      <c r="I26" s="125" t="str">
        <f>IF('17. Year 5 Amounts'!I1="","",'17. Year 5 Amounts'!I1)</f>
        <v/>
      </c>
      <c r="J26" s="122"/>
      <c r="K26" s="123"/>
      <c r="L26" s="122"/>
      <c r="M26" s="122"/>
      <c r="N26" s="118"/>
      <c r="O26" s="118"/>
      <c r="P26" s="118"/>
      <c r="Q26" s="118"/>
    </row>
    <row r="27" spans="1:19" x14ac:dyDescent="0.8">
      <c r="A27" s="124" t="str">
        <f>CONCATENATE("SFY ",'2. Getting Started'!B6+3," Projected Child Count")</f>
        <v>SFY 2027 Projected Child Count</v>
      </c>
      <c r="B27" s="125" t="str">
        <f>IF('14. Year 4 Amounts'!B1="","",'14. Year 4 Amounts'!B1)</f>
        <v/>
      </c>
      <c r="C27" s="118"/>
      <c r="D27" s="127"/>
      <c r="E27" s="118"/>
      <c r="F27" s="122"/>
      <c r="G27" s="384"/>
      <c r="H27" s="124" t="str">
        <f>CONCATENATE("SFY ",'2. Getting Started'!B6+3," Child Count")</f>
        <v>SFY 2027 Child Count</v>
      </c>
      <c r="I27" s="125" t="str">
        <f>IF('14. Year 4 Amounts'!I1="","",'14. Year 4 Amounts'!I1)</f>
        <v/>
      </c>
      <c r="J27" s="118"/>
      <c r="K27" s="127"/>
      <c r="L27" s="118"/>
      <c r="M27" s="122"/>
      <c r="N27" s="128"/>
      <c r="O27" s="128"/>
      <c r="P27" s="128"/>
      <c r="Q27" s="128"/>
    </row>
    <row r="28" spans="1:19" x14ac:dyDescent="0.8">
      <c r="A28" s="126" t="s">
        <v>78</v>
      </c>
      <c r="B28" s="129" t="str">
        <f>IF(B26="","",B26-B27)</f>
        <v/>
      </c>
      <c r="C28" s="122" t="str">
        <f>IF(B28="","",IF(B28&gt;=0,"Not eligible for this exception",""))</f>
        <v/>
      </c>
      <c r="D28" s="123"/>
      <c r="E28" s="122"/>
      <c r="F28" s="122"/>
      <c r="G28" s="384"/>
      <c r="H28" s="126" t="s">
        <v>78</v>
      </c>
      <c r="I28" s="129" t="str">
        <f>IF(I26="","",I26-I27)</f>
        <v/>
      </c>
      <c r="J28" s="122" t="str">
        <f>IF(I28="","",IF(I28&gt;=0,"Not eligible for this exception",""))</f>
        <v/>
      </c>
      <c r="K28" s="123"/>
      <c r="L28" s="122"/>
      <c r="M28" s="122"/>
      <c r="N28" s="131"/>
      <c r="O28" s="131"/>
      <c r="P28" s="131"/>
      <c r="Q28" s="131"/>
    </row>
    <row r="29" spans="1:19" x14ac:dyDescent="0.8">
      <c r="A29" s="132" t="s">
        <v>79</v>
      </c>
      <c r="B29" s="133" t="str">
        <f>IF(B26="","",IF(B28&lt;=0,ABS(B28/B27),""))</f>
        <v/>
      </c>
      <c r="C29" s="134"/>
      <c r="D29" s="135"/>
      <c r="E29" s="134"/>
      <c r="F29" s="10"/>
      <c r="G29" s="384"/>
      <c r="H29" s="132" t="s">
        <v>79</v>
      </c>
      <c r="I29" s="133" t="str">
        <f>IF(I26="","",IF(I28&lt;=0,ABS(I28/I27),""))</f>
        <v/>
      </c>
      <c r="J29" s="134"/>
      <c r="K29" s="135"/>
      <c r="L29" s="134"/>
      <c r="M29" s="10"/>
      <c r="N29" s="136"/>
      <c r="O29" s="136"/>
      <c r="P29" s="137"/>
      <c r="Q29" s="137"/>
    </row>
    <row r="30" spans="1:19" x14ac:dyDescent="0.8">
      <c r="A30" s="114" t="s">
        <v>71</v>
      </c>
      <c r="B30" s="115" t="s">
        <v>0</v>
      </c>
      <c r="C30" s="115" t="s">
        <v>2</v>
      </c>
      <c r="D30" s="10"/>
      <c r="E30" s="71"/>
      <c r="F30" s="71"/>
      <c r="G30" s="384"/>
      <c r="H30" s="114" t="s">
        <v>71</v>
      </c>
      <c r="I30" s="115" t="s">
        <v>75</v>
      </c>
      <c r="J30" s="115" t="s">
        <v>76</v>
      </c>
      <c r="K30" s="10"/>
      <c r="L30" s="71"/>
      <c r="M30" s="71"/>
      <c r="N30" s="137"/>
      <c r="O30" s="137"/>
    </row>
    <row r="31" spans="1:19" x14ac:dyDescent="0.8">
      <c r="A31" s="138" t="str">
        <f>CONCATENATE("SFY ",'2. Getting Started'!B6+3," Budget")</f>
        <v>SFY 2027 Budget</v>
      </c>
      <c r="B31" s="139" t="str">
        <f>IF('14. Year 4 Amounts'!D30="","",'14. Year 4 Amounts'!D30)</f>
        <v/>
      </c>
      <c r="C31" s="139" t="str">
        <f>IF('14. Year 4 Amounts'!F30="","",'14. Year 4 Amounts'!F30)</f>
        <v/>
      </c>
      <c r="D31" s="140"/>
      <c r="E31" s="73"/>
      <c r="F31" s="73"/>
      <c r="G31" s="384"/>
      <c r="H31" s="138" t="str">
        <f>CONCATENATE("SFY ",'2. Getting Started'!B6+3," Final Expenditures")</f>
        <v>SFY 2027 Final Expenditures</v>
      </c>
      <c r="I31" s="139" t="str">
        <f>IF('14. Year 4 Amounts'!K30="","",'14. Year 4 Amounts'!K30)</f>
        <v/>
      </c>
      <c r="J31" s="139" t="str">
        <f>IF('14. Year 4 Amounts'!M30="","",'14. Year 4 Amounts'!M30)</f>
        <v/>
      </c>
      <c r="K31" s="141"/>
      <c r="L31" s="73"/>
      <c r="M31" s="73"/>
    </row>
    <row r="32" spans="1:19" x14ac:dyDescent="0.8">
      <c r="A32" s="116" t="s">
        <v>80</v>
      </c>
      <c r="B32" s="142" t="str">
        <f>IF(OR($B26="",B29="",B31=""),"",($B29*B31))</f>
        <v/>
      </c>
      <c r="C32" s="142" t="str">
        <f>IF(OR($B26="",B29="",C31=""),"",($B29*C31))</f>
        <v/>
      </c>
      <c r="D32" s="141"/>
      <c r="E32" s="117"/>
      <c r="F32" s="117"/>
      <c r="G32" s="384"/>
      <c r="H32" s="116" t="s">
        <v>81</v>
      </c>
      <c r="I32" s="142" t="str">
        <f>IF(OR($I26="",I29="",I31=""),"",($I29*I31))</f>
        <v/>
      </c>
      <c r="J32" s="142" t="str">
        <f>IF(OR($I26="",I29="",J31=""),"",($I29*J31))</f>
        <v/>
      </c>
      <c r="K32" s="141"/>
      <c r="L32" s="117"/>
      <c r="M32" s="117"/>
    </row>
    <row r="33" spans="1:28" ht="16.75" thickBot="1" x14ac:dyDescent="0.95">
      <c r="A33" s="379" t="s">
        <v>22</v>
      </c>
      <c r="B33" s="379"/>
      <c r="C33" s="379"/>
      <c r="D33" s="122"/>
      <c r="E33" s="122"/>
      <c r="F33" s="122"/>
      <c r="G33" s="384"/>
      <c r="H33" s="379" t="s">
        <v>22</v>
      </c>
      <c r="I33" s="379"/>
      <c r="J33" s="379"/>
      <c r="K33" s="122"/>
      <c r="L33" s="122"/>
      <c r="M33" s="122"/>
      <c r="P33" s="117"/>
      <c r="Q33" s="117"/>
      <c r="R33" s="117"/>
      <c r="S33" s="117"/>
      <c r="T33" s="117"/>
      <c r="U33" s="73"/>
      <c r="V33" s="117"/>
      <c r="W33" s="117"/>
      <c r="X33" s="117"/>
      <c r="Y33" s="117"/>
      <c r="Z33" s="117"/>
      <c r="AA33" s="117"/>
    </row>
    <row r="34" spans="1:28" x14ac:dyDescent="0.8">
      <c r="A34" s="111" t="s">
        <v>82</v>
      </c>
      <c r="B34" s="144"/>
      <c r="C34" s="145"/>
      <c r="D34" s="146"/>
      <c r="E34" s="130"/>
      <c r="F34" s="130"/>
      <c r="G34" s="384"/>
      <c r="H34" s="111" t="s">
        <v>82</v>
      </c>
      <c r="I34" s="144"/>
      <c r="J34" s="145"/>
      <c r="K34" s="146"/>
      <c r="L34" s="130"/>
      <c r="M34" s="130"/>
      <c r="P34" s="117"/>
      <c r="Q34" s="117"/>
      <c r="R34" s="117"/>
      <c r="S34" s="117"/>
      <c r="T34" s="117"/>
      <c r="U34" s="117"/>
      <c r="V34" s="117"/>
      <c r="W34" s="117"/>
      <c r="X34" s="117"/>
      <c r="Y34" s="117"/>
      <c r="Z34" s="117"/>
      <c r="AA34" s="117"/>
    </row>
    <row r="35" spans="1:28" x14ac:dyDescent="0.8">
      <c r="A35" s="147" t="s">
        <v>83</v>
      </c>
      <c r="B35" s="71"/>
      <c r="C35" s="148"/>
      <c r="D35" s="149"/>
      <c r="E35" s="10"/>
      <c r="F35" s="10"/>
      <c r="G35" s="384"/>
      <c r="H35" s="147" t="s">
        <v>83</v>
      </c>
      <c r="I35" s="71"/>
      <c r="J35" s="148"/>
      <c r="K35" s="149"/>
      <c r="L35" s="10"/>
      <c r="M35" s="10"/>
      <c r="P35" s="73"/>
      <c r="Q35" s="73"/>
      <c r="R35" s="73"/>
      <c r="S35" s="73"/>
      <c r="T35" s="73"/>
      <c r="U35" s="73"/>
      <c r="V35" s="73"/>
      <c r="W35" s="73"/>
      <c r="X35" s="73"/>
      <c r="Y35" s="73"/>
      <c r="Z35" s="73"/>
      <c r="AA35" s="73"/>
    </row>
    <row r="36" spans="1:28" x14ac:dyDescent="0.8">
      <c r="A36" s="150" t="s">
        <v>84</v>
      </c>
      <c r="B36" s="71"/>
      <c r="C36" s="151"/>
      <c r="D36" s="149"/>
      <c r="E36" s="10"/>
      <c r="F36" s="10"/>
      <c r="G36" s="384"/>
      <c r="H36" s="150" t="s">
        <v>84</v>
      </c>
      <c r="I36" s="71"/>
      <c r="J36" s="151"/>
      <c r="K36" s="149"/>
      <c r="L36" s="10"/>
      <c r="M36" s="10"/>
      <c r="Q36" s="73"/>
      <c r="R36" s="73"/>
      <c r="S36" s="73"/>
      <c r="T36" s="73"/>
      <c r="U36" s="73"/>
      <c r="V36" s="73"/>
      <c r="W36" s="73"/>
      <c r="X36" s="73"/>
      <c r="Y36" s="73"/>
      <c r="Z36" s="73"/>
      <c r="AA36" s="73"/>
      <c r="AB36" s="73"/>
    </row>
    <row r="37" spans="1:28" x14ac:dyDescent="0.8">
      <c r="A37" s="152" t="s">
        <v>85</v>
      </c>
      <c r="B37" s="153" t="s">
        <v>86</v>
      </c>
      <c r="C37" s="154" t="s">
        <v>87</v>
      </c>
      <c r="D37" s="117"/>
      <c r="E37" s="143"/>
      <c r="F37" s="143"/>
      <c r="G37" s="384"/>
      <c r="H37" s="152" t="s">
        <v>85</v>
      </c>
      <c r="I37" s="153" t="s">
        <v>86</v>
      </c>
      <c r="J37" s="154" t="s">
        <v>88</v>
      </c>
      <c r="K37" s="117"/>
      <c r="L37" s="143"/>
      <c r="M37" s="143"/>
      <c r="P37" s="93"/>
      <c r="Q37" s="93"/>
      <c r="R37" s="93"/>
      <c r="S37" s="93"/>
      <c r="T37" s="93"/>
      <c r="U37" s="93"/>
      <c r="V37" s="93"/>
      <c r="W37" s="93"/>
      <c r="X37" s="93"/>
      <c r="Y37" s="93"/>
      <c r="Z37" s="93"/>
      <c r="AA37" s="93"/>
    </row>
    <row r="38" spans="1:28" x14ac:dyDescent="0.8">
      <c r="A38" s="190"/>
      <c r="B38" s="191"/>
      <c r="C38" s="192"/>
      <c r="D38" s="143"/>
      <c r="E38" s="143"/>
      <c r="F38" s="143"/>
      <c r="G38" s="384"/>
      <c r="H38" s="190"/>
      <c r="I38" s="191"/>
      <c r="J38" s="192"/>
      <c r="K38" s="143"/>
      <c r="L38" s="143"/>
      <c r="M38" s="143"/>
      <c r="P38" s="93"/>
      <c r="Q38" s="93"/>
      <c r="R38" s="93"/>
      <c r="S38" s="93"/>
      <c r="T38" s="93"/>
      <c r="U38" s="93"/>
      <c r="V38" s="93"/>
      <c r="W38" s="93"/>
      <c r="X38" s="93"/>
      <c r="Y38" s="93"/>
      <c r="Z38" s="93"/>
      <c r="AA38" s="93"/>
    </row>
    <row r="39" spans="1:28" x14ac:dyDescent="0.8">
      <c r="A39" s="190"/>
      <c r="B39" s="191"/>
      <c r="C39" s="192"/>
      <c r="D39" s="143"/>
      <c r="E39" s="71"/>
      <c r="F39" s="71"/>
      <c r="G39" s="384"/>
      <c r="H39" s="190"/>
      <c r="I39" s="191"/>
      <c r="J39" s="192"/>
      <c r="K39" s="143"/>
      <c r="L39" s="71"/>
      <c r="M39" s="71"/>
      <c r="P39" s="93"/>
      <c r="Q39" s="93"/>
      <c r="R39" s="93"/>
      <c r="S39" s="93"/>
      <c r="T39" s="93"/>
      <c r="U39" s="93"/>
      <c r="V39" s="93"/>
      <c r="W39" s="93"/>
      <c r="X39" s="93"/>
      <c r="Y39" s="93"/>
      <c r="Z39" s="93"/>
      <c r="AA39" s="93"/>
    </row>
    <row r="40" spans="1:28" x14ac:dyDescent="0.8">
      <c r="A40" s="190"/>
      <c r="B40" s="191"/>
      <c r="C40" s="192"/>
      <c r="D40" s="143"/>
      <c r="E40" s="71"/>
      <c r="F40" s="71"/>
      <c r="G40" s="384"/>
      <c r="H40" s="190"/>
      <c r="I40" s="191"/>
      <c r="J40" s="192"/>
      <c r="K40" s="143"/>
      <c r="L40" s="71"/>
      <c r="M40" s="71"/>
      <c r="P40" s="93"/>
      <c r="Q40" s="93"/>
      <c r="R40" s="93"/>
      <c r="S40" s="93"/>
      <c r="T40" s="93"/>
      <c r="U40" s="93"/>
      <c r="V40" s="93"/>
      <c r="W40" s="93"/>
      <c r="X40" s="93"/>
      <c r="Y40" s="93"/>
      <c r="Z40" s="93"/>
      <c r="AA40" s="93"/>
    </row>
    <row r="41" spans="1:28" x14ac:dyDescent="0.8">
      <c r="A41" s="190"/>
      <c r="B41" s="191"/>
      <c r="C41" s="192"/>
      <c r="D41" s="143"/>
      <c r="E41" s="119"/>
      <c r="F41" s="119"/>
      <c r="G41" s="384"/>
      <c r="H41" s="190"/>
      <c r="I41" s="191"/>
      <c r="J41" s="192"/>
      <c r="K41" s="143"/>
      <c r="L41" s="119"/>
      <c r="M41" s="119"/>
      <c r="P41" s="93"/>
      <c r="Q41" s="93"/>
      <c r="R41" s="93"/>
      <c r="S41" s="93"/>
      <c r="T41" s="93"/>
      <c r="U41" s="93"/>
      <c r="V41" s="93"/>
      <c r="W41" s="93"/>
      <c r="X41" s="93"/>
      <c r="Y41" s="93"/>
      <c r="Z41" s="93"/>
      <c r="AA41" s="93"/>
    </row>
    <row r="42" spans="1:28" x14ac:dyDescent="0.8">
      <c r="A42" s="190"/>
      <c r="B42" s="191"/>
      <c r="C42" s="192"/>
      <c r="D42" s="143"/>
      <c r="F42" s="10"/>
      <c r="G42" s="384"/>
      <c r="H42" s="190"/>
      <c r="I42" s="191"/>
      <c r="J42" s="192"/>
      <c r="K42" s="143"/>
      <c r="M42" s="10"/>
      <c r="P42" s="73"/>
      <c r="Q42" s="73"/>
      <c r="R42" s="73"/>
      <c r="S42" s="73"/>
      <c r="T42" s="73"/>
      <c r="U42" s="73"/>
      <c r="V42" s="73"/>
      <c r="W42" s="73"/>
      <c r="X42" s="73"/>
      <c r="Y42" s="73"/>
      <c r="Z42" s="73"/>
      <c r="AA42" s="73"/>
    </row>
    <row r="43" spans="1:28" x14ac:dyDescent="0.8">
      <c r="A43" s="156" t="s">
        <v>89</v>
      </c>
      <c r="B43" s="157"/>
      <c r="C43" s="158">
        <f>SUM(C38:C42)</f>
        <v>0</v>
      </c>
      <c r="D43" s="143"/>
      <c r="E43" s="73"/>
      <c r="F43" s="71"/>
      <c r="G43" s="384"/>
      <c r="H43" s="156" t="s">
        <v>90</v>
      </c>
      <c r="I43" s="157"/>
      <c r="J43" s="158">
        <f>SUM(J38:J42)</f>
        <v>0</v>
      </c>
      <c r="K43" s="143"/>
      <c r="L43" s="73"/>
      <c r="M43" s="71"/>
      <c r="P43" s="73"/>
      <c r="Q43" s="73"/>
      <c r="R43" s="73"/>
      <c r="S43" s="73"/>
      <c r="T43" s="73"/>
      <c r="U43" s="73"/>
      <c r="V43" s="73"/>
      <c r="W43" s="73"/>
      <c r="X43" s="73"/>
      <c r="Y43" s="73"/>
      <c r="Z43" s="73"/>
      <c r="AA43" s="73"/>
    </row>
    <row r="44" spans="1:28" ht="16.75" thickBot="1" x14ac:dyDescent="0.95">
      <c r="A44" s="381" t="s">
        <v>22</v>
      </c>
      <c r="B44" s="381"/>
      <c r="C44" s="381"/>
      <c r="D44" s="71"/>
      <c r="E44" s="71"/>
      <c r="F44" s="71"/>
      <c r="G44" s="384"/>
      <c r="H44" s="381" t="s">
        <v>22</v>
      </c>
      <c r="I44" s="381"/>
      <c r="J44" s="381"/>
      <c r="K44" s="71"/>
      <c r="L44" s="71"/>
      <c r="M44" s="71"/>
      <c r="P44" s="93"/>
      <c r="Q44" s="93"/>
      <c r="R44" s="93"/>
      <c r="S44" s="93"/>
      <c r="T44" s="93"/>
      <c r="U44" s="93"/>
      <c r="V44" s="93"/>
      <c r="W44" s="93"/>
      <c r="X44" s="93"/>
      <c r="Y44" s="93"/>
      <c r="Z44" s="93"/>
      <c r="AA44" s="93"/>
    </row>
    <row r="45" spans="1:28" x14ac:dyDescent="0.8">
      <c r="A45" s="111" t="s">
        <v>91</v>
      </c>
      <c r="B45" s="113"/>
      <c r="C45" s="119"/>
      <c r="D45" s="119"/>
      <c r="E45" s="119"/>
      <c r="F45" s="119"/>
      <c r="G45" s="384"/>
      <c r="H45" s="111" t="s">
        <v>91</v>
      </c>
      <c r="I45" s="113"/>
      <c r="J45" s="119"/>
      <c r="K45" s="119"/>
      <c r="L45" s="119"/>
      <c r="M45" s="119"/>
      <c r="O45" s="93"/>
      <c r="P45" s="93"/>
      <c r="Q45" s="93"/>
      <c r="R45" s="93"/>
      <c r="S45" s="93"/>
      <c r="T45" s="93"/>
      <c r="U45" s="93"/>
      <c r="V45" s="93"/>
      <c r="W45" s="93"/>
      <c r="X45" s="93"/>
      <c r="Y45" s="93"/>
      <c r="Z45" s="93"/>
    </row>
    <row r="46" spans="1:28" ht="26.65" customHeight="1" x14ac:dyDescent="0.8">
      <c r="A46" s="70" t="s">
        <v>92</v>
      </c>
      <c r="B46" s="151"/>
      <c r="C46" s="119"/>
      <c r="D46" s="71"/>
      <c r="E46" s="73"/>
      <c r="F46" s="73"/>
      <c r="G46" s="384"/>
      <c r="H46" s="70" t="s">
        <v>92</v>
      </c>
      <c r="I46" s="151"/>
      <c r="J46" s="119"/>
      <c r="K46" s="71"/>
      <c r="L46" s="73"/>
      <c r="M46" s="73"/>
      <c r="O46" s="93"/>
      <c r="P46" s="93"/>
      <c r="Q46" s="93"/>
      <c r="R46" s="93"/>
      <c r="S46" s="93"/>
      <c r="T46" s="93"/>
      <c r="U46" s="93"/>
      <c r="V46" s="93"/>
      <c r="W46" s="93"/>
      <c r="X46" s="93"/>
      <c r="Y46" s="93"/>
      <c r="Z46" s="93"/>
    </row>
    <row r="47" spans="1:28" x14ac:dyDescent="0.8">
      <c r="A47" s="159" t="s">
        <v>93</v>
      </c>
      <c r="B47" s="160" t="s">
        <v>94</v>
      </c>
      <c r="C47" s="117"/>
      <c r="D47" s="117"/>
      <c r="E47" s="143"/>
      <c r="F47" s="109"/>
      <c r="G47" s="384"/>
      <c r="H47" s="159" t="s">
        <v>93</v>
      </c>
      <c r="I47" s="160" t="s">
        <v>95</v>
      </c>
      <c r="J47" s="117"/>
      <c r="K47" s="117"/>
      <c r="L47" s="143"/>
      <c r="M47" s="109"/>
      <c r="O47" s="93"/>
      <c r="P47" s="93"/>
      <c r="Q47" s="93"/>
      <c r="R47" s="93"/>
      <c r="S47" s="93"/>
      <c r="T47" s="93"/>
      <c r="U47" s="93"/>
      <c r="V47" s="93"/>
      <c r="W47" s="93"/>
      <c r="X47" s="93"/>
      <c r="Y47" s="93"/>
      <c r="Z47" s="93"/>
    </row>
    <row r="48" spans="1:28" ht="60" customHeight="1" x14ac:dyDescent="0.8">
      <c r="A48" s="193"/>
      <c r="B48" s="194"/>
      <c r="C48" s="143"/>
      <c r="D48" s="143"/>
      <c r="E48" s="143"/>
      <c r="F48" s="71"/>
      <c r="G48" s="384"/>
      <c r="H48" s="193"/>
      <c r="I48" s="194"/>
      <c r="J48" s="143"/>
      <c r="K48" s="143"/>
      <c r="L48" s="143"/>
      <c r="M48" s="71"/>
      <c r="O48" s="93"/>
      <c r="P48" s="93"/>
      <c r="Q48" s="93"/>
      <c r="R48" s="93"/>
      <c r="S48" s="93"/>
      <c r="T48" s="93"/>
      <c r="U48" s="93"/>
      <c r="V48" s="93"/>
      <c r="W48" s="93"/>
      <c r="X48" s="93"/>
      <c r="Y48" s="93"/>
      <c r="Z48" s="93"/>
    </row>
    <row r="49" spans="1:26" ht="60" customHeight="1" x14ac:dyDescent="0.8">
      <c r="A49" s="193"/>
      <c r="B49" s="194"/>
      <c r="C49" s="143"/>
      <c r="D49" s="143"/>
      <c r="E49" s="155"/>
      <c r="F49" s="155"/>
      <c r="G49" s="384"/>
      <c r="H49" s="193"/>
      <c r="I49" s="194"/>
      <c r="J49" s="143"/>
      <c r="K49" s="143"/>
      <c r="L49" s="155"/>
      <c r="M49" s="155"/>
      <c r="O49" s="93"/>
      <c r="P49" s="93"/>
      <c r="Q49" s="93"/>
      <c r="R49" s="93"/>
      <c r="S49" s="93"/>
      <c r="T49" s="93"/>
      <c r="U49" s="93"/>
      <c r="V49" s="93"/>
      <c r="W49" s="93"/>
      <c r="X49" s="93"/>
      <c r="Y49" s="93"/>
      <c r="Z49" s="93"/>
    </row>
    <row r="50" spans="1:26" ht="60" customHeight="1" x14ac:dyDescent="0.8">
      <c r="A50" s="193"/>
      <c r="B50" s="194"/>
      <c r="C50" s="143"/>
      <c r="D50" s="143"/>
      <c r="E50" s="71"/>
      <c r="F50" s="71"/>
      <c r="G50" s="384"/>
      <c r="H50" s="193"/>
      <c r="I50" s="194"/>
      <c r="J50" s="143"/>
      <c r="K50" s="143"/>
      <c r="L50" s="71"/>
      <c r="M50" s="71"/>
    </row>
    <row r="51" spans="1:26" ht="60" customHeight="1" x14ac:dyDescent="0.8">
      <c r="A51" s="193"/>
      <c r="B51" s="194"/>
      <c r="C51" s="143"/>
      <c r="D51" s="143"/>
      <c r="E51" s="161"/>
      <c r="F51" s="161"/>
      <c r="G51" s="384"/>
      <c r="H51" s="193"/>
      <c r="I51" s="194"/>
      <c r="J51" s="143"/>
      <c r="K51" s="143"/>
      <c r="L51" s="161"/>
      <c r="M51" s="161"/>
    </row>
    <row r="52" spans="1:26" ht="60" customHeight="1" x14ac:dyDescent="0.8">
      <c r="A52" s="193"/>
      <c r="B52" s="194"/>
      <c r="C52" s="143"/>
      <c r="D52" s="143"/>
      <c r="E52" s="162"/>
      <c r="F52" s="162"/>
      <c r="G52" s="384"/>
      <c r="H52" s="193"/>
      <c r="I52" s="194"/>
      <c r="J52" s="143"/>
      <c r="K52" s="143"/>
      <c r="L52" s="162"/>
      <c r="M52" s="162"/>
    </row>
    <row r="53" spans="1:26" x14ac:dyDescent="0.8">
      <c r="A53" s="163" t="s">
        <v>89</v>
      </c>
      <c r="B53" s="164">
        <f>SUM(B48:B52)</f>
        <v>0</v>
      </c>
      <c r="C53" s="143"/>
      <c r="D53" s="143"/>
      <c r="E53" s="73"/>
      <c r="G53" s="384"/>
      <c r="H53" s="165" t="s">
        <v>90</v>
      </c>
      <c r="I53" s="164">
        <f>SUM(I48:I52)</f>
        <v>0</v>
      </c>
      <c r="J53" s="143"/>
      <c r="K53" s="143"/>
      <c r="L53" s="73"/>
    </row>
    <row r="54" spans="1:26" ht="16.75" thickBot="1" x14ac:dyDescent="0.95">
      <c r="A54" s="379" t="s">
        <v>22</v>
      </c>
      <c r="B54" s="379"/>
      <c r="C54" s="10"/>
      <c r="D54" s="71"/>
      <c r="E54" s="71"/>
      <c r="F54" s="71"/>
      <c r="G54" s="384"/>
      <c r="H54" s="379" t="s">
        <v>22</v>
      </c>
      <c r="I54" s="379"/>
      <c r="J54" s="10"/>
      <c r="K54" s="71"/>
      <c r="L54" s="71"/>
      <c r="M54" s="71"/>
    </row>
    <row r="55" spans="1:26" x14ac:dyDescent="0.8">
      <c r="A55" s="166" t="str">
        <f>IF('3b. High Cost Fund'!B7="No","This exception is not valid in your state.","Exception (e) The assumption of cost by the high cost fund operated by the")</f>
        <v>This exception is not valid in your state.</v>
      </c>
      <c r="B55" s="145"/>
      <c r="C55" s="146"/>
      <c r="D55" s="130"/>
      <c r="E55" s="130"/>
      <c r="F55" s="143"/>
      <c r="G55" s="384"/>
      <c r="H55" s="166" t="str">
        <f>IF('3b. High Cost Fund'!B7="No","This exception is not valid in your state.","Exception (e) The assumption of cost by the high cost fund operated by the")</f>
        <v>This exception is not valid in your state.</v>
      </c>
      <c r="I55" s="145"/>
      <c r="J55" s="146"/>
      <c r="K55" s="130"/>
      <c r="L55" s="130"/>
      <c r="M55" s="143"/>
    </row>
    <row r="56" spans="1:26" ht="28.15" customHeight="1" x14ac:dyDescent="0.8">
      <c r="A56" s="70" t="str">
        <f>IF('3b. High Cost Fund'!B7="No","","SEA under §300.704. MUST be explicitly permitted by the SEA.")</f>
        <v/>
      </c>
      <c r="B56" s="167"/>
      <c r="C56" s="168"/>
      <c r="D56" s="169"/>
      <c r="E56" s="162"/>
      <c r="F56" s="143"/>
      <c r="G56" s="384"/>
      <c r="H56" s="70" t="str">
        <f>IF('3b. High Cost Fund'!B7="No","","SEA under §300.704. MUST be explicitly permitted by the SEA.")</f>
        <v/>
      </c>
      <c r="I56" s="167"/>
      <c r="J56" s="146"/>
      <c r="K56" s="169"/>
      <c r="L56" s="162"/>
      <c r="M56" s="143"/>
    </row>
    <row r="57" spans="1:26" x14ac:dyDescent="0.8">
      <c r="A57" s="170" t="s">
        <v>85</v>
      </c>
      <c r="B57" s="171" t="s">
        <v>96</v>
      </c>
      <c r="C57" s="117"/>
      <c r="D57" s="143"/>
      <c r="E57" s="143"/>
      <c r="F57" s="10"/>
      <c r="G57" s="384"/>
      <c r="H57" s="170" t="s">
        <v>85</v>
      </c>
      <c r="I57" s="171" t="s">
        <v>97</v>
      </c>
      <c r="J57" s="117"/>
      <c r="K57" s="143"/>
      <c r="L57" s="143"/>
      <c r="M57" s="10"/>
    </row>
    <row r="58" spans="1:26" ht="15.4" customHeight="1" x14ac:dyDescent="0.8">
      <c r="A58" s="195"/>
      <c r="B58" s="196"/>
      <c r="C58" s="338" t="str">
        <f>IF(AND(B58&lt;&gt;"",'3b. High Cost Fund'!$B7="No"),"Invalid entry. This exception is valid only in states with high-cost funds. If your state has a high-cost fund, please indicate that on tab 3b.","")</f>
        <v/>
      </c>
      <c r="D58" s="143"/>
      <c r="E58" s="143"/>
      <c r="F58" s="10"/>
      <c r="G58" s="384"/>
      <c r="H58" s="195"/>
      <c r="I58" s="196"/>
      <c r="J58" s="338" t="str">
        <f>IF(AND(I58&lt;&gt;"",'3b. High Cost Fund'!$B7="No"),"Invalid entry. This exception is valid only in states with high-cost funds. If your state has a high-cost fund, please indicate that on tab 3b.","")</f>
        <v/>
      </c>
      <c r="K58" s="143"/>
      <c r="L58" s="143"/>
      <c r="M58" s="10"/>
    </row>
    <row r="59" spans="1:26" x14ac:dyDescent="0.8">
      <c r="A59" s="195"/>
      <c r="B59" s="196"/>
      <c r="C59" s="143"/>
      <c r="D59" s="10"/>
      <c r="E59" s="10"/>
      <c r="F59" s="10"/>
      <c r="G59" s="384"/>
      <c r="H59" s="195"/>
      <c r="I59" s="196"/>
      <c r="J59" s="143"/>
      <c r="K59" s="10"/>
      <c r="L59" s="10"/>
      <c r="M59" s="10"/>
    </row>
    <row r="60" spans="1:26" x14ac:dyDescent="0.8">
      <c r="A60" s="195"/>
      <c r="B60" s="196"/>
      <c r="C60" s="143"/>
      <c r="D60" s="10"/>
      <c r="E60" s="10"/>
      <c r="F60" s="10"/>
      <c r="G60" s="384"/>
      <c r="H60" s="195"/>
      <c r="I60" s="196"/>
      <c r="J60" s="143"/>
      <c r="K60" s="10"/>
      <c r="L60" s="10"/>
      <c r="M60" s="10"/>
    </row>
    <row r="61" spans="1:26" x14ac:dyDescent="0.8">
      <c r="A61" s="195"/>
      <c r="B61" s="196"/>
      <c r="C61" s="143"/>
      <c r="D61" s="10"/>
      <c r="E61" s="10"/>
      <c r="F61" s="10"/>
      <c r="G61" s="384"/>
      <c r="H61" s="195"/>
      <c r="I61" s="196"/>
      <c r="J61" s="143"/>
      <c r="K61" s="10"/>
      <c r="L61" s="10"/>
      <c r="M61" s="10"/>
    </row>
    <row r="62" spans="1:26" x14ac:dyDescent="0.8">
      <c r="A62" s="195"/>
      <c r="B62" s="196"/>
      <c r="C62" s="143"/>
      <c r="D62" s="10"/>
      <c r="E62" s="10"/>
      <c r="F62" s="10"/>
      <c r="G62" s="384"/>
      <c r="H62" s="195"/>
      <c r="I62" s="196"/>
      <c r="J62" s="143"/>
      <c r="K62" s="10"/>
      <c r="L62" s="10"/>
      <c r="M62" s="10"/>
    </row>
    <row r="63" spans="1:26" x14ac:dyDescent="0.8">
      <c r="A63" s="172" t="s">
        <v>89</v>
      </c>
      <c r="B63" s="173">
        <f>IF('3b. High Cost Fund'!$B7="No",0,SUM(B58:B62))</f>
        <v>0</v>
      </c>
      <c r="C63" s="143"/>
      <c r="D63" s="10"/>
      <c r="E63" s="10"/>
      <c r="F63" s="10"/>
      <c r="G63" s="384"/>
      <c r="H63" s="174" t="s">
        <v>90</v>
      </c>
      <c r="I63" s="173">
        <f>IF('3b. High Cost Fund'!$B7="No",0,SUM(I58:I62))</f>
        <v>0</v>
      </c>
      <c r="J63" s="143"/>
      <c r="K63" s="10"/>
      <c r="L63" s="10"/>
      <c r="M63" s="10"/>
    </row>
    <row r="64" spans="1:26" ht="16.75" thickBot="1" x14ac:dyDescent="0.95">
      <c r="A64" s="379" t="s">
        <v>22</v>
      </c>
      <c r="B64" s="379"/>
      <c r="C64" s="143"/>
      <c r="D64" s="10"/>
      <c r="E64" s="10"/>
      <c r="F64" s="10"/>
      <c r="G64" s="384"/>
      <c r="H64" s="379" t="s">
        <v>22</v>
      </c>
      <c r="I64" s="379"/>
      <c r="J64" s="143"/>
      <c r="K64" s="10"/>
      <c r="L64" s="10"/>
      <c r="M64" s="10"/>
    </row>
    <row r="65" spans="1:13" x14ac:dyDescent="0.8">
      <c r="A65" s="347" t="s">
        <v>107</v>
      </c>
      <c r="B65" s="348"/>
      <c r="C65" s="143"/>
      <c r="D65" s="10"/>
      <c r="E65" s="10"/>
      <c r="F65" s="10"/>
      <c r="G65" s="384"/>
      <c r="H65" s="347" t="s">
        <v>106</v>
      </c>
      <c r="I65" s="348"/>
      <c r="J65" s="143"/>
      <c r="K65" s="10"/>
      <c r="L65" s="10"/>
      <c r="M65" s="10"/>
    </row>
    <row r="66" spans="1:13" x14ac:dyDescent="0.8">
      <c r="A66" s="242" t="s">
        <v>123</v>
      </c>
      <c r="B66" s="265" t="s">
        <v>124</v>
      </c>
      <c r="C66" s="143"/>
      <c r="D66" s="10"/>
      <c r="E66" s="10"/>
      <c r="F66" s="10"/>
      <c r="G66" s="384"/>
      <c r="H66" s="269" t="s">
        <v>123</v>
      </c>
      <c r="I66" s="270" t="s">
        <v>124</v>
      </c>
      <c r="J66" s="143"/>
      <c r="K66" s="10"/>
      <c r="L66" s="10"/>
      <c r="M66" s="10"/>
    </row>
    <row r="67" spans="1:13" x14ac:dyDescent="0.8">
      <c r="A67" s="102" t="s">
        <v>0</v>
      </c>
      <c r="B67" s="240">
        <f>IF(B$28&gt;=0,(F$22+C$43+B$53+B$63),(F$22+C$43+B$53+B$63+B$32))</f>
        <v>0</v>
      </c>
      <c r="C67" s="143"/>
      <c r="D67" s="10"/>
      <c r="E67" s="10"/>
      <c r="F67" s="10"/>
      <c r="G67" s="384"/>
      <c r="H67" s="102" t="s">
        <v>0</v>
      </c>
      <c r="I67" s="240">
        <f>IF(I$28&gt;=0,(M$22+J$43+I$53+I$63),(M$22+J$43+I$53+I$63+I$32))</f>
        <v>0</v>
      </c>
      <c r="J67" s="143"/>
      <c r="K67" s="10"/>
      <c r="L67" s="10"/>
      <c r="M67" s="10"/>
    </row>
    <row r="68" spans="1:13" x14ac:dyDescent="0.8">
      <c r="A68" s="241" t="s">
        <v>2</v>
      </c>
      <c r="B68" s="173">
        <f>IF(B$28&gt;=0,(F$22+C$43+B$53+B$63),(F$22+C$43+B$53+B$63+C$32))</f>
        <v>0</v>
      </c>
      <c r="C68" s="143"/>
      <c r="D68" s="10"/>
      <c r="E68" s="10"/>
      <c r="F68" s="10"/>
      <c r="G68" s="384"/>
      <c r="H68" s="241" t="s">
        <v>2</v>
      </c>
      <c r="I68" s="173">
        <f>IF(I$28&gt;=0,(M$22+J$43+I$53+I$63),(M$22+J$43+I$53+I$63+J$32))</f>
        <v>0</v>
      </c>
      <c r="J68" s="143"/>
      <c r="K68" s="10"/>
      <c r="L68" s="10"/>
      <c r="M68" s="10"/>
    </row>
    <row r="69" spans="1:13" ht="16.75" thickBot="1" x14ac:dyDescent="0.95">
      <c r="A69" s="379" t="s">
        <v>22</v>
      </c>
      <c r="B69" s="379"/>
      <c r="C69" s="10"/>
      <c r="D69" s="10"/>
      <c r="E69" s="10"/>
      <c r="F69" s="10"/>
      <c r="G69" s="384"/>
      <c r="H69" s="382" t="s">
        <v>22</v>
      </c>
      <c r="I69" s="382"/>
      <c r="J69" s="10"/>
      <c r="K69" s="10"/>
      <c r="L69" s="10"/>
      <c r="M69" s="10"/>
    </row>
    <row r="70" spans="1:13" ht="31.15" customHeight="1" x14ac:dyDescent="0.8">
      <c r="A70" s="337" t="s">
        <v>98</v>
      </c>
      <c r="B70" s="176"/>
      <c r="C70" s="11"/>
      <c r="D70" s="177"/>
      <c r="E70" s="10"/>
      <c r="F70" s="10"/>
      <c r="G70" s="384"/>
      <c r="H70" s="337" t="s">
        <v>98</v>
      </c>
      <c r="I70" s="176"/>
      <c r="J70" s="11"/>
      <c r="K70" s="177"/>
      <c r="L70" s="10"/>
      <c r="M70" s="10"/>
    </row>
    <row r="71" spans="1:13" x14ac:dyDescent="0.8">
      <c r="A71" s="178" t="s">
        <v>71</v>
      </c>
      <c r="B71" s="179" t="s">
        <v>99</v>
      </c>
      <c r="C71" s="11" t="s">
        <v>100</v>
      </c>
      <c r="E71" s="10"/>
      <c r="F71" s="10"/>
      <c r="G71" s="384"/>
      <c r="H71" s="178" t="s">
        <v>71</v>
      </c>
      <c r="I71" s="179" t="s">
        <v>101</v>
      </c>
      <c r="J71" s="11" t="s">
        <v>100</v>
      </c>
      <c r="K71" s="10"/>
      <c r="L71" s="10"/>
      <c r="M71" s="10"/>
    </row>
    <row r="72" spans="1:13" x14ac:dyDescent="0.8">
      <c r="A72" s="180" t="s">
        <v>102</v>
      </c>
      <c r="B72" s="197">
        <v>0</v>
      </c>
      <c r="C72" s="181" t="s">
        <v>103</v>
      </c>
      <c r="D72" s="10"/>
      <c r="E72" s="10"/>
      <c r="F72" s="10"/>
      <c r="G72" s="384"/>
      <c r="H72" s="180" t="s">
        <v>104</v>
      </c>
      <c r="I72" s="197">
        <v>0</v>
      </c>
      <c r="J72" s="181" t="s">
        <v>103</v>
      </c>
      <c r="K72" s="10"/>
      <c r="L72" s="10"/>
      <c r="M72" s="10"/>
    </row>
    <row r="73" spans="1:13" ht="30" customHeight="1" x14ac:dyDescent="0.8">
      <c r="A73" s="345" t="s">
        <v>183</v>
      </c>
      <c r="B73" s="182"/>
      <c r="C73" s="182"/>
      <c r="D73" s="182"/>
      <c r="E73" s="182"/>
      <c r="F73" s="182"/>
      <c r="G73" s="384"/>
      <c r="H73" s="182"/>
      <c r="I73" s="182"/>
      <c r="J73" s="182"/>
      <c r="K73" s="182"/>
      <c r="L73" s="182"/>
      <c r="M73" s="182"/>
    </row>
    <row r="74" spans="1:13" s="184" customFormat="1" x14ac:dyDescent="0.8">
      <c r="A74" s="358" t="s">
        <v>182</v>
      </c>
      <c r="B74" s="183"/>
      <c r="C74" s="183"/>
      <c r="D74" s="183"/>
      <c r="E74" s="183"/>
      <c r="F74" s="183"/>
      <c r="G74" s="384"/>
      <c r="H74" s="183"/>
      <c r="I74" s="183"/>
      <c r="J74" s="183"/>
      <c r="K74" s="183"/>
      <c r="L74" s="183"/>
      <c r="M74" s="183"/>
    </row>
    <row r="75" spans="1:13" x14ac:dyDescent="0.8">
      <c r="A75" s="380" t="s">
        <v>24</v>
      </c>
      <c r="B75" s="380"/>
      <c r="C75" s="380"/>
      <c r="D75" s="380"/>
      <c r="E75" s="380"/>
      <c r="F75" s="380"/>
      <c r="G75" s="380"/>
      <c r="H75" s="380"/>
      <c r="I75" s="380"/>
      <c r="J75" s="380"/>
      <c r="K75" s="380"/>
      <c r="L75" s="380"/>
      <c r="M75" s="380"/>
    </row>
  </sheetData>
  <sheetProtection algorithmName="SHA-512" hashValue="eBs6pNH51y1+gd2GSVjWJA9JX89eC3Vgc69UK23LyxlxTO2qoNamhmeU85nN6tsllqhZnSxCri1SfXjq6JfzfA==" saltValue="NyiETEuA0C6sQxAfi3OSsg==" spinCount="100000" sheet="1" formatColumns="0" formatRows="0"/>
  <mergeCells count="14">
    <mergeCell ref="A54:B54"/>
    <mergeCell ref="H54:I54"/>
    <mergeCell ref="A69:B69"/>
    <mergeCell ref="H69:I69"/>
    <mergeCell ref="A75:M75"/>
    <mergeCell ref="A64:B64"/>
    <mergeCell ref="H64:I64"/>
    <mergeCell ref="G1:G74"/>
    <mergeCell ref="A23:F23"/>
    <mergeCell ref="H23:M23"/>
    <mergeCell ref="A33:C33"/>
    <mergeCell ref="H33:J33"/>
    <mergeCell ref="A44:C44"/>
    <mergeCell ref="H44:J44"/>
  </mergeCells>
  <conditionalFormatting sqref="A55">
    <cfRule type="containsText" dxfId="198" priority="2" operator="containsText" text="not valid">
      <formula>NOT(ISERROR(SEARCH("not valid",A55)))</formula>
    </cfRule>
  </conditionalFormatting>
  <conditionalFormatting sqref="H55">
    <cfRule type="containsText" dxfId="197" priority="1" operator="containsText" text="not valid">
      <formula>NOT(ISERROR(SEARCH("not valid",H55)))</formula>
    </cfRule>
  </conditionalFormatting>
  <dataValidations count="1">
    <dataValidation type="list" allowBlank="1" showInputMessage="1" showErrorMessage="1" sqref="B38:B42 I38:I42" xr:uid="{00000000-0002-0000-1200-000000000000}">
      <formula1>Exception_c</formula1>
    </dataValidation>
  </dataValidations>
  <hyperlinks>
    <hyperlink ref="C72" r:id="rId1" xr:uid="{00000000-0004-0000-1200-000000000000}"/>
    <hyperlink ref="J72" r:id="rId2" xr:uid="{00000000-0004-0000-1200-000001000000}"/>
    <hyperlink ref="A74" r:id="rId3" xr:uid="{B66FBED7-730C-4F31-9735-70E91E82DA84}"/>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N22"/>
  <sheetViews>
    <sheetView showGridLines="0" tabSelected="1" zoomScaleNormal="100" workbookViewId="0">
      <selection activeCell="A8" sqref="A8:D8"/>
    </sheetView>
  </sheetViews>
  <sheetFormatPr defaultColWidth="0" defaultRowHeight="14.75" zeroHeight="1" x14ac:dyDescent="0.75"/>
  <cols>
    <col min="1" max="1" width="44.40625" customWidth="1"/>
    <col min="2" max="2" width="26.40625" customWidth="1"/>
    <col min="3" max="3" width="23.40625" customWidth="1"/>
    <col min="4" max="4" width="20.7265625" customWidth="1"/>
    <col min="5" max="6" width="9.1328125" customWidth="1"/>
    <col min="7" max="7" width="9.54296875" bestFit="1" customWidth="1"/>
    <col min="8" max="14" width="9.1328125" customWidth="1"/>
    <col min="15" max="16384" width="9.1328125" hidden="1"/>
  </cols>
  <sheetData>
    <row r="1" spans="1:7" ht="16" x14ac:dyDescent="0.8">
      <c r="A1" s="218" t="s">
        <v>20</v>
      </c>
      <c r="B1" s="219" t="s">
        <v>120</v>
      </c>
    </row>
    <row r="2" spans="1:7" x14ac:dyDescent="0.75">
      <c r="A2" s="3" t="s">
        <v>14</v>
      </c>
      <c r="B2" s="342"/>
    </row>
    <row r="3" spans="1:7" x14ac:dyDescent="0.75">
      <c r="A3" s="3" t="s">
        <v>15</v>
      </c>
      <c r="B3" s="287"/>
    </row>
    <row r="4" spans="1:7" ht="16" x14ac:dyDescent="0.8">
      <c r="A4" s="7" t="s">
        <v>16</v>
      </c>
      <c r="B4" s="221" t="s">
        <v>18</v>
      </c>
    </row>
    <row r="5" spans="1:7" ht="16" x14ac:dyDescent="0.8">
      <c r="A5" s="7" t="s">
        <v>17</v>
      </c>
      <c r="B5" s="221" t="s">
        <v>19</v>
      </c>
    </row>
    <row r="6" spans="1:7" ht="73.75" x14ac:dyDescent="0.75">
      <c r="A6" s="216" t="s">
        <v>145</v>
      </c>
      <c r="B6" s="222">
        <v>2024</v>
      </c>
      <c r="C6" s="8" t="str">
        <f>CONCATENATE("State fiscal year ",B6," covers the period ",B4,", ",B6-1," through ",B5,", ",B6)</f>
        <v>State fiscal year 2024 covers the period July 1, 2023 through June 30, 2024</v>
      </c>
      <c r="D6" s="4"/>
    </row>
    <row r="7" spans="1:7" x14ac:dyDescent="0.75">
      <c r="A7" s="372" t="s">
        <v>22</v>
      </c>
      <c r="B7" s="372"/>
      <c r="C7" s="372"/>
      <c r="D7" s="372"/>
    </row>
    <row r="8" spans="1:7" ht="30.75" customHeight="1" x14ac:dyDescent="0.8">
      <c r="A8" s="371" t="str">
        <f>CONCATENATE("Compliance standard: For each method, list the last fiscal year prior to state fiscal year ",B6," in which the LEA met the LEA MOE compliance standard and the final expenditures and child count for that year.")</f>
        <v>Compliance standard: For each method, list the last fiscal year prior to state fiscal year 2024 in which the LEA met the LEA MOE compliance standard and the final expenditures and child count for that year.</v>
      </c>
      <c r="B8" s="371"/>
      <c r="C8" s="371"/>
      <c r="D8" s="371"/>
    </row>
    <row r="9" spans="1:7" ht="29.5" x14ac:dyDescent="0.75">
      <c r="A9" s="225" t="s">
        <v>121</v>
      </c>
      <c r="B9" s="226" t="s">
        <v>157</v>
      </c>
      <c r="C9" s="226" t="s">
        <v>1</v>
      </c>
      <c r="D9" s="227" t="s">
        <v>116</v>
      </c>
      <c r="G9" s="203"/>
    </row>
    <row r="10" spans="1:7" x14ac:dyDescent="0.75">
      <c r="A10" s="223" t="s">
        <v>0</v>
      </c>
      <c r="B10" s="220"/>
      <c r="C10" s="229"/>
      <c r="D10" s="230"/>
      <c r="E10" t="str">
        <f>IF(B10="","",IF(B$6-B10&gt;1,"There are intervening years. Use the intervening years tab to calculate exceptions and adjustments.",""))</f>
        <v/>
      </c>
    </row>
    <row r="11" spans="1:7" x14ac:dyDescent="0.75">
      <c r="A11" s="224" t="s">
        <v>2</v>
      </c>
      <c r="B11" s="220"/>
      <c r="C11" s="229"/>
      <c r="D11" s="230"/>
      <c r="E11" t="str">
        <f t="shared" ref="E11:E13" si="0">IF(B11="","",IF(B$6-B11&gt;1,"There are intervening years. Use the intervening years tab to calculate exceptions and adjustments.",""))</f>
        <v/>
      </c>
    </row>
    <row r="12" spans="1:7" x14ac:dyDescent="0.75">
      <c r="A12" s="224" t="s">
        <v>3</v>
      </c>
      <c r="B12" s="220"/>
      <c r="C12" s="229"/>
      <c r="D12" s="230"/>
      <c r="E12" t="str">
        <f t="shared" si="0"/>
        <v/>
      </c>
    </row>
    <row r="13" spans="1:7" x14ac:dyDescent="0.75">
      <c r="A13" s="228" t="s">
        <v>4</v>
      </c>
      <c r="B13" s="222"/>
      <c r="C13" s="231"/>
      <c r="D13" s="232"/>
      <c r="E13" t="str">
        <f t="shared" si="0"/>
        <v/>
      </c>
    </row>
    <row r="14" spans="1:7" x14ac:dyDescent="0.75">
      <c r="A14" s="372" t="s">
        <v>22</v>
      </c>
      <c r="B14" s="372"/>
      <c r="C14" s="372"/>
      <c r="D14" s="372"/>
    </row>
    <row r="15" spans="1:7" ht="16" x14ac:dyDescent="0.8">
      <c r="A15" s="198" t="str">
        <f>CONCATENATE("Enter some essential information for SFY ",B6-1)</f>
        <v>Enter some essential information for SFY 2023</v>
      </c>
    </row>
    <row r="16" spans="1:7" ht="30" customHeight="1" x14ac:dyDescent="0.75">
      <c r="A16" s="233" t="s">
        <v>120</v>
      </c>
      <c r="B16" s="226" t="s">
        <v>163</v>
      </c>
      <c r="C16" s="227" t="s">
        <v>164</v>
      </c>
    </row>
    <row r="17" spans="1:14" x14ac:dyDescent="0.75">
      <c r="A17" s="223" t="s">
        <v>0</v>
      </c>
      <c r="B17" s="234"/>
      <c r="C17" s="235" t="str">
        <f>IF(B10=B6-1,C10,"Please enter data")</f>
        <v>Please enter data</v>
      </c>
    </row>
    <row r="18" spans="1:14" x14ac:dyDescent="0.75">
      <c r="A18" s="224" t="s">
        <v>2</v>
      </c>
      <c r="B18" s="234"/>
      <c r="C18" s="235" t="str">
        <f>IF(B11=B6-1,C11,"Please enter data")</f>
        <v>Please enter data</v>
      </c>
    </row>
    <row r="19" spans="1:14" x14ac:dyDescent="0.75">
      <c r="A19" s="228" t="s">
        <v>49</v>
      </c>
      <c r="B19" s="236"/>
      <c r="C19" s="232" t="str">
        <f>IF(B10=B6-1,D10,IF(B11=B6-1,D11,IF(B12=B6-1,D12,IF(B13=B6-1,D13,"Please enter data"))))</f>
        <v>Please enter data</v>
      </c>
    </row>
    <row r="20" spans="1:14" ht="26.25" customHeight="1" x14ac:dyDescent="0.75">
      <c r="A20" s="341" t="s">
        <v>183</v>
      </c>
      <c r="B20" s="341"/>
    </row>
    <row r="21" spans="1:14" ht="16" x14ac:dyDescent="0.8">
      <c r="A21" s="358" t="s">
        <v>182</v>
      </c>
      <c r="B21" s="340"/>
    </row>
    <row r="22" spans="1:14" x14ac:dyDescent="0.75">
      <c r="A22" s="373" t="s">
        <v>24</v>
      </c>
      <c r="B22" s="373"/>
      <c r="C22" s="373"/>
      <c r="D22" s="373"/>
      <c r="E22" s="373"/>
      <c r="F22" s="373"/>
      <c r="G22" s="373"/>
      <c r="H22" s="373"/>
      <c r="I22" s="373"/>
      <c r="J22" s="373"/>
      <c r="K22" s="373"/>
      <c r="L22" s="373"/>
      <c r="M22" s="373"/>
      <c r="N22" s="373"/>
    </row>
  </sheetData>
  <sheetProtection algorithmName="SHA-512" hashValue="PqpR1f87Un4VK26Yd3Uwl+bqUSxpdXeWCP5jqimktBP8L3hYzORwLolnRe4xRihYe0jOJ3qILRC88JQ9QwEmyA==" saltValue="dff8be0+c/vTJ/kO9c0GLA==" spinCount="100000" sheet="1" objects="1" scenarios="1" formatColumns="0" formatRows="0"/>
  <mergeCells count="4">
    <mergeCell ref="A8:D8"/>
    <mergeCell ref="A7:D7"/>
    <mergeCell ref="A14:D14"/>
    <mergeCell ref="A22:N22"/>
  </mergeCells>
  <hyperlinks>
    <hyperlink ref="A21" r:id="rId1" xr:uid="{6B77CC68-B0BD-4051-81E8-77DBD331D737}"/>
  </hyperlinks>
  <pageMargins left="0.7" right="0.7" top="0.75" bottom="0.75" header="0.3" footer="0.3"/>
  <pageSetup orientation="portrait" r:id="rId2"/>
  <tableParts count="3">
    <tablePart r:id="rId3"/>
    <tablePart r:id="rId4"/>
    <tablePart r:id="rId5"/>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0070C0"/>
  </sheetPr>
  <dimension ref="A1:F43"/>
  <sheetViews>
    <sheetView showGridLines="0" workbookViewId="0"/>
  </sheetViews>
  <sheetFormatPr defaultColWidth="0" defaultRowHeight="14.75" zeroHeight="1" x14ac:dyDescent="0.75"/>
  <cols>
    <col min="1" max="1" width="43.40625" bestFit="1" customWidth="1"/>
    <col min="2" max="5" width="33.7265625" customWidth="1"/>
    <col min="6" max="6" width="0.86328125" customWidth="1"/>
    <col min="7" max="16384" width="9.1328125" hidden="1"/>
  </cols>
  <sheetData>
    <row r="1" spans="1:5" ht="21" x14ac:dyDescent="1">
      <c r="A1" s="302" t="str">
        <f>CONCATENATE("Summary of Year 5: State Fiscal Year ",'2. Getting Started'!B6+4)</f>
        <v>Summary of Year 5: State Fiscal Year 2028</v>
      </c>
      <c r="B1" s="300"/>
      <c r="C1" s="300"/>
      <c r="D1" s="21" t="s">
        <v>14</v>
      </c>
      <c r="E1" s="20" t="str">
        <f>IF('2. Getting Started'!B2="","",'2. Getting Started'!B2)</f>
        <v/>
      </c>
    </row>
    <row r="2" spans="1:5" ht="18.5" x14ac:dyDescent="0.9">
      <c r="A2" s="2" t="str">
        <f>CONCATENATE("State fiscal year ",'2. Getting Started'!B6+4," covers the period ",'2. Getting Started'!B4,", ",'2. Getting Started'!B6+3," through ",'2. Getting Started'!B5,", ",'2. Getting Started'!B6+4)</f>
        <v>State fiscal year 2028 covers the period July 1, 2027 through June 30, 2028</v>
      </c>
      <c r="B2" s="300"/>
      <c r="C2" s="300"/>
      <c r="D2" s="301"/>
      <c r="E2" s="300"/>
    </row>
    <row r="3" spans="1:5" ht="18.5" x14ac:dyDescent="0.9">
      <c r="A3" s="8"/>
      <c r="B3" s="18"/>
      <c r="C3" s="18"/>
      <c r="D3" s="201"/>
      <c r="E3" s="18"/>
    </row>
    <row r="4" spans="1:5" ht="16" x14ac:dyDescent="0.8">
      <c r="A4" s="5" t="s">
        <v>7</v>
      </c>
      <c r="B4" s="4"/>
      <c r="C4" s="4"/>
      <c r="D4" s="4"/>
      <c r="E4" s="4"/>
    </row>
    <row r="5" spans="1:5" x14ac:dyDescent="0.75">
      <c r="A5" s="260" t="s">
        <v>125</v>
      </c>
      <c r="B5" s="244" t="s">
        <v>0</v>
      </c>
      <c r="C5" s="244" t="s">
        <v>2</v>
      </c>
      <c r="D5" s="244" t="s">
        <v>3</v>
      </c>
      <c r="E5" s="245" t="s">
        <v>4</v>
      </c>
    </row>
    <row r="6" spans="1:5" x14ac:dyDescent="0.75">
      <c r="A6" s="243" t="s">
        <v>44</v>
      </c>
      <c r="B6" s="3" t="str">
        <f>IF('2. Getting Started'!B10="","",IF('38. Total Local Funds'!F30="Met",'2. Getting Started'!$B$6+2,IF('38. Total Local Funds'!$F22="Met",'2. Getting Started'!$B$6+1,IF('38. Total Local Funds'!$F14="Met",'2. Getting Started'!$B$6,'2. Getting Started'!$B10))))</f>
        <v/>
      </c>
      <c r="C6" s="3" t="str">
        <f>IF('2. Getting Started'!B11="","",IF('39. Total State &amp; Local Funds'!F30="Met",'2. Getting Started'!$B$6+2,IF('39. Total State &amp; Local Funds'!$F22="Met",'2. Getting Started'!$B$6+1,IF('39. Total State &amp; Local Funds'!$F14="Met",'2. Getting Started'!$B$6,'2. Getting Started'!$B11))))</f>
        <v/>
      </c>
      <c r="D6" s="3" t="str">
        <f>IF('2. Getting Started'!B12="","",IF('40. Local Funds Per Capita'!F31="Met",'2. Getting Started'!$B$6+2,IF('40. Local Funds Per Capita'!$F23="Met",'2. Getting Started'!$B$6+1,IF('40. Local Funds Per Capita'!$F15="Met",'2. Getting Started'!$B$6,'2. Getting Started'!$B12))))</f>
        <v/>
      </c>
      <c r="E6" s="257" t="str">
        <f>IF('2. Getting Started'!B13="","",IF('41. State &amp; Local Funds Per Cap'!F31="Met",'2. Getting Started'!$B$6+2,IF('41. State &amp; Local Funds Per Cap'!$F23="Met",'2. Getting Started'!$B$6+1,IF('41. State &amp; Local Funds Per Cap'!$F15="Met",'2. Getting Started'!$B$6,'2. Getting Started'!$B13))))</f>
        <v/>
      </c>
    </row>
    <row r="7" spans="1:5" x14ac:dyDescent="0.75">
      <c r="A7" s="243" t="s">
        <v>45</v>
      </c>
      <c r="B7" s="204" t="str">
        <f>IF(B6="","",IF(B6='2. Getting Started'!$B$6+2,'11. Year 3 Amounts'!K30,IF(B6='2. Getting Started'!$B$6+1,'8. Year 2 Amounts'!K30,IF(B6='2. Getting Started'!$B$6,'5. Year 1 Amounts'!K30,'2. Getting Started'!$C10))))</f>
        <v/>
      </c>
      <c r="C7" s="204" t="str">
        <f>IF(C6="","",IF(C6='2. Getting Started'!$B$6+2,'11. Year 3 Amounts'!M30,IF(C6='2. Getting Started'!$B$6+1,'8. Year 2 Amounts'!M30,IF(C6='2. Getting Started'!$B$6,'5. Year 1 Amounts'!M30,'2. Getting Started'!$C11))))</f>
        <v/>
      </c>
      <c r="D7" s="204" t="str">
        <f>IF(D6="","",IF(D6='2. Getting Started'!$B$6+2,'11. Year 3 Amounts'!K31,IF(D6='2. Getting Started'!$B$6+1,'8. Year 2 Amounts'!K31,IF(D6='2. Getting Started'!$B$6,'5. Year 1 Amounts'!K31,'2. Getting Started'!$C12))))</f>
        <v/>
      </c>
      <c r="E7" s="267" t="str">
        <f>IF(E6="","",IF(E6='2. Getting Started'!$B$6+2,'11. Year 3 Amounts'!M31,IF(E6='2. Getting Started'!$B$6+1,'8. Year 2 Amounts'!M31,IF(E6='2. Getting Started'!$B$6,'5. Year 1 Amounts'!M31,'2. Getting Started'!$C13))))</f>
        <v/>
      </c>
    </row>
    <row r="8" spans="1:5" x14ac:dyDescent="0.75">
      <c r="A8" s="243" t="s">
        <v>9</v>
      </c>
      <c r="B8" s="204" t="str">
        <f>'17. Year 5 Amounts'!D30</f>
        <v/>
      </c>
      <c r="C8" s="204" t="str">
        <f>'17. Year 5 Amounts'!F30</f>
        <v/>
      </c>
      <c r="D8" s="204" t="str">
        <f>'17. Year 5 Amounts'!D31</f>
        <v/>
      </c>
      <c r="E8" s="267" t="str">
        <f>'17. Year 5 Amounts'!F31</f>
        <v/>
      </c>
    </row>
    <row r="9" spans="1:5" x14ac:dyDescent="0.75">
      <c r="A9" s="243" t="s">
        <v>117</v>
      </c>
      <c r="B9" s="200" t="str">
        <f>IF(B8="","",IF(B8&gt;=B7,"Met",IF(AND(B8&lt;B7,'38. Total Local Funds'!$B46="Met"),"Met with Exceptions &amp; Adjustments","Did Not Meet")))</f>
        <v/>
      </c>
      <c r="C9" s="200" t="str">
        <f>IF(C8="","",IF(C8&gt;=C7,"Met",IF(AND(C8&lt;C7,'39. Total State &amp; Local Funds'!$B46="Met"),"Met with Exceptions &amp; Adjustments","Did Not Meet")))</f>
        <v/>
      </c>
      <c r="D9" s="200" t="str">
        <f>IF(D8="","",IF(D8&gt;=D7,"Met",IF(AND(D8&lt;D7,'40. Local Funds Per Capita'!$B47="Met"),"Met with Exceptions &amp; Adjustments","Did Not Meet")))</f>
        <v/>
      </c>
      <c r="E9" s="259" t="str">
        <f>IF(E8="","",IF(E8&gt;=E7,"Met",IF(AND(E8&lt;E7,'41. State &amp; Local Funds Per Cap'!$B47="Met"),"Met with Exceptions &amp; Adjustments","Did Not Meet")))</f>
        <v/>
      </c>
    </row>
    <row r="10" spans="1:5" x14ac:dyDescent="0.75">
      <c r="A10" s="246" t="s">
        <v>46</v>
      </c>
      <c r="B10" s="256" t="str">
        <f>IF(B9="","",IF(B9="Did Not Meet",'38. Total Local Funds'!$B44-'38. Total Local Funds'!$B45,0))</f>
        <v/>
      </c>
      <c r="C10" s="256" t="str">
        <f>IF(C9="","",IF(C9="Did Not Meet",'39. Total State &amp; Local Funds'!$B44-'39. Total State &amp; Local Funds'!$B45,0))</f>
        <v/>
      </c>
      <c r="D10" s="256" t="str">
        <f>IF(D9="","",IF(D9="Did Not Meet",(('40. Local Funds Per Capita'!$B45-'40. Local Funds Per Capita'!$B46)*'17. Year 5 Amounts'!B1),0))</f>
        <v/>
      </c>
      <c r="E10" s="261" t="str">
        <f>IF(E9="","",IF(E9="Did Not Meet",(('41. State &amp; Local Funds Per Cap'!$B45-'41. State &amp; Local Funds Per Cap'!$B46)*'17. Year 5 Amounts'!B1),0))</f>
        <v/>
      </c>
    </row>
    <row r="11" spans="1:5" x14ac:dyDescent="0.75">
      <c r="A11" s="373" t="s">
        <v>175</v>
      </c>
      <c r="B11" s="373"/>
      <c r="C11" s="373"/>
      <c r="D11" s="373"/>
      <c r="E11" s="373"/>
    </row>
    <row r="12" spans="1:5" ht="16" x14ac:dyDescent="0.8">
      <c r="A12" s="5" t="s">
        <v>10</v>
      </c>
      <c r="B12" s="5"/>
      <c r="C12" s="5"/>
      <c r="D12" s="5"/>
      <c r="E12" s="5"/>
    </row>
    <row r="13" spans="1:5" x14ac:dyDescent="0.75">
      <c r="A13" s="260" t="s">
        <v>125</v>
      </c>
      <c r="B13" s="244" t="s">
        <v>0</v>
      </c>
      <c r="C13" s="244" t="s">
        <v>2</v>
      </c>
      <c r="D13" s="244" t="s">
        <v>3</v>
      </c>
      <c r="E13" s="245" t="s">
        <v>4</v>
      </c>
    </row>
    <row r="14" spans="1:5" x14ac:dyDescent="0.75">
      <c r="A14" s="243" t="s">
        <v>44</v>
      </c>
      <c r="B14" s="3" t="str">
        <f>IF('2. Getting Started'!B10="","",IF('38. Total Local Funds'!F38="Met",'2. Getting Started'!$B$6+3,IF('38. Total Local Funds'!F30="Met",'2. Getting Started'!$B$6+2,IF('38. Total Local Funds'!F22="Met",'2. Getting Started'!$B$6+1,IF('38. Total Local Funds'!$F14="Met",'2. Getting Started'!$B$6,'2. Getting Started'!$B10)))))</f>
        <v/>
      </c>
      <c r="C14" s="3" t="str">
        <f>IF('2. Getting Started'!B11="","",IF('39. Total State &amp; Local Funds'!F38="Met",'2. Getting Started'!$B$6+3,IF('39. Total State &amp; Local Funds'!F30="Met",'2. Getting Started'!$B$6+2,IF('39. Total State &amp; Local Funds'!F22="Met",'2. Getting Started'!$B$6+1,IF('39. Total State &amp; Local Funds'!$F14="Met",'2. Getting Started'!$B$6,'2. Getting Started'!$B11)))))</f>
        <v/>
      </c>
      <c r="D14" s="3" t="str">
        <f>IF('2. Getting Started'!B12="","",IF('40. Local Funds Per Capita'!F39="Met",'2. Getting Started'!$B$6+3,IF('40. Local Funds Per Capita'!F31="Met",'2. Getting Started'!$B$6+2,IF('40. Local Funds Per Capita'!F23="Met",'2. Getting Started'!$B$6+1,IF('40. Local Funds Per Capita'!$F15="Met",'2. Getting Started'!$B$6,'2. Getting Started'!$B12)))))</f>
        <v/>
      </c>
      <c r="E14" s="257" t="str">
        <f>IF('2. Getting Started'!B13="","",IF('41. State &amp; Local Funds Per Cap'!F39="Met",'2. Getting Started'!$B$6+3,IF('41. State &amp; Local Funds Per Cap'!F31="Met",'2. Getting Started'!$B$6+2,IF('41. State &amp; Local Funds Per Cap'!F23="Met",'2. Getting Started'!$B$6+1,IF('41. State &amp; Local Funds Per Cap'!$F15="Met",'2. Getting Started'!$B$6,'2. Getting Started'!$B13)))))</f>
        <v/>
      </c>
    </row>
    <row r="15" spans="1:5" x14ac:dyDescent="0.75">
      <c r="A15" s="243" t="s">
        <v>45</v>
      </c>
      <c r="B15" s="17" t="str">
        <f>IF(B14="","",IF(B14='2. Getting Started'!$B$6+3,'14. Year 4 Amounts'!K30,IF(B14='2. Getting Started'!$B$6+2,'11. Year 3 Amounts'!K30,IF(B14='2. Getting Started'!$B$6+1,'8. Year 2 Amounts'!K30,IF(B14='2. Getting Started'!$B$6,'5. Year 1 Amounts'!K30,'2. Getting Started'!$C10)))))</f>
        <v/>
      </c>
      <c r="C15" s="17" t="str">
        <f>IF(C14="","",IF(C14='2. Getting Started'!$B$6+3,'14. Year 4 Amounts'!M30,IF(C14='2. Getting Started'!$B$6+2,'11. Year 3 Amounts'!M30,IF(C14='2. Getting Started'!$B$6+1,'8. Year 2 Amounts'!M30,IF(C14='2. Getting Started'!$B$6,'5. Year 1 Amounts'!M30,'2. Getting Started'!$C11)))))</f>
        <v/>
      </c>
      <c r="D15" s="17" t="str">
        <f>IF(D14="","",IF(D14='2. Getting Started'!$B$6+3,'14. Year 4 Amounts'!K31,IF(D14='2. Getting Started'!$B$6+2,'11. Year 3 Amounts'!K31,IF(D14='2. Getting Started'!$B$6+1,'8. Year 2 Amounts'!K31,IF(D14='2. Getting Started'!$B$6,'5. Year 1 Amounts'!K31,'2. Getting Started'!$C12)))))</f>
        <v/>
      </c>
      <c r="E15" s="258" t="str">
        <f>IF(E14="","",IF(E14='2. Getting Started'!$B$6+3,'14. Year 4 Amounts'!M31,IF(E14='2. Getting Started'!$B$6+2,'11. Year 3 Amounts'!M31,IF(E14='2. Getting Started'!$B$6+1,'8. Year 2 Amounts'!M31,IF(E14='2. Getting Started'!$B$6,'5. Year 1 Amounts'!M31,'2. Getting Started'!$C13)))))</f>
        <v/>
      </c>
    </row>
    <row r="16" spans="1:5" x14ac:dyDescent="0.75">
      <c r="A16" s="243" t="s">
        <v>11</v>
      </c>
      <c r="B16" s="17" t="str">
        <f>'17. Year 5 Amounts'!K30</f>
        <v/>
      </c>
      <c r="C16" s="17" t="str">
        <f>'17. Year 5 Amounts'!M30</f>
        <v/>
      </c>
      <c r="D16" s="17" t="str">
        <f>'17. Year 5 Amounts'!K31</f>
        <v/>
      </c>
      <c r="E16" s="258" t="str">
        <f>'17. Year 5 Amounts'!M31</f>
        <v/>
      </c>
    </row>
    <row r="17" spans="1:5" x14ac:dyDescent="0.75">
      <c r="A17" s="243" t="s">
        <v>117</v>
      </c>
      <c r="B17" s="200" t="str">
        <f>IF(B16="","",IF(B16&gt;=B15,"Met",IF(AND(B16&lt;B15,'38. Total Local Funds'!F46="Met"),"Met with Exceptions &amp; Adjustments","Did Not Meet")))</f>
        <v/>
      </c>
      <c r="C17" s="200" t="str">
        <f>IF(C16="","",IF(C16&gt;=C15,"Met",IF(AND(C16&lt;C15,'39. Total State &amp; Local Funds'!F46="Met"),"Met with Exceptions &amp; Adjustments","Did Not Meet")))</f>
        <v/>
      </c>
      <c r="D17" s="200" t="str">
        <f>IF(D16="","",IF(D16&gt;=D15,"Met",IF(AND(D16&lt;D15,'40. Local Funds Per Capita'!F47="Met"),"Met with Exceptions &amp; Adjustments","Did Not Meet")))</f>
        <v/>
      </c>
      <c r="E17" s="259" t="str">
        <f>IF(E16="","",IF(E16&gt;=E15,"Met",IF(AND(E16&lt;E15,'41. State &amp; Local Funds Per Cap'!F47="Met"),"Met with Exceptions &amp; Adjustments","Did Not Meet")))</f>
        <v/>
      </c>
    </row>
    <row r="18" spans="1:5" x14ac:dyDescent="0.75">
      <c r="A18" s="246" t="s">
        <v>46</v>
      </c>
      <c r="B18" s="256" t="str">
        <f>IF(B17="","",IF(B17="Did Not Meet",'38. Total Local Funds'!F44-'38. Total Local Funds'!F45,0))</f>
        <v/>
      </c>
      <c r="C18" s="256" t="str">
        <f>IF(C17="","",IF(C17="Did Not Meet",'39. Total State &amp; Local Funds'!F44-'39. Total State &amp; Local Funds'!F45,0))</f>
        <v/>
      </c>
      <c r="D18" s="256" t="str">
        <f>IF(D17="","",IF(D17="Did Not Meet",(('40. Local Funds Per Capita'!F45-'40. Local Funds Per Capita'!F46)*'14. Year 4 Amounts'!I1),0))</f>
        <v/>
      </c>
      <c r="E18" s="261" t="str">
        <f>IF(E17="","",IF(E17="Did Not Meet",(('41. State &amp; Local Funds Per Cap'!F45-'41. State &amp; Local Funds Per Cap'!F46)*'14. Year 4 Amounts'!I1),0))</f>
        <v/>
      </c>
    </row>
    <row r="19" spans="1:5" x14ac:dyDescent="0.75">
      <c r="A19" s="373" t="s">
        <v>175</v>
      </c>
      <c r="B19" s="373"/>
      <c r="C19" s="373"/>
      <c r="D19" s="373"/>
      <c r="E19" s="373"/>
    </row>
    <row r="20" spans="1:5" ht="16" x14ac:dyDescent="0.8">
      <c r="A20" s="198"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9"/>
    </row>
    <row r="21" spans="1:5" x14ac:dyDescent="0.75">
      <c r="A21" s="260" t="s">
        <v>126</v>
      </c>
      <c r="B21" s="271" t="s">
        <v>131</v>
      </c>
    </row>
    <row r="22" spans="1:5" x14ac:dyDescent="0.75">
      <c r="A22" s="243" t="s">
        <v>110</v>
      </c>
      <c r="B22" s="272"/>
    </row>
    <row r="23" spans="1:5" x14ac:dyDescent="0.75">
      <c r="A23" s="243" t="s">
        <v>111</v>
      </c>
      <c r="B23" s="272"/>
    </row>
    <row r="24" spans="1:5" x14ac:dyDescent="0.75">
      <c r="A24" s="243" t="s">
        <v>112</v>
      </c>
      <c r="B24" s="258">
        <f>B22+B23</f>
        <v>0</v>
      </c>
    </row>
    <row r="25" spans="1:5" x14ac:dyDescent="0.75">
      <c r="A25" s="243" t="s">
        <v>113</v>
      </c>
      <c r="B25" s="258">
        <f>MIN(B24,B18,C18,D18,E18)</f>
        <v>0</v>
      </c>
    </row>
    <row r="26" spans="1:5" x14ac:dyDescent="0.75">
      <c r="A26" s="243" t="s">
        <v>114</v>
      </c>
      <c r="B26" s="263"/>
    </row>
    <row r="27" spans="1:5" x14ac:dyDescent="0.75">
      <c r="A27" s="246" t="s">
        <v>115</v>
      </c>
      <c r="B27" s="264"/>
    </row>
    <row r="28" spans="1:5" x14ac:dyDescent="0.75">
      <c r="A28" s="373" t="s">
        <v>175</v>
      </c>
      <c r="B28" s="373"/>
      <c r="C28" s="373"/>
      <c r="D28" s="373"/>
      <c r="E28" s="373"/>
    </row>
    <row r="29" spans="1:5" ht="16" x14ac:dyDescent="0.8">
      <c r="A29" s="322" t="s">
        <v>149</v>
      </c>
    </row>
    <row r="30" spans="1:5" x14ac:dyDescent="0.75">
      <c r="A30" s="373" t="s">
        <v>175</v>
      </c>
      <c r="B30" s="373"/>
      <c r="C30" s="373"/>
      <c r="D30" s="373"/>
      <c r="E30" s="373"/>
    </row>
    <row r="31" spans="1:5" x14ac:dyDescent="0.75">
      <c r="A31" s="2" t="str">
        <f>CONCATENATE("Exceptions and Adjustment Claimed for State Fiscal Year ",'2. Getting Started'!B6+4)</f>
        <v>Exceptions and Adjustment Claimed for State Fiscal Year 2028</v>
      </c>
    </row>
    <row r="32" spans="1:5" x14ac:dyDescent="0.75">
      <c r="A32" s="2"/>
      <c r="B32" s="323" t="s">
        <v>148</v>
      </c>
      <c r="C32" s="4"/>
      <c r="D32" s="323" t="s">
        <v>152</v>
      </c>
      <c r="E32" s="4"/>
    </row>
    <row r="33" spans="1:5" x14ac:dyDescent="0.75">
      <c r="A33" s="217" t="s">
        <v>151</v>
      </c>
      <c r="B33" s="324" t="s">
        <v>155</v>
      </c>
      <c r="C33" s="325" t="s">
        <v>156</v>
      </c>
      <c r="D33" s="326" t="s">
        <v>153</v>
      </c>
      <c r="E33" s="325" t="s">
        <v>154</v>
      </c>
    </row>
    <row r="34" spans="1:5" x14ac:dyDescent="0.75">
      <c r="A34" s="223" t="s">
        <v>140</v>
      </c>
      <c r="B34" s="17">
        <f>'18. Year 5 Exc &amp; Adj'!F22</f>
        <v>0</v>
      </c>
      <c r="C34" s="258">
        <f>'18. Year 5 Exc &amp; Adj'!F22</f>
        <v>0</v>
      </c>
      <c r="D34" s="327">
        <f>'18. Year 5 Exc &amp; Adj'!M22</f>
        <v>0</v>
      </c>
      <c r="E34" s="17">
        <f>'18. Year 5 Exc &amp; Adj'!M22</f>
        <v>0</v>
      </c>
    </row>
    <row r="35" spans="1:5" x14ac:dyDescent="0.75">
      <c r="A35" s="223" t="s">
        <v>141</v>
      </c>
      <c r="B35" s="17" t="str">
        <f>'18. Year 5 Exc &amp; Adj'!B32</f>
        <v/>
      </c>
      <c r="C35" s="258" t="str">
        <f>'18. Year 5 Exc &amp; Adj'!C32</f>
        <v/>
      </c>
      <c r="D35" s="327" t="str">
        <f>'18. Year 5 Exc &amp; Adj'!I32</f>
        <v/>
      </c>
      <c r="E35" s="258" t="str">
        <f>'18. Year 5 Exc &amp; Adj'!J32</f>
        <v/>
      </c>
    </row>
    <row r="36" spans="1:5" x14ac:dyDescent="0.75">
      <c r="A36" s="223" t="s">
        <v>142</v>
      </c>
      <c r="B36" s="17">
        <f>'18. Year 5 Exc &amp; Adj'!C43</f>
        <v>0</v>
      </c>
      <c r="C36" s="258">
        <f>'18. Year 5 Exc &amp; Adj'!C43</f>
        <v>0</v>
      </c>
      <c r="D36" s="327">
        <f>'18. Year 5 Exc &amp; Adj'!J43</f>
        <v>0</v>
      </c>
      <c r="E36" s="17">
        <f>'18. Year 5 Exc &amp; Adj'!J43</f>
        <v>0</v>
      </c>
    </row>
    <row r="37" spans="1:5" x14ac:dyDescent="0.75">
      <c r="A37" s="223" t="s">
        <v>143</v>
      </c>
      <c r="B37" s="17">
        <f>'18. Year 5 Exc &amp; Adj'!B53</f>
        <v>0</v>
      </c>
      <c r="C37" s="258">
        <f>'18. Year 5 Exc &amp; Adj'!B53</f>
        <v>0</v>
      </c>
      <c r="D37" s="327">
        <f>'18. Year 5 Exc &amp; Adj'!I53</f>
        <v>0</v>
      </c>
      <c r="E37" s="17">
        <f>'18. Year 5 Exc &amp; Adj'!I53</f>
        <v>0</v>
      </c>
    </row>
    <row r="38" spans="1:5" x14ac:dyDescent="0.75">
      <c r="A38" s="223" t="str">
        <f>IF('3b. High Cost Fund'!B7="No","This exception is not valid for your state.","Exception (e)")</f>
        <v>This exception is not valid for your state.</v>
      </c>
      <c r="B38" s="332" t="str">
        <f>IF('3b. High Cost Fund'!B7="No","",'18. Year 5 Exc &amp; Adj'!B63)</f>
        <v/>
      </c>
      <c r="C38" s="333" t="str">
        <f>IF('3b. High Cost Fund'!B7="No","",'18. Year 5 Exc &amp; Adj'!B63)</f>
        <v/>
      </c>
      <c r="D38" s="327" t="str">
        <f>IF('3b. High Cost Fund'!B7="No","",'18. Year 5 Exc &amp; Adj'!I63)</f>
        <v/>
      </c>
      <c r="E38" s="332" t="str">
        <f>IF('3b. High Cost Fund'!B7="No","",'18. Year 5 Exc &amp; Adj'!I63)</f>
        <v/>
      </c>
    </row>
    <row r="39" spans="1:5" x14ac:dyDescent="0.75">
      <c r="A39" s="223" t="s">
        <v>144</v>
      </c>
      <c r="B39" s="17">
        <f>AdjDataYear5Budget[Projected Adjustment]</f>
        <v>0</v>
      </c>
      <c r="C39" s="17">
        <f>AdjDataYear5Budget[Projected Adjustment]</f>
        <v>0</v>
      </c>
      <c r="D39" s="328">
        <f>AdjDataYear5Expenditures[[Adjustment ]]</f>
        <v>0</v>
      </c>
      <c r="E39" s="17">
        <f>AdjDataYear5Expenditures[[Adjustment ]]</f>
        <v>0</v>
      </c>
    </row>
    <row r="40" spans="1:5" x14ac:dyDescent="0.75">
      <c r="A40" s="246" t="s">
        <v>124</v>
      </c>
      <c r="B40" s="329">
        <f>SUM(B34:B39)</f>
        <v>0</v>
      </c>
      <c r="C40" s="330">
        <f>SUM(C34:C39)</f>
        <v>0</v>
      </c>
      <c r="D40" s="331">
        <f>SUM(D34:D39)</f>
        <v>0</v>
      </c>
      <c r="E40" s="330">
        <f>SUM(E34:E39)</f>
        <v>0</v>
      </c>
    </row>
    <row r="41" spans="1:5" ht="29.25" customHeight="1" x14ac:dyDescent="0.75">
      <c r="A41" s="345" t="s">
        <v>183</v>
      </c>
      <c r="B41" s="346"/>
      <c r="C41" s="346"/>
      <c r="D41" s="346"/>
      <c r="E41" s="346"/>
    </row>
    <row r="42" spans="1:5" ht="16" x14ac:dyDescent="0.8">
      <c r="A42" s="358" t="s">
        <v>182</v>
      </c>
    </row>
    <row r="43" spans="1:5" x14ac:dyDescent="0.75">
      <c r="A43" s="373" t="s">
        <v>24</v>
      </c>
      <c r="B43" s="373"/>
      <c r="C43" s="373"/>
      <c r="D43" s="373"/>
      <c r="E43" s="373"/>
    </row>
  </sheetData>
  <sheetProtection algorithmName="SHA-512" hashValue="OgN85nffCyE3qSLusHz7PJZvz+I13NrHS9x4k/ZmMgWdZubS751zaP4X7IR4vcYDrSzhD4oswxTLZmU8IrO3kg==" saltValue="K8X0EVxkbX6/McXpmzhZSg==" spinCount="100000" sheet="1" objects="1" scenarios="1" formatColumns="0" formatRows="0"/>
  <mergeCells count="5">
    <mergeCell ref="A11:E11"/>
    <mergeCell ref="A19:E19"/>
    <mergeCell ref="A28:E28"/>
    <mergeCell ref="A30:E30"/>
    <mergeCell ref="A43:E43"/>
  </mergeCells>
  <conditionalFormatting sqref="B9:E9">
    <cfRule type="containsText" dxfId="196" priority="3" operator="containsText" text="Did Not Meet">
      <formula>NOT(ISERROR(SEARCH("Did Not Meet",B9)))</formula>
    </cfRule>
    <cfRule type="containsText" dxfId="195" priority="4" operator="containsText" text="Met">
      <formula>NOT(ISERROR(SEARCH("Met",B9)))</formula>
    </cfRule>
  </conditionalFormatting>
  <conditionalFormatting sqref="B17:E17">
    <cfRule type="containsText" dxfId="194" priority="1" operator="containsText" text="Did Not Meet">
      <formula>NOT(ISERROR(SEARCH("Did Not Meet",B17)))</formula>
    </cfRule>
    <cfRule type="containsText" dxfId="193" priority="2" operator="containsText" text="Met">
      <formula>NOT(ISERROR(SEARCH("Met",B17)))</formula>
    </cfRule>
  </conditionalFormatting>
  <hyperlinks>
    <hyperlink ref="A29" location="'4. Multi-Year MOE Summary'!A8" display="Go to the Multi-Year MOE Summary" xr:uid="{00000000-0004-0000-1300-000000000000}"/>
    <hyperlink ref="A42" r:id="rId1" xr:uid="{5BDBF65C-41FB-402F-99E7-0C52BD4A73C0}"/>
  </hyperlinks>
  <pageMargins left="0.7" right="0.7" top="0.75" bottom="0.75" header="0.3" footer="0.3"/>
  <pageSetup orientation="landscape" verticalDpi="300" r:id="rId2"/>
  <tableParts count="4">
    <tablePart r:id="rId3"/>
    <tablePart r:id="rId4"/>
    <tablePart r:id="rId5"/>
    <tablePart r:id="rId6"/>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pageSetUpPr autoPageBreaks="0"/>
  </sheetPr>
  <dimension ref="A1:N35"/>
  <sheetViews>
    <sheetView showGridLines="0" workbookViewId="0">
      <pane ySplit="4" topLeftCell="A5" activePane="bottomLeft" state="frozen"/>
      <selection activeCell="A5" sqref="A5"/>
      <selection pane="bottomLeft" activeCell="A5" sqref="A5"/>
    </sheetView>
  </sheetViews>
  <sheetFormatPr defaultColWidth="0" defaultRowHeight="0" customHeight="1" zeroHeight="1" x14ac:dyDescent="0.75"/>
  <cols>
    <col min="1" max="1" width="39.40625" style="20" bestFit="1" customWidth="1"/>
    <col min="2" max="3" width="12.86328125" style="20" customWidth="1"/>
    <col min="4" max="6" width="23.7265625" style="20" customWidth="1"/>
    <col min="7" max="7" width="5.40625" style="20" customWidth="1"/>
    <col min="8" max="8" width="39.40625" style="20" customWidth="1"/>
    <col min="9" max="10" width="12.86328125" style="20" customWidth="1"/>
    <col min="11" max="13" width="23.7265625" style="20" customWidth="1"/>
    <col min="14" max="14" width="0.86328125" style="20" customWidth="1"/>
    <col min="15" max="16384" width="10.54296875" style="20" hidden="1"/>
  </cols>
  <sheetData>
    <row r="1" spans="1:13" ht="16.75" thickBot="1" x14ac:dyDescent="0.9">
      <c r="A1" s="19" t="s">
        <v>48</v>
      </c>
      <c r="B1" s="48"/>
      <c r="D1" s="21" t="s">
        <v>14</v>
      </c>
      <c r="E1" s="20" t="str">
        <f>IF('2. Getting Started'!B2="","",'2. Getting Started'!B2)</f>
        <v/>
      </c>
      <c r="G1" s="376" t="s">
        <v>22</v>
      </c>
      <c r="H1" s="19" t="s">
        <v>49</v>
      </c>
      <c r="I1" s="48"/>
      <c r="K1" s="21" t="s">
        <v>14</v>
      </c>
      <c r="L1" s="20" t="str">
        <f>IF('2. Getting Started'!B2="","",'2. Getting Started'!B2)</f>
        <v/>
      </c>
    </row>
    <row r="2" spans="1:13" s="25" customFormat="1" ht="37.9" customHeight="1" thickBot="1" x14ac:dyDescent="0.9">
      <c r="A2" s="22" t="str">
        <f>CONCATENATE("Eligibility Standard - State Fiscal Year ",'2. Getting Started'!B6+5," -  LEA Effort - Budgeted Amounts")</f>
        <v>Eligibility Standard - State Fiscal Year 2029 -  LEA Effort - Budgeted Amounts</v>
      </c>
      <c r="B2" s="23"/>
      <c r="C2" s="23"/>
      <c r="D2" s="23"/>
      <c r="E2" s="23"/>
      <c r="F2" s="24"/>
      <c r="G2" s="376"/>
      <c r="H2" s="22" t="str">
        <f>CONCATENATE("Compliance Standard - State Fiscal Year ",'2. Getting Started'!B6+5," - LEA Effort - Final Expenditures")</f>
        <v>Compliance Standard - State Fiscal Year 2029 - LEA Effort - Final Expenditures</v>
      </c>
      <c r="I2" s="23"/>
      <c r="J2" s="23"/>
      <c r="K2" s="23"/>
      <c r="L2" s="23"/>
      <c r="M2" s="24"/>
    </row>
    <row r="3" spans="1:13" s="25" customFormat="1" ht="24" customHeight="1" x14ac:dyDescent="0.75">
      <c r="A3" s="26"/>
      <c r="B3" s="27"/>
      <c r="D3" s="28" t="str">
        <f>CONCATENATE("SFY ",'2. Getting Started'!$B6+5," Budget")</f>
        <v>SFY 2029 Budget</v>
      </c>
      <c r="E3" s="29"/>
      <c r="F3" s="30"/>
      <c r="G3" s="376"/>
      <c r="H3" s="26"/>
      <c r="I3" s="27"/>
      <c r="J3" s="31"/>
      <c r="K3" s="28" t="str">
        <f>CONCATENATE("SFY ",'2. Getting Started'!$B6+5," Final Expenditures")</f>
        <v>SFY 2029 Final Expenditures</v>
      </c>
      <c r="L3" s="29"/>
      <c r="M3" s="32"/>
    </row>
    <row r="4" spans="1:13" s="37" customFormat="1" ht="18.5" x14ac:dyDescent="0.9">
      <c r="A4" s="33" t="s">
        <v>50</v>
      </c>
      <c r="B4" s="34" t="s">
        <v>51</v>
      </c>
      <c r="C4" s="35" t="s">
        <v>52</v>
      </c>
      <c r="D4" s="36" t="s">
        <v>53</v>
      </c>
      <c r="E4" s="36" t="s">
        <v>54</v>
      </c>
      <c r="F4" s="36" t="s">
        <v>8</v>
      </c>
      <c r="G4" s="376"/>
      <c r="H4" s="33" t="s">
        <v>50</v>
      </c>
      <c r="I4" s="34" t="s">
        <v>55</v>
      </c>
      <c r="J4" s="35" t="s">
        <v>52</v>
      </c>
      <c r="K4" s="36" t="s">
        <v>53</v>
      </c>
      <c r="L4" s="36" t="s">
        <v>54</v>
      </c>
      <c r="M4" s="36" t="s">
        <v>8</v>
      </c>
    </row>
    <row r="5" spans="1:13" ht="16" x14ac:dyDescent="0.75">
      <c r="A5" s="49"/>
      <c r="B5" s="50"/>
      <c r="C5" s="51"/>
      <c r="D5" s="52"/>
      <c r="E5" s="52"/>
      <c r="F5" s="38" t="str">
        <f>IF(AND(D5="",E5=""),"",SUM(D5:E5))</f>
        <v/>
      </c>
      <c r="G5" s="376"/>
      <c r="H5" s="49"/>
      <c r="I5" s="50"/>
      <c r="J5" s="51"/>
      <c r="K5" s="52"/>
      <c r="L5" s="52"/>
      <c r="M5" s="38" t="str">
        <f>IF(AND(K5="",L5=""),"",SUM(K5:L5))</f>
        <v/>
      </c>
    </row>
    <row r="6" spans="1:13" ht="16" x14ac:dyDescent="0.75">
      <c r="A6" s="49"/>
      <c r="B6" s="50"/>
      <c r="C6" s="51"/>
      <c r="D6" s="52"/>
      <c r="E6" s="52"/>
      <c r="F6" s="38" t="str">
        <f t="shared" ref="F6:F29" si="0">IF(AND(D6="",E6=""),"",SUM(D6:E6))</f>
        <v/>
      </c>
      <c r="G6" s="376"/>
      <c r="H6" s="49"/>
      <c r="I6" s="50"/>
      <c r="J6" s="51"/>
      <c r="K6" s="52"/>
      <c r="L6" s="52"/>
      <c r="M6" s="38" t="str">
        <f t="shared" ref="M6:M29" si="1">IF(AND(K6="",L6=""),"",SUM(K6:L6))</f>
        <v/>
      </c>
    </row>
    <row r="7" spans="1:13" ht="16" x14ac:dyDescent="0.75">
      <c r="A7" s="49"/>
      <c r="B7" s="50"/>
      <c r="C7" s="51"/>
      <c r="D7" s="52"/>
      <c r="E7" s="52"/>
      <c r="F7" s="38" t="str">
        <f t="shared" si="0"/>
        <v/>
      </c>
      <c r="G7" s="376"/>
      <c r="H7" s="49"/>
      <c r="I7" s="50"/>
      <c r="J7" s="51"/>
      <c r="K7" s="52"/>
      <c r="L7" s="52"/>
      <c r="M7" s="38" t="str">
        <f t="shared" si="1"/>
        <v/>
      </c>
    </row>
    <row r="8" spans="1:13" ht="16" x14ac:dyDescent="0.75">
      <c r="A8" s="49"/>
      <c r="B8" s="50"/>
      <c r="C8" s="51"/>
      <c r="D8" s="52"/>
      <c r="E8" s="52"/>
      <c r="F8" s="38" t="str">
        <f t="shared" si="0"/>
        <v/>
      </c>
      <c r="G8" s="376"/>
      <c r="H8" s="49"/>
      <c r="I8" s="50"/>
      <c r="J8" s="51"/>
      <c r="K8" s="52"/>
      <c r="L8" s="52"/>
      <c r="M8" s="38" t="str">
        <f t="shared" si="1"/>
        <v/>
      </c>
    </row>
    <row r="9" spans="1:13" ht="16" x14ac:dyDescent="0.75">
      <c r="A9" s="49"/>
      <c r="B9" s="50"/>
      <c r="C9" s="51"/>
      <c r="D9" s="52"/>
      <c r="E9" s="52"/>
      <c r="F9" s="38" t="str">
        <f t="shared" si="0"/>
        <v/>
      </c>
      <c r="G9" s="376"/>
      <c r="H9" s="49"/>
      <c r="I9" s="50"/>
      <c r="J9" s="51"/>
      <c r="K9" s="52"/>
      <c r="L9" s="52"/>
      <c r="M9" s="38" t="str">
        <f t="shared" si="1"/>
        <v/>
      </c>
    </row>
    <row r="10" spans="1:13" ht="16" x14ac:dyDescent="0.75">
      <c r="A10" s="49"/>
      <c r="B10" s="50"/>
      <c r="C10" s="51"/>
      <c r="D10" s="52"/>
      <c r="E10" s="52"/>
      <c r="F10" s="38" t="str">
        <f t="shared" si="0"/>
        <v/>
      </c>
      <c r="G10" s="376"/>
      <c r="H10" s="49"/>
      <c r="I10" s="50"/>
      <c r="J10" s="51"/>
      <c r="K10" s="52"/>
      <c r="L10" s="52"/>
      <c r="M10" s="38" t="str">
        <f t="shared" si="1"/>
        <v/>
      </c>
    </row>
    <row r="11" spans="1:13" ht="16" x14ac:dyDescent="0.75">
      <c r="A11" s="49"/>
      <c r="B11" s="50"/>
      <c r="C11" s="51"/>
      <c r="D11" s="52"/>
      <c r="E11" s="52"/>
      <c r="F11" s="38" t="str">
        <f t="shared" si="0"/>
        <v/>
      </c>
      <c r="G11" s="376"/>
      <c r="H11" s="49"/>
      <c r="I11" s="50"/>
      <c r="J11" s="51"/>
      <c r="K11" s="52"/>
      <c r="L11" s="52"/>
      <c r="M11" s="38" t="str">
        <f t="shared" si="1"/>
        <v/>
      </c>
    </row>
    <row r="12" spans="1:13" ht="16" x14ac:dyDescent="0.75">
      <c r="A12" s="49"/>
      <c r="B12" s="50"/>
      <c r="C12" s="51"/>
      <c r="D12" s="52"/>
      <c r="E12" s="52"/>
      <c r="F12" s="38" t="str">
        <f t="shared" si="0"/>
        <v/>
      </c>
      <c r="G12" s="376"/>
      <c r="H12" s="49"/>
      <c r="I12" s="50"/>
      <c r="J12" s="51"/>
      <c r="K12" s="52"/>
      <c r="L12" s="52"/>
      <c r="M12" s="38" t="str">
        <f t="shared" si="1"/>
        <v/>
      </c>
    </row>
    <row r="13" spans="1:13" ht="16" x14ac:dyDescent="0.75">
      <c r="A13" s="49"/>
      <c r="B13" s="50"/>
      <c r="C13" s="51"/>
      <c r="D13" s="52"/>
      <c r="E13" s="52"/>
      <c r="F13" s="38" t="str">
        <f t="shared" si="0"/>
        <v/>
      </c>
      <c r="G13" s="376"/>
      <c r="H13" s="49"/>
      <c r="I13" s="50"/>
      <c r="J13" s="51"/>
      <c r="K13" s="52"/>
      <c r="L13" s="52"/>
      <c r="M13" s="38" t="str">
        <f t="shared" si="1"/>
        <v/>
      </c>
    </row>
    <row r="14" spans="1:13" ht="16" x14ac:dyDescent="0.75">
      <c r="A14" s="49"/>
      <c r="B14" s="50"/>
      <c r="C14" s="51"/>
      <c r="D14" s="52"/>
      <c r="E14" s="52"/>
      <c r="F14" s="38" t="str">
        <f t="shared" si="0"/>
        <v/>
      </c>
      <c r="G14" s="376"/>
      <c r="H14" s="49"/>
      <c r="I14" s="50"/>
      <c r="J14" s="51"/>
      <c r="K14" s="52"/>
      <c r="L14" s="52"/>
      <c r="M14" s="38" t="str">
        <f t="shared" si="1"/>
        <v/>
      </c>
    </row>
    <row r="15" spans="1:13" ht="16" x14ac:dyDescent="0.75">
      <c r="A15" s="49"/>
      <c r="B15" s="50"/>
      <c r="C15" s="51"/>
      <c r="D15" s="52"/>
      <c r="E15" s="52"/>
      <c r="F15" s="38" t="str">
        <f t="shared" si="0"/>
        <v/>
      </c>
      <c r="G15" s="376"/>
      <c r="H15" s="49"/>
      <c r="I15" s="50"/>
      <c r="J15" s="51"/>
      <c r="K15" s="52"/>
      <c r="L15" s="52"/>
      <c r="M15" s="38" t="str">
        <f t="shared" si="1"/>
        <v/>
      </c>
    </row>
    <row r="16" spans="1:13" ht="16" x14ac:dyDescent="0.75">
      <c r="A16" s="49"/>
      <c r="B16" s="50"/>
      <c r="C16" s="51"/>
      <c r="D16" s="52"/>
      <c r="E16" s="52"/>
      <c r="F16" s="38" t="str">
        <f t="shared" si="0"/>
        <v/>
      </c>
      <c r="G16" s="376"/>
      <c r="H16" s="49"/>
      <c r="I16" s="50"/>
      <c r="J16" s="51"/>
      <c r="K16" s="52"/>
      <c r="L16" s="52"/>
      <c r="M16" s="38" t="str">
        <f t="shared" si="1"/>
        <v/>
      </c>
    </row>
    <row r="17" spans="1:13" ht="16" x14ac:dyDescent="0.75">
      <c r="A17" s="49"/>
      <c r="B17" s="50"/>
      <c r="C17" s="51"/>
      <c r="D17" s="52"/>
      <c r="E17" s="52"/>
      <c r="F17" s="38" t="str">
        <f t="shared" si="0"/>
        <v/>
      </c>
      <c r="G17" s="376"/>
      <c r="H17" s="49"/>
      <c r="I17" s="50"/>
      <c r="J17" s="51"/>
      <c r="K17" s="52"/>
      <c r="L17" s="52"/>
      <c r="M17" s="38" t="str">
        <f t="shared" si="1"/>
        <v/>
      </c>
    </row>
    <row r="18" spans="1:13" ht="16" x14ac:dyDescent="0.75">
      <c r="A18" s="49"/>
      <c r="B18" s="50"/>
      <c r="C18" s="51"/>
      <c r="D18" s="52"/>
      <c r="E18" s="52"/>
      <c r="F18" s="38" t="str">
        <f t="shared" si="0"/>
        <v/>
      </c>
      <c r="G18" s="376"/>
      <c r="H18" s="49"/>
      <c r="I18" s="50"/>
      <c r="J18" s="51"/>
      <c r="K18" s="52"/>
      <c r="L18" s="52"/>
      <c r="M18" s="38" t="str">
        <f t="shared" si="1"/>
        <v/>
      </c>
    </row>
    <row r="19" spans="1:13" ht="16" x14ac:dyDescent="0.75">
      <c r="A19" s="49"/>
      <c r="B19" s="50"/>
      <c r="C19" s="51"/>
      <c r="D19" s="52"/>
      <c r="E19" s="52"/>
      <c r="F19" s="38" t="str">
        <f t="shared" si="0"/>
        <v/>
      </c>
      <c r="G19" s="376"/>
      <c r="H19" s="49"/>
      <c r="I19" s="50"/>
      <c r="J19" s="51"/>
      <c r="K19" s="52"/>
      <c r="L19" s="52"/>
      <c r="M19" s="38" t="str">
        <f t="shared" si="1"/>
        <v/>
      </c>
    </row>
    <row r="20" spans="1:13" ht="16" x14ac:dyDescent="0.75">
      <c r="A20" s="49"/>
      <c r="B20" s="50"/>
      <c r="C20" s="51"/>
      <c r="D20" s="52"/>
      <c r="E20" s="52"/>
      <c r="F20" s="38" t="str">
        <f t="shared" si="0"/>
        <v/>
      </c>
      <c r="G20" s="376"/>
      <c r="H20" s="49"/>
      <c r="I20" s="50"/>
      <c r="J20" s="51"/>
      <c r="K20" s="52"/>
      <c r="L20" s="52"/>
      <c r="M20" s="38" t="str">
        <f t="shared" si="1"/>
        <v/>
      </c>
    </row>
    <row r="21" spans="1:13" ht="16" x14ac:dyDescent="0.75">
      <c r="A21" s="49"/>
      <c r="B21" s="50"/>
      <c r="C21" s="51"/>
      <c r="D21" s="52"/>
      <c r="E21" s="52"/>
      <c r="F21" s="38" t="str">
        <f t="shared" si="0"/>
        <v/>
      </c>
      <c r="G21" s="376"/>
      <c r="H21" s="49"/>
      <c r="I21" s="50"/>
      <c r="J21" s="51"/>
      <c r="K21" s="52"/>
      <c r="L21" s="52"/>
      <c r="M21" s="38" t="str">
        <f t="shared" si="1"/>
        <v/>
      </c>
    </row>
    <row r="22" spans="1:13" ht="16" x14ac:dyDescent="0.75">
      <c r="A22" s="49"/>
      <c r="B22" s="50"/>
      <c r="C22" s="51"/>
      <c r="D22" s="52"/>
      <c r="E22" s="52"/>
      <c r="F22" s="38" t="str">
        <f t="shared" si="0"/>
        <v/>
      </c>
      <c r="G22" s="376"/>
      <c r="H22" s="49"/>
      <c r="I22" s="50"/>
      <c r="J22" s="51"/>
      <c r="K22" s="52"/>
      <c r="L22" s="52"/>
      <c r="M22" s="38" t="str">
        <f t="shared" si="1"/>
        <v/>
      </c>
    </row>
    <row r="23" spans="1:13" ht="16" x14ac:dyDescent="0.75">
      <c r="A23" s="49"/>
      <c r="B23" s="50"/>
      <c r="C23" s="51"/>
      <c r="D23" s="52"/>
      <c r="E23" s="52"/>
      <c r="F23" s="38" t="str">
        <f t="shared" si="0"/>
        <v/>
      </c>
      <c r="G23" s="376"/>
      <c r="H23" s="49"/>
      <c r="I23" s="50"/>
      <c r="J23" s="51"/>
      <c r="K23" s="52"/>
      <c r="L23" s="52"/>
      <c r="M23" s="38" t="str">
        <f t="shared" si="1"/>
        <v/>
      </c>
    </row>
    <row r="24" spans="1:13" ht="16" x14ac:dyDescent="0.75">
      <c r="A24" s="49"/>
      <c r="B24" s="50"/>
      <c r="C24" s="51"/>
      <c r="D24" s="52"/>
      <c r="E24" s="52"/>
      <c r="F24" s="38" t="str">
        <f t="shared" si="0"/>
        <v/>
      </c>
      <c r="G24" s="376"/>
      <c r="H24" s="49"/>
      <c r="I24" s="50"/>
      <c r="J24" s="51"/>
      <c r="K24" s="52"/>
      <c r="L24" s="52"/>
      <c r="M24" s="38" t="str">
        <f t="shared" si="1"/>
        <v/>
      </c>
    </row>
    <row r="25" spans="1:13" ht="16" x14ac:dyDescent="0.75">
      <c r="A25" s="49"/>
      <c r="B25" s="50"/>
      <c r="C25" s="51"/>
      <c r="D25" s="52"/>
      <c r="E25" s="52"/>
      <c r="F25" s="38" t="str">
        <f t="shared" si="0"/>
        <v/>
      </c>
      <c r="G25" s="376"/>
      <c r="H25" s="49"/>
      <c r="I25" s="50"/>
      <c r="J25" s="51"/>
      <c r="K25" s="52"/>
      <c r="L25" s="52"/>
      <c r="M25" s="38" t="str">
        <f t="shared" si="1"/>
        <v/>
      </c>
    </row>
    <row r="26" spans="1:13" ht="16" x14ac:dyDescent="0.75">
      <c r="A26" s="49"/>
      <c r="B26" s="50"/>
      <c r="C26" s="51"/>
      <c r="D26" s="52"/>
      <c r="E26" s="52"/>
      <c r="F26" s="38" t="str">
        <f t="shared" si="0"/>
        <v/>
      </c>
      <c r="G26" s="376"/>
      <c r="H26" s="49"/>
      <c r="I26" s="50"/>
      <c r="J26" s="51"/>
      <c r="K26" s="52"/>
      <c r="L26" s="52"/>
      <c r="M26" s="38" t="str">
        <f t="shared" si="1"/>
        <v/>
      </c>
    </row>
    <row r="27" spans="1:13" ht="16" x14ac:dyDescent="0.75">
      <c r="A27" s="49"/>
      <c r="B27" s="50"/>
      <c r="C27" s="51"/>
      <c r="D27" s="52"/>
      <c r="E27" s="52"/>
      <c r="F27" s="38" t="str">
        <f t="shared" si="0"/>
        <v/>
      </c>
      <c r="G27" s="376"/>
      <c r="H27" s="49"/>
      <c r="I27" s="50"/>
      <c r="J27" s="51"/>
      <c r="K27" s="52"/>
      <c r="L27" s="52"/>
      <c r="M27" s="38" t="str">
        <f t="shared" si="1"/>
        <v/>
      </c>
    </row>
    <row r="28" spans="1:13" ht="16" x14ac:dyDescent="0.75">
      <c r="A28" s="49"/>
      <c r="B28" s="50"/>
      <c r="C28" s="51"/>
      <c r="D28" s="52"/>
      <c r="E28" s="52"/>
      <c r="F28" s="38" t="str">
        <f t="shared" si="0"/>
        <v/>
      </c>
      <c r="G28" s="376"/>
      <c r="H28" s="49"/>
      <c r="I28" s="50"/>
      <c r="J28" s="51"/>
      <c r="K28" s="52"/>
      <c r="L28" s="52"/>
      <c r="M28" s="38" t="str">
        <f t="shared" si="1"/>
        <v/>
      </c>
    </row>
    <row r="29" spans="1:13" ht="16.75" thickBot="1" x14ac:dyDescent="0.9">
      <c r="A29" s="53"/>
      <c r="B29" s="54"/>
      <c r="C29" s="55"/>
      <c r="D29" s="56"/>
      <c r="E29" s="56"/>
      <c r="F29" s="38" t="str">
        <f t="shared" si="0"/>
        <v/>
      </c>
      <c r="G29" s="376"/>
      <c r="H29" s="53"/>
      <c r="I29" s="54"/>
      <c r="J29" s="55"/>
      <c r="K29" s="56"/>
      <c r="L29" s="56"/>
      <c r="M29" s="38" t="str">
        <f t="shared" si="1"/>
        <v/>
      </c>
    </row>
    <row r="30" spans="1:13" ht="19.25" thickBot="1" x14ac:dyDescent="0.9">
      <c r="A30" s="39"/>
      <c r="B30" s="40"/>
      <c r="C30" s="41" t="s">
        <v>56</v>
      </c>
      <c r="D30" s="42" t="str">
        <f>IF(AND(D5="",D6="",D7="",D8="",D9="",D10="",D11="",D12="",D13="",D14="",D15="",D16="",D17="",D18="",D19="",D20="",D21="",D22="",D23="",D24="",D25="",D26="",D27="",D28="",D29=""),"",SUM(D5:D29))</f>
        <v/>
      </c>
      <c r="E30" s="43"/>
      <c r="F30" s="42" t="str">
        <f>IF(AND(F5="",F6="",F7="",F8="",F9="",F10="",F11="",F12="",F13="",F14="",F15="",F16="",F17="",F18="",F19="",F20="",F21="",F22="",F23="",F24="",F25="",F26="",F27="",F28="",F29=""),"",SUM(F5:F29))</f>
        <v/>
      </c>
      <c r="G30" s="376"/>
      <c r="H30" s="39"/>
      <c r="I30" s="40"/>
      <c r="J30" s="41" t="s">
        <v>56</v>
      </c>
      <c r="K30" s="42" t="str">
        <f>IF(AND(K5="",K6="",K7="",K8="",K9="",K10="",K11="",K12="",K13="",K14="",K15="",K16="",K17="",K18="",K19="",K20="",K21="",K22="",K23="",K24="",K25="",K26="",K27="",K28="",K29=""),"",SUM(K5:K29))</f>
        <v/>
      </c>
      <c r="L30" s="43"/>
      <c r="M30" s="42" t="str">
        <f>IF(AND(M5="",M6="",M7="",M8="",M9="",M10="",M11="",M12="",M13="",M14="",M15="",M16="",M17="",M18="",M19="",M20="",M21="",M22="",M23="",M24="",M25="",M26="",M27="",M28="",M29=""),"",SUM(M5:M29))</f>
        <v/>
      </c>
    </row>
    <row r="31" spans="1:13" ht="19.25" thickBot="1" x14ac:dyDescent="0.9">
      <c r="A31" s="39"/>
      <c r="B31" s="39"/>
      <c r="C31" s="44" t="s">
        <v>57</v>
      </c>
      <c r="D31" s="42" t="str">
        <f>IF(OR($B1="",D30=""),"",(D30/$B1))</f>
        <v/>
      </c>
      <c r="E31" s="39"/>
      <c r="F31" s="42" t="str">
        <f>IF(OR($B1="",F30=""),"",(F30/$B1))</f>
        <v/>
      </c>
      <c r="G31" s="376"/>
      <c r="H31" s="39"/>
      <c r="I31" s="39"/>
      <c r="J31" s="44" t="s">
        <v>57</v>
      </c>
      <c r="K31" s="42" t="str">
        <f>IF(OR($I1="",K30=""),"",(K30/$I1))</f>
        <v/>
      </c>
      <c r="L31" s="39"/>
      <c r="M31" s="42" t="str">
        <f>IF(OR($I1="",M30=""),"",(M30/$I1))</f>
        <v/>
      </c>
    </row>
    <row r="32" spans="1:13" s="25" customFormat="1" ht="18.5" x14ac:dyDescent="0.65">
      <c r="A32" s="345" t="s">
        <v>183</v>
      </c>
      <c r="B32" s="45"/>
      <c r="C32" s="45"/>
      <c r="D32" s="45"/>
      <c r="E32" s="45"/>
      <c r="F32" s="45"/>
      <c r="G32" s="45"/>
      <c r="H32" s="45"/>
      <c r="I32" s="45"/>
      <c r="J32" s="45"/>
      <c r="K32" s="45"/>
      <c r="L32" s="45"/>
      <c r="M32" s="45"/>
    </row>
    <row r="33" spans="1:13" s="47" customFormat="1" ht="16" x14ac:dyDescent="0.8">
      <c r="A33" s="358" t="s">
        <v>182</v>
      </c>
      <c r="B33" s="46"/>
      <c r="C33" s="46"/>
      <c r="D33" s="46"/>
      <c r="E33" s="46"/>
      <c r="F33" s="46"/>
      <c r="G33" s="46"/>
      <c r="H33" s="46"/>
      <c r="I33" s="46"/>
      <c r="J33" s="46"/>
      <c r="K33" s="46"/>
      <c r="L33" s="46"/>
      <c r="M33" s="46"/>
    </row>
    <row r="34" spans="1:13" s="25" customFormat="1" ht="18.5" x14ac:dyDescent="0.75">
      <c r="A34" s="377" t="s">
        <v>24</v>
      </c>
      <c r="B34" s="377"/>
      <c r="C34" s="377"/>
      <c r="D34" s="377"/>
      <c r="E34" s="377"/>
      <c r="F34" s="377"/>
      <c r="G34" s="377"/>
      <c r="H34" s="377"/>
      <c r="I34" s="377"/>
      <c r="J34" s="377"/>
      <c r="K34" s="377"/>
      <c r="L34" s="377"/>
      <c r="M34" s="377"/>
    </row>
    <row r="35" spans="1:13" ht="16" hidden="1" x14ac:dyDescent="0.75"/>
  </sheetData>
  <sheetProtection algorithmName="SHA-512" hashValue="U5ufKFdbN2UPGAFPlnbqC3iDMsRSIDRx6auGG8MjcY3nCDLq2TdaqwkXcacAExHhyQFSXYVfBpDmgeYfmbFw2A==" saltValue="IiYUYmlau8KP6YHqM9jgcQ=="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1400-000000000000}"/>
    <dataValidation allowBlank="1" showInputMessage="1" showErrorMessage="1" prompt="Don't forget to enter Child Count in Cell I1." sqref="H5" xr:uid="{00000000-0002-0000-1400-000001000000}"/>
  </dataValidations>
  <hyperlinks>
    <hyperlink ref="A33" r:id="rId1" xr:uid="{A9E39330-5F25-4A2F-A176-550F2B8E314E}"/>
  </hyperlinks>
  <pageMargins left="0.75" right="0.75" top="1" bottom="1" header="0.5" footer="0.5"/>
  <pageSetup orientation="portrait" horizontalDpi="4294967292" verticalDpi="4294967292" r:id="rId2"/>
  <tableParts count="2">
    <tablePart r:id="rId3"/>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theme="5"/>
    <pageSetUpPr autoPageBreaks="0"/>
  </sheetPr>
  <dimension ref="A1:AB75"/>
  <sheetViews>
    <sheetView showGridLines="0" zoomScale="90" zoomScaleNormal="90" zoomScalePageLayoutView="90" workbookViewId="0">
      <pane ySplit="3" topLeftCell="A4" activePane="bottomLeft" state="frozen"/>
      <selection activeCell="A5" sqref="A5"/>
      <selection pane="bottomLeft" activeCell="H2" activeCellId="1" sqref="A2 H2"/>
    </sheetView>
  </sheetViews>
  <sheetFormatPr defaultColWidth="0" defaultRowHeight="16" zeroHeight="1" x14ac:dyDescent="0.8"/>
  <cols>
    <col min="1" max="1" width="40.26953125" style="57" customWidth="1"/>
    <col min="2" max="2" width="32.86328125" style="57" bestFit="1" customWidth="1"/>
    <col min="3" max="3" width="28" style="57" customWidth="1"/>
    <col min="4" max="5" width="28.26953125" style="57" customWidth="1"/>
    <col min="6" max="6" width="34" style="57" bestFit="1" customWidth="1"/>
    <col min="7" max="7" width="28.26953125" style="57" customWidth="1"/>
    <col min="8" max="8" width="40.26953125" style="57" customWidth="1"/>
    <col min="9" max="9" width="32.86328125" style="57" bestFit="1" customWidth="1"/>
    <col min="10" max="12" width="28.26953125" style="57" customWidth="1"/>
    <col min="13" max="13" width="34" style="57" bestFit="1" customWidth="1"/>
    <col min="14" max="14" width="0.86328125" style="57" customWidth="1"/>
    <col min="15" max="18" width="12.26953125" style="57" hidden="1" customWidth="1"/>
    <col min="19" max="19" width="13.7265625" style="57" hidden="1" customWidth="1"/>
    <col min="20" max="16384" width="12.26953125" style="57" hidden="1"/>
  </cols>
  <sheetData>
    <row r="1" spans="1:20" ht="25.9" customHeight="1" x14ac:dyDescent="0.8">
      <c r="A1" s="368" t="s">
        <v>58</v>
      </c>
      <c r="D1" s="58" t="s">
        <v>14</v>
      </c>
      <c r="E1" s="10" t="str">
        <f>IF('2. Getting Started'!$B2="","",'2. Getting Started'!$B2)</f>
        <v/>
      </c>
      <c r="G1" s="384" t="s">
        <v>177</v>
      </c>
      <c r="K1" s="58" t="s">
        <v>14</v>
      </c>
      <c r="L1" s="10" t="str">
        <f>IF('2. Getting Started'!$B2="","",'2. Getting Started'!$B2)</f>
        <v/>
      </c>
    </row>
    <row r="2" spans="1:20" ht="25.9" customHeight="1" thickBot="1" x14ac:dyDescent="0.95">
      <c r="A2" s="369" t="s">
        <v>171</v>
      </c>
      <c r="D2" s="58"/>
      <c r="E2" s="10"/>
      <c r="G2" s="384"/>
      <c r="H2" s="369" t="s">
        <v>171</v>
      </c>
      <c r="K2" s="58"/>
      <c r="L2" s="10"/>
    </row>
    <row r="3" spans="1:20" ht="25.9" customHeight="1" thickBot="1" x14ac:dyDescent="0.95">
      <c r="A3" s="59" t="str">
        <f>CONCATENATE("Eligibility Standard -- Exceptions to MOE as Permitted by 34 CFR §300.204 and Adjustment to MOE as Permitted by 34 CFR §300.205 -- Projections for State Fiscal Year ",'2. Getting Started'!B6+5," Budget")</f>
        <v>Eligibility Standard -- Exceptions to MOE as Permitted by 34 CFR §300.204 and Adjustment to MOE as Permitted by 34 CFR §300.205 -- Projections for State Fiscal Year 2029 Budget</v>
      </c>
      <c r="B3" s="60"/>
      <c r="C3" s="60"/>
      <c r="D3" s="60"/>
      <c r="E3" s="60"/>
      <c r="F3" s="61"/>
      <c r="G3" s="384"/>
      <c r="H3" s="59" t="str">
        <f>CONCATENATE("Compliance Standard -- Exceptions to MOE as Permitted by 34 CFR §300.204 and Adjustment to MOE as Permitted by 34 CFR §300.205 -- Final Expenditures for  State Fiscal Year ",'2. Getting Started'!B6+5)</f>
        <v>Compliance Standard -- Exceptions to MOE as Permitted by 34 CFR §300.204 and Adjustment to MOE as Permitted by 34 CFR §300.205 -- Final Expenditures for  State Fiscal Year 2029</v>
      </c>
      <c r="I3" s="60"/>
      <c r="J3" s="60"/>
      <c r="K3" s="60"/>
      <c r="L3" s="60"/>
      <c r="M3" s="61"/>
      <c r="O3" s="63"/>
      <c r="P3" s="63"/>
      <c r="Q3" s="63"/>
      <c r="R3" s="63"/>
      <c r="S3" s="63"/>
      <c r="T3" s="63"/>
    </row>
    <row r="4" spans="1:20" x14ac:dyDescent="0.8">
      <c r="A4" s="64"/>
      <c r="B4" s="65"/>
      <c r="C4" s="66"/>
      <c r="D4" s="66"/>
      <c r="E4" s="66"/>
      <c r="F4" s="67"/>
      <c r="G4" s="384"/>
      <c r="H4" s="64" t="s">
        <v>59</v>
      </c>
      <c r="I4" s="65"/>
      <c r="J4" s="66"/>
      <c r="K4" s="66"/>
      <c r="L4" s="66"/>
      <c r="M4" s="67"/>
      <c r="N4" s="69"/>
      <c r="O4" s="69"/>
      <c r="P4" s="69"/>
      <c r="Q4" s="69"/>
      <c r="R4" s="69"/>
      <c r="S4" s="69"/>
    </row>
    <row r="5" spans="1:20" x14ac:dyDescent="0.8">
      <c r="A5" s="70" t="s">
        <v>60</v>
      </c>
      <c r="B5" s="71"/>
      <c r="C5" s="68"/>
      <c r="D5" s="68"/>
      <c r="E5" s="68"/>
      <c r="F5" s="72"/>
      <c r="G5" s="384"/>
      <c r="H5" s="70" t="s">
        <v>60</v>
      </c>
      <c r="I5" s="71"/>
      <c r="J5" s="68"/>
      <c r="K5" s="68"/>
      <c r="L5" s="68"/>
      <c r="M5" s="72"/>
      <c r="N5" s="73"/>
      <c r="O5" s="73"/>
      <c r="P5" s="73"/>
      <c r="Q5" s="73"/>
      <c r="R5" s="73"/>
    </row>
    <row r="6" spans="1:20" ht="35.65" customHeight="1" thickBot="1" x14ac:dyDescent="0.95">
      <c r="A6" s="74" t="s">
        <v>61</v>
      </c>
      <c r="B6" s="75"/>
      <c r="C6" s="75"/>
      <c r="D6" s="75"/>
      <c r="E6" s="75"/>
      <c r="F6" s="76"/>
      <c r="G6" s="384"/>
      <c r="H6" s="74" t="s">
        <v>61</v>
      </c>
      <c r="I6" s="75"/>
      <c r="J6" s="75"/>
      <c r="K6" s="75"/>
      <c r="L6" s="75"/>
      <c r="M6" s="76"/>
      <c r="N6" s="73"/>
      <c r="O6" s="73"/>
      <c r="P6" s="73"/>
      <c r="Q6" s="73"/>
      <c r="R6" s="73"/>
      <c r="S6" s="73"/>
    </row>
    <row r="7" spans="1:20" x14ac:dyDescent="0.8">
      <c r="A7" s="77" t="s">
        <v>62</v>
      </c>
      <c r="B7" s="78" t="s">
        <v>63</v>
      </c>
      <c r="C7" s="79" t="s">
        <v>64</v>
      </c>
      <c r="D7" s="79" t="s">
        <v>65</v>
      </c>
      <c r="E7" s="80" t="s">
        <v>66</v>
      </c>
      <c r="F7" s="81" t="s">
        <v>67</v>
      </c>
      <c r="G7" s="384"/>
      <c r="H7" s="77" t="s">
        <v>62</v>
      </c>
      <c r="I7" s="78" t="s">
        <v>63</v>
      </c>
      <c r="J7" s="79" t="s">
        <v>64</v>
      </c>
      <c r="K7" s="79" t="s">
        <v>65</v>
      </c>
      <c r="L7" s="80" t="s">
        <v>66</v>
      </c>
      <c r="M7" s="81" t="s">
        <v>68</v>
      </c>
      <c r="N7" s="73"/>
      <c r="O7" s="73"/>
    </row>
    <row r="8" spans="1:20" x14ac:dyDescent="0.8">
      <c r="A8" s="185"/>
      <c r="B8" s="186"/>
      <c r="C8" s="186"/>
      <c r="D8" s="187"/>
      <c r="E8" s="187"/>
      <c r="F8" s="83">
        <f>D8+E8</f>
        <v>0</v>
      </c>
      <c r="G8" s="384"/>
      <c r="H8" s="185"/>
      <c r="I8" s="186"/>
      <c r="J8" s="186"/>
      <c r="K8" s="187"/>
      <c r="L8" s="187"/>
      <c r="M8" s="83">
        <f>K8+L8</f>
        <v>0</v>
      </c>
      <c r="N8" s="84"/>
      <c r="O8" s="84"/>
    </row>
    <row r="9" spans="1:20" x14ac:dyDescent="0.8">
      <c r="A9" s="185"/>
      <c r="B9" s="186"/>
      <c r="C9" s="186"/>
      <c r="D9" s="187"/>
      <c r="E9" s="187"/>
      <c r="F9" s="83">
        <f>D9+E9</f>
        <v>0</v>
      </c>
      <c r="G9" s="384"/>
      <c r="H9" s="185"/>
      <c r="I9" s="186"/>
      <c r="J9" s="186"/>
      <c r="K9" s="187"/>
      <c r="L9" s="187"/>
      <c r="M9" s="83">
        <f>K9+L9</f>
        <v>0</v>
      </c>
      <c r="N9" s="84"/>
      <c r="O9" s="84"/>
    </row>
    <row r="10" spans="1:20" x14ac:dyDescent="0.8">
      <c r="A10" s="185"/>
      <c r="B10" s="186"/>
      <c r="C10" s="186"/>
      <c r="D10" s="187"/>
      <c r="E10" s="187"/>
      <c r="F10" s="83">
        <f>D10+E10</f>
        <v>0</v>
      </c>
      <c r="G10" s="384"/>
      <c r="H10" s="185"/>
      <c r="I10" s="186"/>
      <c r="J10" s="186"/>
      <c r="K10" s="187"/>
      <c r="L10" s="187"/>
      <c r="M10" s="83">
        <f>K10+L10</f>
        <v>0</v>
      </c>
      <c r="N10" s="84"/>
      <c r="O10" s="84"/>
    </row>
    <row r="11" spans="1:20" x14ac:dyDescent="0.8">
      <c r="A11" s="185"/>
      <c r="B11" s="186"/>
      <c r="C11" s="186"/>
      <c r="D11" s="187"/>
      <c r="E11" s="187"/>
      <c r="F11" s="83">
        <f>D11+E11</f>
        <v>0</v>
      </c>
      <c r="G11" s="384"/>
      <c r="H11" s="185"/>
      <c r="I11" s="186"/>
      <c r="J11" s="186"/>
      <c r="K11" s="187"/>
      <c r="L11" s="187"/>
      <c r="M11" s="83">
        <f>K11+L11</f>
        <v>0</v>
      </c>
      <c r="N11" s="84"/>
      <c r="O11" s="84"/>
    </row>
    <row r="12" spans="1:20" x14ac:dyDescent="0.8">
      <c r="A12" s="185"/>
      <c r="B12" s="186"/>
      <c r="C12" s="186"/>
      <c r="D12" s="187"/>
      <c r="E12" s="187"/>
      <c r="F12" s="83">
        <f>D12+E12</f>
        <v>0</v>
      </c>
      <c r="G12" s="384"/>
      <c r="H12" s="185"/>
      <c r="I12" s="186"/>
      <c r="J12" s="186"/>
      <c r="K12" s="187"/>
      <c r="L12" s="187"/>
      <c r="M12" s="83">
        <f>K12+L12</f>
        <v>0</v>
      </c>
      <c r="N12" s="84"/>
      <c r="O12" s="84"/>
    </row>
    <row r="13" spans="1:20" ht="16.75" thickBot="1" x14ac:dyDescent="0.95">
      <c r="A13" s="85"/>
      <c r="B13" s="86"/>
      <c r="C13" s="87" t="s">
        <v>69</v>
      </c>
      <c r="D13" s="88">
        <f t="shared" ref="D13:F13" si="0">SUM(D8:D12)</f>
        <v>0</v>
      </c>
      <c r="E13" s="88">
        <f t="shared" si="0"/>
        <v>0</v>
      </c>
      <c r="F13" s="89">
        <f t="shared" si="0"/>
        <v>0</v>
      </c>
      <c r="G13" s="384"/>
      <c r="H13" s="85"/>
      <c r="I13" s="86"/>
      <c r="J13" s="87" t="s">
        <v>69</v>
      </c>
      <c r="K13" s="88">
        <f t="shared" ref="K13:M13" si="1">SUM(K8:K12)</f>
        <v>0</v>
      </c>
      <c r="L13" s="88">
        <f t="shared" si="1"/>
        <v>0</v>
      </c>
      <c r="M13" s="89">
        <f t="shared" si="1"/>
        <v>0</v>
      </c>
      <c r="N13" s="84"/>
      <c r="O13" s="84"/>
    </row>
    <row r="14" spans="1:20" ht="40.15" customHeight="1" thickBot="1" x14ac:dyDescent="0.95">
      <c r="A14" s="90" t="s">
        <v>70</v>
      </c>
      <c r="B14" s="91"/>
      <c r="C14" s="91"/>
      <c r="D14" s="91"/>
      <c r="E14" s="91"/>
      <c r="F14" s="92"/>
      <c r="G14" s="384"/>
      <c r="H14" s="90" t="s">
        <v>70</v>
      </c>
      <c r="I14" s="91"/>
      <c r="J14" s="91"/>
      <c r="K14" s="91"/>
      <c r="L14" s="91"/>
      <c r="M14" s="92"/>
      <c r="N14" s="73"/>
      <c r="O14" s="73"/>
      <c r="P14" s="73"/>
      <c r="Q14" s="73"/>
      <c r="R14" s="73"/>
      <c r="S14" s="93"/>
    </row>
    <row r="15" spans="1:20" x14ac:dyDescent="0.8">
      <c r="A15" s="94" t="s">
        <v>62</v>
      </c>
      <c r="B15" s="95" t="s">
        <v>63</v>
      </c>
      <c r="C15" s="96" t="s">
        <v>176</v>
      </c>
      <c r="D15" s="79" t="s">
        <v>65</v>
      </c>
      <c r="E15" s="80" t="s">
        <v>66</v>
      </c>
      <c r="F15" s="81" t="s">
        <v>67</v>
      </c>
      <c r="G15" s="384"/>
      <c r="H15" s="94" t="s">
        <v>62</v>
      </c>
      <c r="I15" s="95" t="s">
        <v>63</v>
      </c>
      <c r="J15" s="96" t="s">
        <v>176</v>
      </c>
      <c r="K15" s="79" t="s">
        <v>65</v>
      </c>
      <c r="L15" s="80" t="s">
        <v>66</v>
      </c>
      <c r="M15" s="81" t="s">
        <v>68</v>
      </c>
      <c r="N15" s="63"/>
      <c r="O15" s="98"/>
    </row>
    <row r="16" spans="1:20" x14ac:dyDescent="0.8">
      <c r="A16" s="188"/>
      <c r="B16" s="189"/>
      <c r="C16" s="99"/>
      <c r="D16" s="187"/>
      <c r="E16" s="187"/>
      <c r="F16" s="83">
        <f t="shared" ref="F16:F20" si="2">D16+E16</f>
        <v>0</v>
      </c>
      <c r="G16" s="384"/>
      <c r="H16" s="188"/>
      <c r="I16" s="189"/>
      <c r="J16" s="99"/>
      <c r="K16" s="187"/>
      <c r="L16" s="187"/>
      <c r="M16" s="83">
        <f t="shared" ref="M16:M20" si="3">K16+L16</f>
        <v>0</v>
      </c>
      <c r="N16" s="84"/>
      <c r="O16" s="84"/>
    </row>
    <row r="17" spans="1:19" x14ac:dyDescent="0.8">
      <c r="A17" s="188"/>
      <c r="B17" s="189"/>
      <c r="C17" s="99"/>
      <c r="D17" s="187"/>
      <c r="E17" s="187"/>
      <c r="F17" s="83">
        <f t="shared" si="2"/>
        <v>0</v>
      </c>
      <c r="G17" s="384"/>
      <c r="H17" s="188"/>
      <c r="I17" s="189"/>
      <c r="J17" s="99"/>
      <c r="K17" s="187"/>
      <c r="L17" s="187"/>
      <c r="M17" s="83">
        <f t="shared" si="3"/>
        <v>0</v>
      </c>
      <c r="N17" s="84"/>
      <c r="O17" s="84"/>
    </row>
    <row r="18" spans="1:19" x14ac:dyDescent="0.8">
      <c r="A18" s="188"/>
      <c r="B18" s="189"/>
      <c r="C18" s="99"/>
      <c r="D18" s="187"/>
      <c r="E18" s="187"/>
      <c r="F18" s="83">
        <f t="shared" si="2"/>
        <v>0</v>
      </c>
      <c r="G18" s="384"/>
      <c r="H18" s="188"/>
      <c r="I18" s="189"/>
      <c r="J18" s="99"/>
      <c r="K18" s="187"/>
      <c r="L18" s="187"/>
      <c r="M18" s="83">
        <f t="shared" si="3"/>
        <v>0</v>
      </c>
      <c r="N18" s="84"/>
      <c r="O18" s="84"/>
    </row>
    <row r="19" spans="1:19" x14ac:dyDescent="0.8">
      <c r="A19" s="188"/>
      <c r="B19" s="189"/>
      <c r="C19" s="99"/>
      <c r="D19" s="187"/>
      <c r="E19" s="187"/>
      <c r="F19" s="83">
        <f t="shared" si="2"/>
        <v>0</v>
      </c>
      <c r="G19" s="384"/>
      <c r="H19" s="188"/>
      <c r="I19" s="189"/>
      <c r="J19" s="99"/>
      <c r="K19" s="187"/>
      <c r="L19" s="187"/>
      <c r="M19" s="83">
        <f t="shared" si="3"/>
        <v>0</v>
      </c>
      <c r="N19" s="84"/>
      <c r="O19" s="84"/>
    </row>
    <row r="20" spans="1:19" x14ac:dyDescent="0.8">
      <c r="A20" s="188"/>
      <c r="B20" s="189"/>
      <c r="C20" s="99"/>
      <c r="D20" s="187"/>
      <c r="E20" s="187"/>
      <c r="F20" s="83">
        <f t="shared" si="2"/>
        <v>0</v>
      </c>
      <c r="G20" s="384"/>
      <c r="H20" s="188"/>
      <c r="I20" s="189"/>
      <c r="J20" s="99"/>
      <c r="K20" s="187"/>
      <c r="L20" s="187"/>
      <c r="M20" s="83">
        <f t="shared" si="3"/>
        <v>0</v>
      </c>
      <c r="N20" s="84"/>
      <c r="O20" s="84"/>
    </row>
    <row r="21" spans="1:19" x14ac:dyDescent="0.8">
      <c r="A21" s="100"/>
      <c r="B21" s="101"/>
      <c r="C21" s="102" t="s">
        <v>72</v>
      </c>
      <c r="D21" s="103">
        <f t="shared" ref="D21:F21" si="4">SUM(D16:D20)</f>
        <v>0</v>
      </c>
      <c r="E21" s="103">
        <f t="shared" si="4"/>
        <v>0</v>
      </c>
      <c r="F21" s="83">
        <f t="shared" si="4"/>
        <v>0</v>
      </c>
      <c r="G21" s="384"/>
      <c r="H21" s="100"/>
      <c r="I21" s="101"/>
      <c r="J21" s="102" t="s">
        <v>72</v>
      </c>
      <c r="K21" s="103">
        <f t="shared" ref="K21:M21" si="5">SUM(K16:K20)</f>
        <v>0</v>
      </c>
      <c r="L21" s="103">
        <f t="shared" si="5"/>
        <v>0</v>
      </c>
      <c r="M21" s="83">
        <f t="shared" si="5"/>
        <v>0</v>
      </c>
      <c r="N21" s="84"/>
      <c r="O21" s="84"/>
    </row>
    <row r="22" spans="1:19" ht="16.75" thickBot="1" x14ac:dyDescent="0.95">
      <c r="A22" s="104"/>
      <c r="B22" s="105"/>
      <c r="C22" s="106"/>
      <c r="D22" s="106"/>
      <c r="E22" s="107" t="s">
        <v>73</v>
      </c>
      <c r="F22" s="108">
        <f>F13-F21</f>
        <v>0</v>
      </c>
      <c r="G22" s="384"/>
      <c r="H22" s="104"/>
      <c r="I22" s="105"/>
      <c r="J22" s="105"/>
      <c r="K22" s="110"/>
      <c r="L22" s="107" t="s">
        <v>74</v>
      </c>
      <c r="M22" s="108">
        <f>M13-M21</f>
        <v>0</v>
      </c>
      <c r="N22" s="93"/>
      <c r="O22" s="93"/>
      <c r="P22" s="93"/>
      <c r="Q22" s="93"/>
      <c r="R22" s="93"/>
      <c r="S22" s="93"/>
    </row>
    <row r="23" spans="1:19" ht="16.75" thickBot="1" x14ac:dyDescent="0.95">
      <c r="A23" s="378" t="s">
        <v>22</v>
      </c>
      <c r="B23" s="378"/>
      <c r="C23" s="378"/>
      <c r="D23" s="378"/>
      <c r="E23" s="378"/>
      <c r="F23" s="378"/>
      <c r="G23" s="384"/>
      <c r="H23" s="378" t="s">
        <v>22</v>
      </c>
      <c r="I23" s="378"/>
      <c r="J23" s="378"/>
      <c r="K23" s="378"/>
      <c r="L23" s="378"/>
      <c r="M23" s="378"/>
      <c r="N23" s="93"/>
      <c r="O23" s="93"/>
      <c r="P23" s="93"/>
      <c r="Q23" s="93"/>
      <c r="R23" s="93"/>
      <c r="S23" s="93"/>
    </row>
    <row r="24" spans="1:19" x14ac:dyDescent="0.8">
      <c r="A24" s="111" t="s">
        <v>105</v>
      </c>
      <c r="B24" s="112"/>
      <c r="C24" s="112"/>
      <c r="D24" s="62"/>
      <c r="E24" s="119"/>
      <c r="F24" s="119"/>
      <c r="G24" s="384"/>
      <c r="H24" s="111" t="s">
        <v>105</v>
      </c>
      <c r="I24" s="112"/>
      <c r="J24" s="112"/>
      <c r="K24" s="62"/>
      <c r="L24" s="119"/>
      <c r="M24" s="119"/>
      <c r="N24" s="118"/>
      <c r="O24" s="118"/>
      <c r="P24" s="118"/>
      <c r="Q24" s="118"/>
    </row>
    <row r="25" spans="1:19" x14ac:dyDescent="0.8">
      <c r="A25" s="120" t="s">
        <v>71</v>
      </c>
      <c r="B25" s="121" t="s">
        <v>77</v>
      </c>
      <c r="C25" s="122"/>
      <c r="D25" s="123"/>
      <c r="E25" s="122"/>
      <c r="F25" s="122"/>
      <c r="G25" s="384"/>
      <c r="H25" s="120" t="s">
        <v>71</v>
      </c>
      <c r="I25" s="121" t="s">
        <v>77</v>
      </c>
      <c r="J25" s="122"/>
      <c r="K25" s="123"/>
      <c r="L25" s="122"/>
      <c r="M25" s="122"/>
      <c r="N25" s="118"/>
      <c r="O25" s="118"/>
      <c r="P25" s="118"/>
      <c r="Q25" s="118"/>
    </row>
    <row r="26" spans="1:19" x14ac:dyDescent="0.8">
      <c r="A26" s="124" t="str">
        <f>CONCATENATE("SFY ",'2. Getting Started'!B6+5," Projected Child Count")</f>
        <v>SFY 2029 Projected Child Count</v>
      </c>
      <c r="B26" s="125" t="str">
        <f>IF('20. Year 6 Amounts'!B1="","",'20. Year 6 Amounts'!B1)</f>
        <v/>
      </c>
      <c r="C26" s="122"/>
      <c r="D26" s="123"/>
      <c r="E26" s="122"/>
      <c r="F26" s="122"/>
      <c r="G26" s="384"/>
      <c r="H26" s="124" t="str">
        <f>CONCATENATE("SFY ",'2. Getting Started'!B6+5," Child Count")</f>
        <v>SFY 2029 Child Count</v>
      </c>
      <c r="I26" s="125" t="str">
        <f>IF('20. Year 6 Amounts'!I1="","",'20. Year 6 Amounts'!I1)</f>
        <v/>
      </c>
      <c r="J26" s="122"/>
      <c r="K26" s="123"/>
      <c r="L26" s="122"/>
      <c r="M26" s="122"/>
      <c r="N26" s="118"/>
      <c r="O26" s="118"/>
      <c r="P26" s="118"/>
      <c r="Q26" s="118"/>
    </row>
    <row r="27" spans="1:19" x14ac:dyDescent="0.8">
      <c r="A27" s="124" t="str">
        <f>CONCATENATE("SFY ",'2. Getting Started'!B6+4," Projected Child Count")</f>
        <v>SFY 2028 Projected Child Count</v>
      </c>
      <c r="B27" s="125" t="str">
        <f>IF('17. Year 5 Amounts'!B1="","",'17. Year 5 Amounts'!B1)</f>
        <v/>
      </c>
      <c r="C27" s="118"/>
      <c r="D27" s="127"/>
      <c r="E27" s="118"/>
      <c r="F27" s="122"/>
      <c r="G27" s="384"/>
      <c r="H27" s="124" t="str">
        <f>CONCATENATE("SFY ",'2. Getting Started'!B6+4," Child Count")</f>
        <v>SFY 2028 Child Count</v>
      </c>
      <c r="I27" s="125" t="str">
        <f>IF('17. Year 5 Amounts'!I1="","",'17. Year 5 Amounts'!I1)</f>
        <v/>
      </c>
      <c r="J27" s="118"/>
      <c r="K27" s="127"/>
      <c r="L27" s="118"/>
      <c r="M27" s="122"/>
      <c r="N27" s="128"/>
      <c r="O27" s="128"/>
      <c r="P27" s="128"/>
      <c r="Q27" s="128"/>
    </row>
    <row r="28" spans="1:19" x14ac:dyDescent="0.8">
      <c r="A28" s="126" t="s">
        <v>78</v>
      </c>
      <c r="B28" s="129" t="str">
        <f>IF(B26="","",B26-B27)</f>
        <v/>
      </c>
      <c r="C28" s="122" t="str">
        <f>IF(B28="","",IF(B28&gt;=0,"Not eligible for this exception",""))</f>
        <v/>
      </c>
      <c r="D28" s="123"/>
      <c r="E28" s="122"/>
      <c r="F28" s="122"/>
      <c r="G28" s="384"/>
      <c r="H28" s="126" t="s">
        <v>78</v>
      </c>
      <c r="I28" s="129" t="str">
        <f>IF(I26="","",I26-I27)</f>
        <v/>
      </c>
      <c r="J28" s="122" t="str">
        <f>IF(I28="","",IF(I28&gt;=0,"Not eligible for this exception",""))</f>
        <v/>
      </c>
      <c r="K28" s="123"/>
      <c r="L28" s="122"/>
      <c r="M28" s="122"/>
      <c r="N28" s="131"/>
      <c r="O28" s="131"/>
      <c r="P28" s="131"/>
      <c r="Q28" s="131"/>
    </row>
    <row r="29" spans="1:19" x14ac:dyDescent="0.8">
      <c r="A29" s="132" t="s">
        <v>79</v>
      </c>
      <c r="B29" s="133" t="str">
        <f>IF(B26="","",IF(B28&lt;=0,ABS(B28/B27),""))</f>
        <v/>
      </c>
      <c r="C29" s="134"/>
      <c r="D29" s="135"/>
      <c r="E29" s="134"/>
      <c r="F29" s="10"/>
      <c r="G29" s="384"/>
      <c r="H29" s="132" t="s">
        <v>79</v>
      </c>
      <c r="I29" s="133" t="str">
        <f>IF(I26="","",IF(I28&lt;=0,ABS(I28/I27),""))</f>
        <v/>
      </c>
      <c r="J29" s="134"/>
      <c r="K29" s="135"/>
      <c r="L29" s="134"/>
      <c r="M29" s="10"/>
      <c r="N29" s="136"/>
      <c r="O29" s="136"/>
      <c r="P29" s="137"/>
      <c r="Q29" s="137"/>
    </row>
    <row r="30" spans="1:19" x14ac:dyDescent="0.8">
      <c r="A30" s="114" t="s">
        <v>71</v>
      </c>
      <c r="B30" s="115" t="s">
        <v>0</v>
      </c>
      <c r="C30" s="115" t="s">
        <v>2</v>
      </c>
      <c r="D30" s="10"/>
      <c r="E30" s="71"/>
      <c r="F30" s="71"/>
      <c r="G30" s="384"/>
      <c r="H30" s="114" t="s">
        <v>71</v>
      </c>
      <c r="I30" s="115" t="s">
        <v>75</v>
      </c>
      <c r="J30" s="115" t="s">
        <v>76</v>
      </c>
      <c r="K30" s="10"/>
      <c r="L30" s="71"/>
      <c r="M30" s="71"/>
      <c r="N30" s="137"/>
      <c r="O30" s="137"/>
    </row>
    <row r="31" spans="1:19" x14ac:dyDescent="0.8">
      <c r="A31" s="138" t="str">
        <f>CONCATENATE("SFY ",'2. Getting Started'!B6+4," Budget")</f>
        <v>SFY 2028 Budget</v>
      </c>
      <c r="B31" s="139" t="str">
        <f>IF('17. Year 5 Amounts'!D30="","",'17. Year 5 Amounts'!D30)</f>
        <v/>
      </c>
      <c r="C31" s="139" t="str">
        <f>IF('17. Year 5 Amounts'!F30="","",'17. Year 5 Amounts'!F30)</f>
        <v/>
      </c>
      <c r="D31" s="140"/>
      <c r="E31" s="73"/>
      <c r="F31" s="73"/>
      <c r="G31" s="384"/>
      <c r="H31" s="138" t="str">
        <f>CONCATENATE("SFY ",'2. Getting Started'!B6+4," Final Expenditures")</f>
        <v>SFY 2028 Final Expenditures</v>
      </c>
      <c r="I31" s="139" t="str">
        <f>IF('17. Year 5 Amounts'!K30="","",'17. Year 5 Amounts'!K30)</f>
        <v/>
      </c>
      <c r="J31" s="139" t="str">
        <f>IF('17. Year 5 Amounts'!M30="","",'17. Year 5 Amounts'!M30)</f>
        <v/>
      </c>
      <c r="K31" s="141"/>
      <c r="L31" s="73"/>
      <c r="M31" s="73"/>
    </row>
    <row r="32" spans="1:19" x14ac:dyDescent="0.8">
      <c r="A32" s="116" t="s">
        <v>80</v>
      </c>
      <c r="B32" s="142" t="str">
        <f>IF(OR($B26="",B29="",B31=""),"",($B29*B31))</f>
        <v/>
      </c>
      <c r="C32" s="142" t="str">
        <f>IF(OR($B26="",B29="",C31=""),"",($B29*C31))</f>
        <v/>
      </c>
      <c r="D32" s="141"/>
      <c r="E32" s="117"/>
      <c r="F32" s="117"/>
      <c r="G32" s="384"/>
      <c r="H32" s="116" t="s">
        <v>81</v>
      </c>
      <c r="I32" s="142" t="str">
        <f>IF(OR($I26="",I29="",I31=""),"",($I29*I31))</f>
        <v/>
      </c>
      <c r="J32" s="142" t="str">
        <f>IF(OR($I26="",I29="",J31=""),"",($I29*J31))</f>
        <v/>
      </c>
      <c r="K32" s="141"/>
      <c r="L32" s="117"/>
      <c r="M32" s="117"/>
    </row>
    <row r="33" spans="1:28" ht="16.75" thickBot="1" x14ac:dyDescent="0.95">
      <c r="A33" s="379" t="s">
        <v>22</v>
      </c>
      <c r="B33" s="379"/>
      <c r="C33" s="379"/>
      <c r="D33" s="122"/>
      <c r="E33" s="122"/>
      <c r="F33" s="122"/>
      <c r="G33" s="384"/>
      <c r="H33" s="379" t="s">
        <v>22</v>
      </c>
      <c r="I33" s="379"/>
      <c r="J33" s="379"/>
      <c r="K33" s="122"/>
      <c r="L33" s="122"/>
      <c r="M33" s="122"/>
      <c r="P33" s="117"/>
      <c r="Q33" s="117"/>
      <c r="R33" s="117"/>
      <c r="S33" s="117"/>
      <c r="T33" s="117"/>
      <c r="U33" s="73"/>
      <c r="V33" s="117"/>
      <c r="W33" s="117"/>
      <c r="X33" s="117"/>
      <c r="Y33" s="117"/>
      <c r="Z33" s="117"/>
      <c r="AA33" s="117"/>
    </row>
    <row r="34" spans="1:28" x14ac:dyDescent="0.8">
      <c r="A34" s="111" t="s">
        <v>82</v>
      </c>
      <c r="B34" s="144"/>
      <c r="C34" s="145"/>
      <c r="D34" s="146"/>
      <c r="E34" s="130"/>
      <c r="F34" s="130"/>
      <c r="G34" s="384"/>
      <c r="H34" s="111" t="s">
        <v>82</v>
      </c>
      <c r="I34" s="144"/>
      <c r="J34" s="145"/>
      <c r="K34" s="146"/>
      <c r="L34" s="130"/>
      <c r="M34" s="130"/>
      <c r="P34" s="117"/>
      <c r="Q34" s="117"/>
      <c r="R34" s="117"/>
      <c r="S34" s="117"/>
      <c r="T34" s="117"/>
      <c r="U34" s="117"/>
      <c r="V34" s="117"/>
      <c r="W34" s="117"/>
      <c r="X34" s="117"/>
      <c r="Y34" s="117"/>
      <c r="Z34" s="117"/>
      <c r="AA34" s="117"/>
    </row>
    <row r="35" spans="1:28" x14ac:dyDescent="0.8">
      <c r="A35" s="147" t="s">
        <v>83</v>
      </c>
      <c r="B35" s="71"/>
      <c r="C35" s="148"/>
      <c r="D35" s="149"/>
      <c r="E35" s="10"/>
      <c r="F35" s="10"/>
      <c r="G35" s="384"/>
      <c r="H35" s="147" t="s">
        <v>83</v>
      </c>
      <c r="I35" s="71"/>
      <c r="J35" s="148"/>
      <c r="K35" s="149"/>
      <c r="L35" s="10"/>
      <c r="M35" s="10"/>
      <c r="P35" s="73"/>
      <c r="Q35" s="73"/>
      <c r="R35" s="73"/>
      <c r="S35" s="73"/>
      <c r="T35" s="73"/>
      <c r="U35" s="73"/>
      <c r="V35" s="73"/>
      <c r="W35" s="73"/>
      <c r="X35" s="73"/>
      <c r="Y35" s="73"/>
      <c r="Z35" s="73"/>
      <c r="AA35" s="73"/>
    </row>
    <row r="36" spans="1:28" x14ac:dyDescent="0.8">
      <c r="A36" s="150" t="s">
        <v>84</v>
      </c>
      <c r="B36" s="71"/>
      <c r="C36" s="151"/>
      <c r="D36" s="149"/>
      <c r="E36" s="10"/>
      <c r="F36" s="10"/>
      <c r="G36" s="384"/>
      <c r="H36" s="150" t="s">
        <v>84</v>
      </c>
      <c r="I36" s="71"/>
      <c r="J36" s="151"/>
      <c r="K36" s="149"/>
      <c r="L36" s="10"/>
      <c r="M36" s="10"/>
      <c r="Q36" s="73"/>
      <c r="R36" s="73"/>
      <c r="S36" s="73"/>
      <c r="T36" s="73"/>
      <c r="U36" s="73"/>
      <c r="V36" s="73"/>
      <c r="W36" s="73"/>
      <c r="X36" s="73"/>
      <c r="Y36" s="73"/>
      <c r="Z36" s="73"/>
      <c r="AA36" s="73"/>
      <c r="AB36" s="73"/>
    </row>
    <row r="37" spans="1:28" x14ac:dyDescent="0.8">
      <c r="A37" s="152" t="s">
        <v>85</v>
      </c>
      <c r="B37" s="153" t="s">
        <v>86</v>
      </c>
      <c r="C37" s="154" t="s">
        <v>87</v>
      </c>
      <c r="D37" s="117"/>
      <c r="E37" s="143"/>
      <c r="F37" s="143"/>
      <c r="G37" s="384"/>
      <c r="H37" s="152" t="s">
        <v>85</v>
      </c>
      <c r="I37" s="153" t="s">
        <v>86</v>
      </c>
      <c r="J37" s="154" t="s">
        <v>88</v>
      </c>
      <c r="K37" s="117"/>
      <c r="L37" s="143"/>
      <c r="M37" s="143"/>
      <c r="P37" s="93"/>
      <c r="Q37" s="93"/>
      <c r="R37" s="93"/>
      <c r="S37" s="93"/>
      <c r="T37" s="93"/>
      <c r="U37" s="93"/>
      <c r="V37" s="93"/>
      <c r="W37" s="93"/>
      <c r="X37" s="93"/>
      <c r="Y37" s="93"/>
      <c r="Z37" s="93"/>
      <c r="AA37" s="93"/>
    </row>
    <row r="38" spans="1:28" x14ac:dyDescent="0.8">
      <c r="A38" s="190"/>
      <c r="B38" s="191"/>
      <c r="C38" s="192"/>
      <c r="D38" s="143"/>
      <c r="E38" s="143"/>
      <c r="F38" s="143"/>
      <c r="G38" s="384"/>
      <c r="H38" s="190"/>
      <c r="I38" s="191"/>
      <c r="J38" s="192"/>
      <c r="K38" s="143"/>
      <c r="L38" s="143"/>
      <c r="M38" s="143"/>
      <c r="P38" s="93"/>
      <c r="Q38" s="93"/>
      <c r="R38" s="93"/>
      <c r="S38" s="93"/>
      <c r="T38" s="93"/>
      <c r="U38" s="93"/>
      <c r="V38" s="93"/>
      <c r="W38" s="93"/>
      <c r="X38" s="93"/>
      <c r="Y38" s="93"/>
      <c r="Z38" s="93"/>
      <c r="AA38" s="93"/>
    </row>
    <row r="39" spans="1:28" x14ac:dyDescent="0.8">
      <c r="A39" s="190"/>
      <c r="B39" s="191"/>
      <c r="C39" s="192"/>
      <c r="D39" s="143"/>
      <c r="E39" s="71"/>
      <c r="F39" s="71"/>
      <c r="G39" s="384"/>
      <c r="H39" s="190"/>
      <c r="I39" s="191"/>
      <c r="J39" s="192"/>
      <c r="K39" s="143"/>
      <c r="L39" s="71"/>
      <c r="M39" s="71"/>
      <c r="P39" s="93"/>
      <c r="Q39" s="93"/>
      <c r="R39" s="93"/>
      <c r="S39" s="93"/>
      <c r="T39" s="93"/>
      <c r="U39" s="93"/>
      <c r="V39" s="93"/>
      <c r="W39" s="93"/>
      <c r="X39" s="93"/>
      <c r="Y39" s="93"/>
      <c r="Z39" s="93"/>
      <c r="AA39" s="93"/>
    </row>
    <row r="40" spans="1:28" x14ac:dyDescent="0.8">
      <c r="A40" s="190"/>
      <c r="B40" s="191"/>
      <c r="C40" s="192"/>
      <c r="D40" s="143"/>
      <c r="E40" s="71"/>
      <c r="F40" s="71"/>
      <c r="G40" s="384"/>
      <c r="H40" s="190"/>
      <c r="I40" s="191"/>
      <c r="J40" s="192"/>
      <c r="K40" s="143"/>
      <c r="L40" s="71"/>
      <c r="M40" s="71"/>
      <c r="P40" s="93"/>
      <c r="Q40" s="93"/>
      <c r="R40" s="93"/>
      <c r="S40" s="93"/>
      <c r="T40" s="93"/>
      <c r="U40" s="93"/>
      <c r="V40" s="93"/>
      <c r="W40" s="93"/>
      <c r="X40" s="93"/>
      <c r="Y40" s="93"/>
      <c r="Z40" s="93"/>
      <c r="AA40" s="93"/>
    </row>
    <row r="41" spans="1:28" x14ac:dyDescent="0.8">
      <c r="A41" s="190"/>
      <c r="B41" s="191"/>
      <c r="C41" s="192"/>
      <c r="D41" s="143"/>
      <c r="E41" s="119"/>
      <c r="F41" s="119"/>
      <c r="G41" s="384"/>
      <c r="H41" s="190"/>
      <c r="I41" s="191"/>
      <c r="J41" s="192"/>
      <c r="K41" s="143"/>
      <c r="L41" s="119"/>
      <c r="M41" s="119"/>
      <c r="P41" s="93"/>
      <c r="Q41" s="93"/>
      <c r="R41" s="93"/>
      <c r="S41" s="93"/>
      <c r="T41" s="93"/>
      <c r="U41" s="93"/>
      <c r="V41" s="93"/>
      <c r="W41" s="93"/>
      <c r="X41" s="93"/>
      <c r="Y41" s="93"/>
      <c r="Z41" s="93"/>
      <c r="AA41" s="93"/>
    </row>
    <row r="42" spans="1:28" x14ac:dyDescent="0.8">
      <c r="A42" s="190"/>
      <c r="B42" s="191"/>
      <c r="C42" s="192"/>
      <c r="D42" s="143"/>
      <c r="F42" s="10"/>
      <c r="G42" s="384"/>
      <c r="H42" s="190"/>
      <c r="I42" s="191"/>
      <c r="J42" s="192"/>
      <c r="K42" s="143"/>
      <c r="M42" s="10"/>
      <c r="P42" s="73"/>
      <c r="Q42" s="73"/>
      <c r="R42" s="73"/>
      <c r="S42" s="73"/>
      <c r="T42" s="73"/>
      <c r="U42" s="73"/>
      <c r="V42" s="73"/>
      <c r="W42" s="73"/>
      <c r="X42" s="73"/>
      <c r="Y42" s="73"/>
      <c r="Z42" s="73"/>
      <c r="AA42" s="73"/>
    </row>
    <row r="43" spans="1:28" x14ac:dyDescent="0.8">
      <c r="A43" s="156" t="s">
        <v>89</v>
      </c>
      <c r="B43" s="157"/>
      <c r="C43" s="158">
        <f>SUM(C38:C42)</f>
        <v>0</v>
      </c>
      <c r="D43" s="143"/>
      <c r="E43" s="73"/>
      <c r="F43" s="71"/>
      <c r="G43" s="384"/>
      <c r="H43" s="156" t="s">
        <v>90</v>
      </c>
      <c r="I43" s="157"/>
      <c r="J43" s="158">
        <f>SUM(J38:J42)</f>
        <v>0</v>
      </c>
      <c r="K43" s="143"/>
      <c r="L43" s="73"/>
      <c r="M43" s="71"/>
      <c r="P43" s="73"/>
      <c r="Q43" s="73"/>
      <c r="R43" s="73"/>
      <c r="S43" s="73"/>
      <c r="T43" s="73"/>
      <c r="U43" s="73"/>
      <c r="V43" s="73"/>
      <c r="W43" s="73"/>
      <c r="X43" s="73"/>
      <c r="Y43" s="73"/>
      <c r="Z43" s="73"/>
      <c r="AA43" s="73"/>
    </row>
    <row r="44" spans="1:28" ht="16.75" thickBot="1" x14ac:dyDescent="0.95">
      <c r="A44" s="381" t="s">
        <v>22</v>
      </c>
      <c r="B44" s="381"/>
      <c r="C44" s="381"/>
      <c r="D44" s="71"/>
      <c r="E44" s="71"/>
      <c r="F44" s="71"/>
      <c r="G44" s="384"/>
      <c r="H44" s="381" t="s">
        <v>22</v>
      </c>
      <c r="I44" s="381"/>
      <c r="J44" s="381"/>
      <c r="K44" s="71"/>
      <c r="L44" s="71"/>
      <c r="M44" s="71"/>
      <c r="P44" s="93"/>
      <c r="Q44" s="93"/>
      <c r="R44" s="93"/>
      <c r="S44" s="93"/>
      <c r="T44" s="93"/>
      <c r="U44" s="93"/>
      <c r="V44" s="93"/>
      <c r="W44" s="93"/>
      <c r="X44" s="93"/>
      <c r="Y44" s="93"/>
      <c r="Z44" s="93"/>
      <c r="AA44" s="93"/>
    </row>
    <row r="45" spans="1:28" x14ac:dyDescent="0.8">
      <c r="A45" s="111" t="s">
        <v>91</v>
      </c>
      <c r="B45" s="113"/>
      <c r="C45" s="119"/>
      <c r="D45" s="119"/>
      <c r="E45" s="119"/>
      <c r="F45" s="119"/>
      <c r="G45" s="384"/>
      <c r="H45" s="111" t="s">
        <v>91</v>
      </c>
      <c r="I45" s="113"/>
      <c r="J45" s="119"/>
      <c r="K45" s="119"/>
      <c r="L45" s="119"/>
      <c r="M45" s="119"/>
      <c r="O45" s="93"/>
      <c r="P45" s="93"/>
      <c r="Q45" s="93"/>
      <c r="R45" s="93"/>
      <c r="S45" s="93"/>
      <c r="T45" s="93"/>
      <c r="U45" s="93"/>
      <c r="V45" s="93"/>
      <c r="W45" s="93"/>
      <c r="X45" s="93"/>
      <c r="Y45" s="93"/>
      <c r="Z45" s="93"/>
    </row>
    <row r="46" spans="1:28" ht="26.65" customHeight="1" x14ac:dyDescent="0.8">
      <c r="A46" s="70" t="s">
        <v>92</v>
      </c>
      <c r="B46" s="151"/>
      <c r="C46" s="119"/>
      <c r="D46" s="71"/>
      <c r="E46" s="73"/>
      <c r="F46" s="73"/>
      <c r="G46" s="384"/>
      <c r="H46" s="70" t="s">
        <v>92</v>
      </c>
      <c r="I46" s="151"/>
      <c r="J46" s="119"/>
      <c r="K46" s="71"/>
      <c r="L46" s="73"/>
      <c r="M46" s="73"/>
      <c r="O46" s="93"/>
      <c r="P46" s="93"/>
      <c r="Q46" s="93"/>
      <c r="R46" s="93"/>
      <c r="S46" s="93"/>
      <c r="T46" s="93"/>
      <c r="U46" s="93"/>
      <c r="V46" s="93"/>
      <c r="W46" s="93"/>
      <c r="X46" s="93"/>
      <c r="Y46" s="93"/>
      <c r="Z46" s="93"/>
    </row>
    <row r="47" spans="1:28" x14ac:dyDescent="0.8">
      <c r="A47" s="159" t="s">
        <v>93</v>
      </c>
      <c r="B47" s="160" t="s">
        <v>94</v>
      </c>
      <c r="C47" s="117"/>
      <c r="D47" s="117"/>
      <c r="E47" s="143"/>
      <c r="F47" s="109"/>
      <c r="G47" s="384"/>
      <c r="H47" s="159" t="s">
        <v>93</v>
      </c>
      <c r="I47" s="160" t="s">
        <v>95</v>
      </c>
      <c r="J47" s="117"/>
      <c r="K47" s="117"/>
      <c r="L47" s="143"/>
      <c r="M47" s="109"/>
      <c r="O47" s="93"/>
      <c r="P47" s="93"/>
      <c r="Q47" s="93"/>
      <c r="R47" s="93"/>
      <c r="S47" s="93"/>
      <c r="T47" s="93"/>
      <c r="U47" s="93"/>
      <c r="V47" s="93"/>
      <c r="W47" s="93"/>
      <c r="X47" s="93"/>
      <c r="Y47" s="93"/>
      <c r="Z47" s="93"/>
    </row>
    <row r="48" spans="1:28" ht="60" customHeight="1" x14ac:dyDescent="0.8">
      <c r="A48" s="193"/>
      <c r="B48" s="194"/>
      <c r="C48" s="143"/>
      <c r="D48" s="143"/>
      <c r="E48" s="143"/>
      <c r="F48" s="71"/>
      <c r="G48" s="384"/>
      <c r="H48" s="193"/>
      <c r="I48" s="194"/>
      <c r="J48" s="143"/>
      <c r="K48" s="143"/>
      <c r="L48" s="143"/>
      <c r="M48" s="71"/>
      <c r="O48" s="93"/>
      <c r="P48" s="93"/>
      <c r="Q48" s="93"/>
      <c r="R48" s="93"/>
      <c r="S48" s="93"/>
      <c r="T48" s="93"/>
      <c r="U48" s="93"/>
      <c r="V48" s="93"/>
      <c r="W48" s="93"/>
      <c r="X48" s="93"/>
      <c r="Y48" s="93"/>
      <c r="Z48" s="93"/>
    </row>
    <row r="49" spans="1:26" ht="60" customHeight="1" x14ac:dyDescent="0.8">
      <c r="A49" s="193"/>
      <c r="B49" s="194"/>
      <c r="C49" s="143"/>
      <c r="D49" s="143"/>
      <c r="E49" s="155"/>
      <c r="F49" s="155"/>
      <c r="G49" s="384"/>
      <c r="H49" s="193"/>
      <c r="I49" s="194"/>
      <c r="J49" s="143"/>
      <c r="K49" s="143"/>
      <c r="L49" s="155"/>
      <c r="M49" s="155"/>
      <c r="O49" s="93"/>
      <c r="P49" s="93"/>
      <c r="Q49" s="93"/>
      <c r="R49" s="93"/>
      <c r="S49" s="93"/>
      <c r="T49" s="93"/>
      <c r="U49" s="93"/>
      <c r="V49" s="93"/>
      <c r="W49" s="93"/>
      <c r="X49" s="93"/>
      <c r="Y49" s="93"/>
      <c r="Z49" s="93"/>
    </row>
    <row r="50" spans="1:26" ht="60" customHeight="1" x14ac:dyDescent="0.8">
      <c r="A50" s="193"/>
      <c r="B50" s="194"/>
      <c r="C50" s="143"/>
      <c r="D50" s="143"/>
      <c r="E50" s="71"/>
      <c r="F50" s="71"/>
      <c r="G50" s="384"/>
      <c r="H50" s="193"/>
      <c r="I50" s="194"/>
      <c r="J50" s="143"/>
      <c r="K50" s="143"/>
      <c r="L50" s="71"/>
      <c r="M50" s="71"/>
    </row>
    <row r="51" spans="1:26" ht="60" customHeight="1" x14ac:dyDescent="0.8">
      <c r="A51" s="193"/>
      <c r="B51" s="194"/>
      <c r="C51" s="143"/>
      <c r="D51" s="143"/>
      <c r="E51" s="161"/>
      <c r="F51" s="161"/>
      <c r="G51" s="384"/>
      <c r="H51" s="193"/>
      <c r="I51" s="194"/>
      <c r="J51" s="143"/>
      <c r="K51" s="143"/>
      <c r="L51" s="161"/>
      <c r="M51" s="161"/>
    </row>
    <row r="52" spans="1:26" ht="60" customHeight="1" x14ac:dyDescent="0.8">
      <c r="A52" s="193"/>
      <c r="B52" s="194"/>
      <c r="C52" s="143"/>
      <c r="D52" s="143"/>
      <c r="E52" s="162"/>
      <c r="F52" s="162"/>
      <c r="G52" s="384"/>
      <c r="H52" s="193"/>
      <c r="I52" s="194"/>
      <c r="J52" s="143"/>
      <c r="K52" s="143"/>
      <c r="L52" s="162"/>
      <c r="M52" s="162"/>
    </row>
    <row r="53" spans="1:26" x14ac:dyDescent="0.8">
      <c r="A53" s="163" t="s">
        <v>89</v>
      </c>
      <c r="B53" s="164">
        <f>SUM(B48:B52)</f>
        <v>0</v>
      </c>
      <c r="C53" s="143"/>
      <c r="D53" s="143"/>
      <c r="E53" s="73"/>
      <c r="G53" s="384"/>
      <c r="H53" s="165" t="s">
        <v>90</v>
      </c>
      <c r="I53" s="164">
        <f>SUM(I48:I52)</f>
        <v>0</v>
      </c>
      <c r="J53" s="143"/>
      <c r="K53" s="143"/>
      <c r="L53" s="73"/>
    </row>
    <row r="54" spans="1:26" ht="16.75" thickBot="1" x14ac:dyDescent="0.95">
      <c r="A54" s="379" t="s">
        <v>22</v>
      </c>
      <c r="B54" s="379"/>
      <c r="C54" s="10"/>
      <c r="D54" s="71"/>
      <c r="E54" s="71"/>
      <c r="F54" s="71"/>
      <c r="G54" s="384"/>
      <c r="H54" s="379" t="s">
        <v>22</v>
      </c>
      <c r="I54" s="379"/>
      <c r="J54" s="10"/>
      <c r="K54" s="71"/>
      <c r="L54" s="71"/>
      <c r="M54" s="71"/>
    </row>
    <row r="55" spans="1:26" x14ac:dyDescent="0.8">
      <c r="A55" s="166" t="str">
        <f>IF('3b. High Cost Fund'!B8="No","This exception is not valid in your state.","Exception (e) The assumption of cost by the high cost fund operated by the")</f>
        <v>This exception is not valid in your state.</v>
      </c>
      <c r="B55" s="145"/>
      <c r="C55" s="146"/>
      <c r="D55" s="130"/>
      <c r="E55" s="130"/>
      <c r="F55" s="143"/>
      <c r="G55" s="384"/>
      <c r="H55" s="166" t="str">
        <f>IF('3b. High Cost Fund'!B8="No","This exception is not valid in your state.","Exception (e) The assumption of cost by the high cost fund operated by the")</f>
        <v>This exception is not valid in your state.</v>
      </c>
      <c r="I55" s="145"/>
      <c r="J55" s="146"/>
      <c r="K55" s="130"/>
      <c r="L55" s="130"/>
      <c r="M55" s="143"/>
    </row>
    <row r="56" spans="1:26" ht="28.15" customHeight="1" x14ac:dyDescent="0.8">
      <c r="A56" s="70" t="str">
        <f>IF('3b. High Cost Fund'!B8="No","","SEA under §300.704. MUST be explicitly permitted by the SEA.")</f>
        <v/>
      </c>
      <c r="B56" s="167"/>
      <c r="C56" s="168"/>
      <c r="D56" s="169"/>
      <c r="E56" s="162"/>
      <c r="F56" s="143"/>
      <c r="G56" s="384"/>
      <c r="H56" s="70" t="str">
        <f>IF('3b. High Cost Fund'!B8="No","","SEA under §300.704. MUST be explicitly permitted by the SEA.")</f>
        <v/>
      </c>
      <c r="I56" s="167"/>
      <c r="J56" s="146"/>
      <c r="K56" s="169"/>
      <c r="L56" s="162"/>
      <c r="M56" s="143"/>
    </row>
    <row r="57" spans="1:26" x14ac:dyDescent="0.8">
      <c r="A57" s="170" t="s">
        <v>85</v>
      </c>
      <c r="B57" s="171" t="s">
        <v>96</v>
      </c>
      <c r="C57" s="117"/>
      <c r="D57" s="143"/>
      <c r="E57" s="143"/>
      <c r="F57" s="10"/>
      <c r="G57" s="384"/>
      <c r="H57" s="170" t="s">
        <v>85</v>
      </c>
      <c r="I57" s="171" t="s">
        <v>97</v>
      </c>
      <c r="J57" s="117"/>
      <c r="K57" s="143"/>
      <c r="L57" s="143"/>
      <c r="M57" s="10"/>
    </row>
    <row r="58" spans="1:26" ht="15.4" customHeight="1" x14ac:dyDescent="0.8">
      <c r="A58" s="195"/>
      <c r="B58" s="196"/>
      <c r="C58" s="338" t="str">
        <f>IF(AND(B58&lt;&gt;"",'3b. High Cost Fund'!$B8="No"),"Invalid entry. This exception is valid only in states with high-cost funds. If your state has a high-cost fund, please indicate that on tab 3b.","")</f>
        <v/>
      </c>
      <c r="D58" s="143"/>
      <c r="E58" s="143"/>
      <c r="F58" s="10"/>
      <c r="G58" s="384"/>
      <c r="H58" s="195"/>
      <c r="I58" s="196"/>
      <c r="J58" s="338" t="str">
        <f>IF(AND(I58&lt;&gt;"",'3b. High Cost Fund'!$B8="No"),"Invalid entry. This exception is valid only in states with high-cost funds. If your state has a high-cost fund, please indicate that on tab 3b.","")</f>
        <v/>
      </c>
      <c r="K58" s="143"/>
      <c r="L58" s="143"/>
      <c r="M58" s="10"/>
    </row>
    <row r="59" spans="1:26" x14ac:dyDescent="0.8">
      <c r="A59" s="195"/>
      <c r="B59" s="196"/>
      <c r="C59" s="143"/>
      <c r="D59" s="10"/>
      <c r="E59" s="10"/>
      <c r="F59" s="10"/>
      <c r="G59" s="384"/>
      <c r="H59" s="195"/>
      <c r="I59" s="196"/>
      <c r="J59" s="143"/>
      <c r="K59" s="10"/>
      <c r="L59" s="10"/>
      <c r="M59" s="10"/>
    </row>
    <row r="60" spans="1:26" x14ac:dyDescent="0.8">
      <c r="A60" s="195"/>
      <c r="B60" s="196"/>
      <c r="C60" s="143"/>
      <c r="D60" s="10"/>
      <c r="E60" s="10"/>
      <c r="F60" s="10"/>
      <c r="G60" s="384"/>
      <c r="H60" s="195"/>
      <c r="I60" s="196"/>
      <c r="J60" s="143"/>
      <c r="K60" s="10"/>
      <c r="L60" s="10"/>
      <c r="M60" s="10"/>
    </row>
    <row r="61" spans="1:26" x14ac:dyDescent="0.8">
      <c r="A61" s="195"/>
      <c r="B61" s="196"/>
      <c r="C61" s="143"/>
      <c r="D61" s="10"/>
      <c r="E61" s="10"/>
      <c r="F61" s="10"/>
      <c r="G61" s="384"/>
      <c r="H61" s="195"/>
      <c r="I61" s="196"/>
      <c r="J61" s="143"/>
      <c r="K61" s="10"/>
      <c r="L61" s="10"/>
      <c r="M61" s="10"/>
    </row>
    <row r="62" spans="1:26" x14ac:dyDescent="0.8">
      <c r="A62" s="195"/>
      <c r="B62" s="196"/>
      <c r="C62" s="143"/>
      <c r="D62" s="10"/>
      <c r="E62" s="10"/>
      <c r="F62" s="10"/>
      <c r="G62" s="384"/>
      <c r="H62" s="195"/>
      <c r="I62" s="196"/>
      <c r="J62" s="143"/>
      <c r="K62" s="10"/>
      <c r="L62" s="10"/>
      <c r="M62" s="10"/>
    </row>
    <row r="63" spans="1:26" x14ac:dyDescent="0.8">
      <c r="A63" s="172" t="s">
        <v>89</v>
      </c>
      <c r="B63" s="173">
        <f>IF('3b. High Cost Fund'!$B8="No",0,SUM(B58:B62))</f>
        <v>0</v>
      </c>
      <c r="C63" s="143"/>
      <c r="D63" s="10"/>
      <c r="E63" s="10"/>
      <c r="F63" s="10"/>
      <c r="G63" s="384"/>
      <c r="H63" s="174" t="s">
        <v>90</v>
      </c>
      <c r="I63" s="173">
        <f>IF('3b. High Cost Fund'!$B8="No",0,SUM(I58:I62))</f>
        <v>0</v>
      </c>
      <c r="J63" s="143"/>
      <c r="K63" s="10"/>
      <c r="L63" s="10"/>
      <c r="M63" s="10"/>
    </row>
    <row r="64" spans="1:26" ht="16.75" thickBot="1" x14ac:dyDescent="0.95">
      <c r="A64" s="379" t="s">
        <v>22</v>
      </c>
      <c r="B64" s="379"/>
      <c r="C64" s="143"/>
      <c r="D64" s="10"/>
      <c r="E64" s="10"/>
      <c r="F64" s="10"/>
      <c r="G64" s="384"/>
      <c r="H64" s="379" t="s">
        <v>22</v>
      </c>
      <c r="I64" s="379"/>
      <c r="J64" s="143"/>
      <c r="K64" s="10"/>
      <c r="L64" s="10"/>
      <c r="M64" s="10"/>
    </row>
    <row r="65" spans="1:13" x14ac:dyDescent="0.8">
      <c r="A65" s="347" t="s">
        <v>107</v>
      </c>
      <c r="B65" s="348"/>
      <c r="C65" s="143"/>
      <c r="D65" s="10"/>
      <c r="E65" s="10"/>
      <c r="F65" s="10"/>
      <c r="G65" s="384"/>
      <c r="H65" s="347" t="s">
        <v>106</v>
      </c>
      <c r="I65" s="348"/>
      <c r="J65" s="143"/>
      <c r="K65" s="10"/>
      <c r="L65" s="10"/>
      <c r="M65" s="10"/>
    </row>
    <row r="66" spans="1:13" x14ac:dyDescent="0.8">
      <c r="A66" s="242" t="s">
        <v>123</v>
      </c>
      <c r="B66" s="265" t="s">
        <v>124</v>
      </c>
      <c r="C66" s="143"/>
      <c r="D66" s="10"/>
      <c r="E66" s="10"/>
      <c r="F66" s="10"/>
      <c r="G66" s="384"/>
      <c r="H66" s="269" t="s">
        <v>123</v>
      </c>
      <c r="I66" s="270" t="s">
        <v>124</v>
      </c>
      <c r="J66" s="143"/>
      <c r="K66" s="10"/>
      <c r="L66" s="10"/>
      <c r="M66" s="10"/>
    </row>
    <row r="67" spans="1:13" x14ac:dyDescent="0.8">
      <c r="A67" s="102" t="s">
        <v>0</v>
      </c>
      <c r="B67" s="240">
        <f>IF(B$28&gt;=0,(F$22+C$43+B$53+B$63),(F$22+C$43+B$53+B$63+B$32))</f>
        <v>0</v>
      </c>
      <c r="C67" s="143"/>
      <c r="D67" s="10"/>
      <c r="E67" s="10"/>
      <c r="F67" s="10"/>
      <c r="G67" s="384"/>
      <c r="H67" s="102" t="s">
        <v>0</v>
      </c>
      <c r="I67" s="240">
        <f>IF(I$28&gt;=0,(M$22+J$43+I$53+I$63),(M$22+J$43+I$53+I$63+I$32))</f>
        <v>0</v>
      </c>
      <c r="J67" s="143"/>
      <c r="K67" s="10"/>
      <c r="L67" s="10"/>
      <c r="M67" s="10"/>
    </row>
    <row r="68" spans="1:13" x14ac:dyDescent="0.8">
      <c r="A68" s="241" t="s">
        <v>2</v>
      </c>
      <c r="B68" s="173">
        <f>IF(B$28&gt;=0,(F$22+C$43+B$53+B$63),(F$22+C$43+B$53+B$63+C$32))</f>
        <v>0</v>
      </c>
      <c r="C68" s="143"/>
      <c r="D68" s="10"/>
      <c r="E68" s="10"/>
      <c r="F68" s="10"/>
      <c r="G68" s="384"/>
      <c r="H68" s="241" t="s">
        <v>2</v>
      </c>
      <c r="I68" s="173">
        <f>IF(I$28&gt;=0,(M$22+J$43+I$53+I$63),(M$22+J$43+I$53+I$63+J$32))</f>
        <v>0</v>
      </c>
      <c r="J68" s="143"/>
      <c r="K68" s="10"/>
      <c r="L68" s="10"/>
      <c r="M68" s="10"/>
    </row>
    <row r="69" spans="1:13" ht="16.75" thickBot="1" x14ac:dyDescent="0.95">
      <c r="A69" s="382" t="s">
        <v>22</v>
      </c>
      <c r="B69" s="382"/>
      <c r="C69" s="10"/>
      <c r="D69" s="10"/>
      <c r="E69" s="10"/>
      <c r="F69" s="10"/>
      <c r="G69" s="384"/>
      <c r="H69" s="382" t="s">
        <v>22</v>
      </c>
      <c r="I69" s="382"/>
      <c r="J69" s="10"/>
      <c r="K69" s="10"/>
      <c r="L69" s="10"/>
      <c r="M69" s="10"/>
    </row>
    <row r="70" spans="1:13" ht="31.15" customHeight="1" x14ac:dyDescent="0.8">
      <c r="A70" s="337" t="s">
        <v>98</v>
      </c>
      <c r="B70" s="176"/>
      <c r="C70" s="11"/>
      <c r="D70" s="177"/>
      <c r="E70" s="10"/>
      <c r="F70" s="10"/>
      <c r="G70" s="384"/>
      <c r="H70" s="337" t="s">
        <v>98</v>
      </c>
      <c r="I70" s="176"/>
      <c r="J70" s="11"/>
      <c r="K70" s="177"/>
      <c r="L70" s="10"/>
      <c r="M70" s="10"/>
    </row>
    <row r="71" spans="1:13" x14ac:dyDescent="0.8">
      <c r="A71" s="178" t="s">
        <v>71</v>
      </c>
      <c r="B71" s="179" t="s">
        <v>99</v>
      </c>
      <c r="C71" s="11" t="s">
        <v>100</v>
      </c>
      <c r="E71" s="10"/>
      <c r="F71" s="10"/>
      <c r="G71" s="384"/>
      <c r="H71" s="178" t="s">
        <v>71</v>
      </c>
      <c r="I71" s="179" t="s">
        <v>101</v>
      </c>
      <c r="J71" s="11" t="s">
        <v>100</v>
      </c>
      <c r="K71" s="10"/>
      <c r="L71" s="10"/>
      <c r="M71" s="10"/>
    </row>
    <row r="72" spans="1:13" x14ac:dyDescent="0.8">
      <c r="A72" s="180" t="s">
        <v>102</v>
      </c>
      <c r="B72" s="197">
        <v>0</v>
      </c>
      <c r="C72" s="181" t="s">
        <v>103</v>
      </c>
      <c r="D72" s="10"/>
      <c r="E72" s="10"/>
      <c r="F72" s="10"/>
      <c r="G72" s="384"/>
      <c r="H72" s="180" t="s">
        <v>104</v>
      </c>
      <c r="I72" s="197">
        <v>0</v>
      </c>
      <c r="J72" s="322" t="s">
        <v>103</v>
      </c>
      <c r="K72" s="10"/>
      <c r="L72" s="10"/>
      <c r="M72" s="10"/>
    </row>
    <row r="73" spans="1:13" ht="30" customHeight="1" x14ac:dyDescent="0.8">
      <c r="A73" s="345" t="s">
        <v>183</v>
      </c>
      <c r="B73" s="182"/>
      <c r="C73" s="182"/>
      <c r="D73" s="182"/>
      <c r="E73" s="182"/>
      <c r="F73" s="182"/>
      <c r="G73" s="384"/>
      <c r="H73" s="182"/>
      <c r="I73" s="182"/>
      <c r="J73" s="182"/>
      <c r="K73" s="182"/>
      <c r="L73" s="182"/>
      <c r="M73" s="182"/>
    </row>
    <row r="74" spans="1:13" s="184" customFormat="1" x14ac:dyDescent="0.8">
      <c r="A74" s="358" t="s">
        <v>182</v>
      </c>
      <c r="B74" s="183"/>
      <c r="C74" s="183"/>
      <c r="D74" s="183"/>
      <c r="E74" s="183"/>
      <c r="F74" s="183"/>
      <c r="G74" s="384"/>
      <c r="H74" s="183"/>
      <c r="I74" s="183"/>
      <c r="J74" s="183"/>
      <c r="K74" s="183"/>
      <c r="L74" s="183"/>
      <c r="M74" s="183"/>
    </row>
    <row r="75" spans="1:13" x14ac:dyDescent="0.8">
      <c r="A75" s="380" t="s">
        <v>24</v>
      </c>
      <c r="B75" s="380"/>
      <c r="C75" s="380"/>
      <c r="D75" s="380"/>
      <c r="E75" s="380"/>
      <c r="F75" s="380"/>
      <c r="G75" s="380"/>
      <c r="H75" s="380"/>
      <c r="I75" s="380"/>
      <c r="J75" s="380"/>
      <c r="K75" s="380"/>
      <c r="L75" s="380"/>
      <c r="M75" s="380"/>
    </row>
  </sheetData>
  <sheetProtection algorithmName="SHA-512" hashValue="nIn+LthHSMYqzW4Uh44orXqjfUmPHN1gJslA2Pop/sNiUOu9v7fpshTCPQqH8633usl1+rss2aDGVD8LG3OddA==" saltValue="IGqkrU9/67E8pbsIcezaQQ==" spinCount="100000" sheet="1" formatColumns="0" formatRows="0"/>
  <mergeCells count="14">
    <mergeCell ref="A75:M75"/>
    <mergeCell ref="A64:B64"/>
    <mergeCell ref="H64:I64"/>
    <mergeCell ref="A23:F23"/>
    <mergeCell ref="H23:M23"/>
    <mergeCell ref="A33:C33"/>
    <mergeCell ref="H33:J33"/>
    <mergeCell ref="A44:C44"/>
    <mergeCell ref="H44:J44"/>
    <mergeCell ref="G1:G74"/>
    <mergeCell ref="A54:B54"/>
    <mergeCell ref="H54:I54"/>
    <mergeCell ref="A69:B69"/>
    <mergeCell ref="H69:I69"/>
  </mergeCells>
  <conditionalFormatting sqref="A55">
    <cfRule type="containsText" dxfId="192" priority="2" operator="containsText" text="not valid">
      <formula>NOT(ISERROR(SEARCH("not valid",A55)))</formula>
    </cfRule>
  </conditionalFormatting>
  <conditionalFormatting sqref="H55">
    <cfRule type="containsText" dxfId="191" priority="1" operator="containsText" text="not valid">
      <formula>NOT(ISERROR(SEARCH("not valid",H55)))</formula>
    </cfRule>
  </conditionalFormatting>
  <dataValidations count="1">
    <dataValidation type="list" allowBlank="1" showInputMessage="1" showErrorMessage="1" sqref="B38:B42 I38:I42" xr:uid="{00000000-0002-0000-1500-000000000000}">
      <formula1>Exception_c</formula1>
    </dataValidation>
  </dataValidations>
  <hyperlinks>
    <hyperlink ref="C72" r:id="rId1" xr:uid="{00000000-0004-0000-1500-000000000000}"/>
    <hyperlink ref="J72" r:id="rId2" xr:uid="{4CEE4007-619F-4424-84AC-6E2EC446210A}"/>
    <hyperlink ref="A74" r:id="rId3" xr:uid="{5B2D6C84-19C2-4A1A-AB47-ABC68E7BEBA1}"/>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0070C0"/>
  </sheetPr>
  <dimension ref="A1:F43"/>
  <sheetViews>
    <sheetView showGridLines="0" workbookViewId="0">
      <selection activeCell="A5" sqref="A5"/>
    </sheetView>
  </sheetViews>
  <sheetFormatPr defaultColWidth="0" defaultRowHeight="14.75" zeroHeight="1" x14ac:dyDescent="0.75"/>
  <cols>
    <col min="1" max="1" width="43.40625" bestFit="1" customWidth="1"/>
    <col min="2" max="5" width="33.7265625" customWidth="1"/>
    <col min="6" max="6" width="0.86328125" customWidth="1"/>
    <col min="7" max="16384" width="9.1328125" hidden="1"/>
  </cols>
  <sheetData>
    <row r="1" spans="1:5" ht="21" x14ac:dyDescent="1">
      <c r="A1" s="302" t="str">
        <f>CONCATENATE("Summary of Year 6: State Fiscal Year ",'2. Getting Started'!B6+5)</f>
        <v>Summary of Year 6: State Fiscal Year 2029</v>
      </c>
      <c r="B1" s="300"/>
      <c r="C1" s="300"/>
      <c r="D1" s="21" t="s">
        <v>14</v>
      </c>
      <c r="E1" s="20" t="str">
        <f>IF('2. Getting Started'!B2="","",'2. Getting Started'!B2)</f>
        <v/>
      </c>
    </row>
    <row r="2" spans="1:5" ht="18.5" x14ac:dyDescent="0.9">
      <c r="A2" s="2" t="str">
        <f>CONCATENATE("State fiscal year ",'2. Getting Started'!B6+5," covers the period ",'2. Getting Started'!B4,", ",'2. Getting Started'!B6+4," through ",'2. Getting Started'!B5,", ",'2. Getting Started'!B6+5)</f>
        <v>State fiscal year 2029 covers the period July 1, 2028 through June 30, 2029</v>
      </c>
      <c r="B2" s="300"/>
      <c r="C2" s="300"/>
      <c r="D2" s="301"/>
      <c r="E2" s="300"/>
    </row>
    <row r="3" spans="1:5" ht="18.5" x14ac:dyDescent="0.9">
      <c r="A3" s="8"/>
      <c r="B3" s="18"/>
      <c r="C3" s="18"/>
      <c r="D3" s="201"/>
      <c r="E3" s="18"/>
    </row>
    <row r="4" spans="1:5" ht="16" x14ac:dyDescent="0.8">
      <c r="A4" s="5" t="s">
        <v>7</v>
      </c>
      <c r="B4" s="4"/>
      <c r="C4" s="4"/>
      <c r="D4" s="4"/>
      <c r="E4" s="4"/>
    </row>
    <row r="5" spans="1:5" x14ac:dyDescent="0.75">
      <c r="A5" s="260" t="s">
        <v>125</v>
      </c>
      <c r="B5" s="244" t="s">
        <v>0</v>
      </c>
      <c r="C5" s="244" t="s">
        <v>2</v>
      </c>
      <c r="D5" s="244" t="s">
        <v>3</v>
      </c>
      <c r="E5" s="245" t="s">
        <v>4</v>
      </c>
    </row>
    <row r="6" spans="1:5" x14ac:dyDescent="0.75">
      <c r="A6" s="243" t="s">
        <v>44</v>
      </c>
      <c r="B6" s="3" t="str">
        <f>IF('2. Getting Started'!B10="","",IF('38. Total Local Funds'!F38="Met",'2. Getting Started'!$B$6+3,IF('38. Total Local Funds'!F30="Met",'2. Getting Started'!$B$6+2,IF('38. Total Local Funds'!$F22="Met",'2. Getting Started'!$B$6+1,IF('38. Total Local Funds'!$F14="Met",'2. Getting Started'!$B$6,'2. Getting Started'!$B10)))))</f>
        <v/>
      </c>
      <c r="C6" s="3" t="str">
        <f>IF('2. Getting Started'!B11="","",IF('39. Total State &amp; Local Funds'!F38="Met",'2. Getting Started'!$B$6+3,IF('39. Total State &amp; Local Funds'!F30="Met",'2. Getting Started'!$B$6+2,IF('39. Total State &amp; Local Funds'!$F22="Met",'2. Getting Started'!$B$6+1,IF('39. Total State &amp; Local Funds'!$F14="Met",'2. Getting Started'!$B$6,'2. Getting Started'!$B11)))))</f>
        <v/>
      </c>
      <c r="D6" s="3" t="str">
        <f>IF('2. Getting Started'!B12="","",IF('40. Local Funds Per Capita'!F39="Met",'2. Getting Started'!$B$6+3,IF('40. Local Funds Per Capita'!F31="Met",'2. Getting Started'!$B$6+2,IF('40. Local Funds Per Capita'!$F23="Met",'2. Getting Started'!$B$6+1,IF('40. Local Funds Per Capita'!$F15="Met",'2. Getting Started'!$B$6,'2. Getting Started'!$B12)))))</f>
        <v/>
      </c>
      <c r="E6" s="257" t="str">
        <f>IF('2. Getting Started'!B13="","",IF('41. State &amp; Local Funds Per Cap'!F39="Met",'2. Getting Started'!$B$6+3,IF('41. State &amp; Local Funds Per Cap'!F31="Met",'2. Getting Started'!$B$6+2,IF('41. State &amp; Local Funds Per Cap'!$F23="Met",'2. Getting Started'!$B$6+1,IF('41. State &amp; Local Funds Per Cap'!$F15="Met",'2. Getting Started'!$B$6,'2. Getting Started'!$B13)))))</f>
        <v/>
      </c>
    </row>
    <row r="7" spans="1:5" x14ac:dyDescent="0.75">
      <c r="A7" s="243" t="s">
        <v>45</v>
      </c>
      <c r="B7" s="204" t="str">
        <f>IF(B6="","",IF(B6='2. Getting Started'!$B$6+3,'14. Year 4 Amounts'!K30,IF(B6='2. Getting Started'!$B$6+2,'11. Year 3 Amounts'!K30,IF(B6='2. Getting Started'!$B$6+1,'8. Year 2 Amounts'!K30,IF(B6='2. Getting Started'!$B$6,'5. Year 1 Amounts'!K30,'2. Getting Started'!$C10)))))</f>
        <v/>
      </c>
      <c r="C7" s="204" t="str">
        <f>IF(C6="","",IF(C6='2. Getting Started'!$B$6+3,'14. Year 4 Amounts'!M30,IF(C6='2. Getting Started'!$B$6+2,'11. Year 3 Amounts'!M30,IF(C6='2. Getting Started'!$B$6+1,'8. Year 2 Amounts'!M30,IF(C6='2. Getting Started'!$B$6,'5. Year 1 Amounts'!M30,'2. Getting Started'!$C11)))))</f>
        <v/>
      </c>
      <c r="D7" s="204" t="str">
        <f>IF(D6="","",IF(D6='2. Getting Started'!$B$6+3,'14. Year 4 Amounts'!K31,IF(D6='2. Getting Started'!$B$6+2,'11. Year 3 Amounts'!K31,IF(D6='2. Getting Started'!$B$6+1,'8. Year 2 Amounts'!K31,IF(D6='2. Getting Started'!$B$6,'5. Year 1 Amounts'!K31,'2. Getting Started'!$C12)))))</f>
        <v/>
      </c>
      <c r="E7" s="267" t="str">
        <f>IF(E6="","",IF(E6='2. Getting Started'!$B$6+3,'14. Year 4 Amounts'!M31,IF(E6='2. Getting Started'!$B$6+2,'11. Year 3 Amounts'!M31,IF(E6='2. Getting Started'!$B$6+1,'8. Year 2 Amounts'!M31,IF(E6='2. Getting Started'!$B$6,'5. Year 1 Amounts'!M31,'2. Getting Started'!$C13)))))</f>
        <v/>
      </c>
    </row>
    <row r="8" spans="1:5" x14ac:dyDescent="0.75">
      <c r="A8" s="243" t="s">
        <v>9</v>
      </c>
      <c r="B8" s="204" t="str">
        <f>'20. Year 6 Amounts'!D30</f>
        <v/>
      </c>
      <c r="C8" s="204" t="str">
        <f>'20. Year 6 Amounts'!F30</f>
        <v/>
      </c>
      <c r="D8" s="204" t="str">
        <f>'20. Year 6 Amounts'!D31</f>
        <v/>
      </c>
      <c r="E8" s="267" t="str">
        <f>'20. Year 6 Amounts'!F31</f>
        <v/>
      </c>
    </row>
    <row r="9" spans="1:5" x14ac:dyDescent="0.75">
      <c r="A9" s="243" t="s">
        <v>117</v>
      </c>
      <c r="B9" s="200" t="str">
        <f>IF(B8="","",IF(B8&gt;=B7,"Met",IF(AND(B8&lt;B7,'38. Total Local Funds'!$B54="Met"),"Met with Exceptions &amp; Adjustments","Did Not Meet")))</f>
        <v/>
      </c>
      <c r="C9" s="200" t="str">
        <f>IF(C8="","",IF(C8&gt;=C7,"Met",IF(AND(C8&lt;C7,'39. Total State &amp; Local Funds'!$B54="Met"),"Met with Exceptions &amp; Adjustments","Did Not Meet")))</f>
        <v/>
      </c>
      <c r="D9" s="200" t="str">
        <f>IF(D8="","",IF(D8&gt;=D7,"Met",IF(AND(D8&lt;D7,'40. Local Funds Per Capita'!$B55="Met"),"Met with Exceptions &amp; Adjustments","Did Not Meet")))</f>
        <v/>
      </c>
      <c r="E9" s="259" t="str">
        <f>IF(E8="","",IF(E8&gt;=E7,"Met",IF(AND(E8&lt;E7,'41. State &amp; Local Funds Per Cap'!$B55="Met"),"Met with Exceptions &amp; Adjustments","Did Not Meet")))</f>
        <v/>
      </c>
    </row>
    <row r="10" spans="1:5" x14ac:dyDescent="0.75">
      <c r="A10" s="246" t="s">
        <v>46</v>
      </c>
      <c r="B10" s="256" t="str">
        <f>IF(B9="","",IF(B9="Did Not Meet",'38. Total Local Funds'!$B52-'38. Total Local Funds'!$B53,0))</f>
        <v/>
      </c>
      <c r="C10" s="256" t="str">
        <f>IF(C9="","",IF(C9="Did Not Meet",'39. Total State &amp; Local Funds'!$B52-'39. Total State &amp; Local Funds'!$B53,0))</f>
        <v/>
      </c>
      <c r="D10" s="256" t="str">
        <f>IF(D9="","",IF(D9="Did Not Meet",(('40. Local Funds Per Capita'!$B53-'40. Local Funds Per Capita'!$B54)*'20. Year 6 Amounts'!B1),0))</f>
        <v/>
      </c>
      <c r="E10" s="261" t="str">
        <f>IF(E9="","",IF(E9="Did Not Meet",(('41. State &amp; Local Funds Per Cap'!$B53-'41. State &amp; Local Funds Per Cap'!$B54)*'20. Year 6 Amounts'!B1),0))</f>
        <v/>
      </c>
    </row>
    <row r="11" spans="1:5" x14ac:dyDescent="0.75">
      <c r="A11" s="373" t="s">
        <v>175</v>
      </c>
      <c r="B11" s="373"/>
      <c r="C11" s="373"/>
      <c r="D11" s="373"/>
      <c r="E11" s="373"/>
    </row>
    <row r="12" spans="1:5" ht="16" x14ac:dyDescent="0.8">
      <c r="A12" s="5" t="s">
        <v>10</v>
      </c>
      <c r="B12" s="5"/>
      <c r="C12" s="5"/>
      <c r="D12" s="5"/>
      <c r="E12" s="5"/>
    </row>
    <row r="13" spans="1:5" x14ac:dyDescent="0.75">
      <c r="A13" s="260" t="s">
        <v>125</v>
      </c>
      <c r="B13" s="244" t="s">
        <v>0</v>
      </c>
      <c r="C13" s="244" t="s">
        <v>2</v>
      </c>
      <c r="D13" s="244" t="s">
        <v>3</v>
      </c>
      <c r="E13" s="245" t="s">
        <v>4</v>
      </c>
    </row>
    <row r="14" spans="1:5" x14ac:dyDescent="0.75">
      <c r="A14" s="243" t="s">
        <v>44</v>
      </c>
      <c r="B14" s="3" t="str">
        <f>IF('2. Getting Started'!B10="","",IF('38. Total Local Funds'!F46="Met",'2. Getting Started'!B6+4,IF('38. Total Local Funds'!F38="Met",'2. Getting Started'!$B$6+3,IF('38. Total Local Funds'!F30="Met",'2. Getting Started'!$B$6+2,IF('38. Total Local Funds'!F22="Met",'2. Getting Started'!$B$6+1,IF('38. Total Local Funds'!$F14="Met",'2. Getting Started'!$B$6,'2. Getting Started'!$B10))))))</f>
        <v/>
      </c>
      <c r="C14" s="3" t="str">
        <f>IF('2. Getting Started'!B11="","",IF('39.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14" s="3" t="str">
        <f>IF('2. Getting Started'!B12="","",IF('40.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14" s="257" t="str">
        <f>IF('2. Getting Started'!B13="","",IF('41.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15" spans="1:5" x14ac:dyDescent="0.75">
      <c r="A15" s="243" t="s">
        <v>45</v>
      </c>
      <c r="B15" s="17" t="str">
        <f>IF(B14="","",IF(B14='2. Getting Started'!B6+4,'17. Year 5 Amounts'!K30,IF(B14='2. Getting Started'!$B$6+3,'14. Year 4 Amounts'!K30,IF(B14='2. Getting Started'!$B$6+2,'11. Year 3 Amounts'!K30,IF(B14='2. Getting Started'!$B$6+1,'8. Year 2 Amounts'!K30,IF(B14='2. Getting Started'!$B$6,'5. Year 1 Amounts'!K30,'2. Getting Started'!$C10))))))</f>
        <v/>
      </c>
      <c r="C15" s="17" t="str">
        <f>IF(C14="","",IF(C14='2. Getting Started'!B6+4,'17. Year 5 Amounts'!M30,IF(C14='2. Getting Started'!$B$6+3,'14. Year 4 Amounts'!M30,IF(C14='2. Getting Started'!$B$6+2,'11. Year 3 Amounts'!M30,IF(C14='2. Getting Started'!$B$6+1,'8. Year 2 Amounts'!M30,IF(C14='2. Getting Started'!$B$6,'5. Year 1 Amounts'!M30,'2. Getting Started'!$C11))))))</f>
        <v/>
      </c>
      <c r="D15" s="17" t="str">
        <f>IF(D14="","",IF(D14='2. Getting Started'!B6+4,'17. Year 5 Amounts'!K31,IF(D14='2. Getting Started'!$B$6+3,'14. Year 4 Amounts'!K31,IF(D14='2. Getting Started'!$B$6+2,'11. Year 3 Amounts'!K31,IF(D14='2. Getting Started'!$B$6+1,'8. Year 2 Amounts'!K31,IF(D14='2. Getting Started'!$B$6,'5. Year 1 Amounts'!K31,'2. Getting Started'!$C12))))))</f>
        <v/>
      </c>
      <c r="E15" s="258" t="str">
        <f>IF(E14="","",IF(E14='2. Getting Started'!B6+4,'17. Year 5 Amounts'!M31,IF(E14='2. Getting Started'!$B$6+3,'14. Year 4 Amounts'!M31,IF(E14='2. Getting Started'!$B$6+2,'11. Year 3 Amounts'!M31,IF(E14='2. Getting Started'!$B$6+1,'8. Year 2 Amounts'!M31,IF(E14='2. Getting Started'!$B$6,'5. Year 1 Amounts'!M31,'2. Getting Started'!$C13))))))</f>
        <v/>
      </c>
    </row>
    <row r="16" spans="1:5" x14ac:dyDescent="0.75">
      <c r="A16" s="243" t="s">
        <v>11</v>
      </c>
      <c r="B16" s="17" t="str">
        <f>'20. Year 6 Amounts'!K30</f>
        <v/>
      </c>
      <c r="C16" s="17" t="str">
        <f>'20. Year 6 Amounts'!M30</f>
        <v/>
      </c>
      <c r="D16" s="17" t="str">
        <f>'20. Year 6 Amounts'!K31</f>
        <v/>
      </c>
      <c r="E16" s="258" t="str">
        <f>'20. Year 6 Amounts'!M31</f>
        <v/>
      </c>
    </row>
    <row r="17" spans="1:5" x14ac:dyDescent="0.75">
      <c r="A17" s="243" t="s">
        <v>117</v>
      </c>
      <c r="B17" s="200" t="str">
        <f>IF(B16="","",IF(B16&gt;=B15,"Met",IF(AND(B16&lt;B15,'38. Total Local Funds'!F54="Met"),"Met with Exceptions &amp; Adjustments","Did Not Meet")))</f>
        <v/>
      </c>
      <c r="C17" s="200" t="str">
        <f>IF(C16="","",IF(C16&gt;=C15,"Met",IF(AND(C16&lt;C15,'39. Total State &amp; Local Funds'!F54="Met"),"Met with Exceptions &amp; Adjustments","Did Not Meet")))</f>
        <v/>
      </c>
      <c r="D17" s="200" t="str">
        <f>IF(D16="","",IF(D16&gt;=D15,"Met",IF(AND(D16&lt;D15,'40. Local Funds Per Capita'!F55="Met"),"Met with Exceptions &amp; Adjustments","Did Not Meet")))</f>
        <v/>
      </c>
      <c r="E17" s="259" t="str">
        <f>IF(E16="","",IF(E16&gt;=E15,"Met",IF(AND(E16&lt;E15,'41. State &amp; Local Funds Per Cap'!F55="Met"),"Met with Exceptions &amp; Adjustments","Did Not Meet")))</f>
        <v/>
      </c>
    </row>
    <row r="18" spans="1:5" x14ac:dyDescent="0.75">
      <c r="A18" s="246" t="s">
        <v>46</v>
      </c>
      <c r="B18" s="256" t="str">
        <f>IF(B17="","",IF(B17="Did Not Meet",'38. Total Local Funds'!F52-'38. Total Local Funds'!F53,0))</f>
        <v/>
      </c>
      <c r="C18" s="256" t="str">
        <f>IF(C17="","",IF(C17="Did Not Meet",'39. Total State &amp; Local Funds'!F52-'39. Total State &amp; Local Funds'!F53,0))</f>
        <v/>
      </c>
      <c r="D18" s="256" t="str">
        <f>IF(D17="","",IF(D17="Did Not Meet",(('40. Local Funds Per Capita'!F53-'40. Local Funds Per Capita'!F54)*'20. Year 6 Amounts'!I1),0))</f>
        <v/>
      </c>
      <c r="E18" s="261" t="str">
        <f>IF(E17="","",IF(E17="Did Not Meet",(('41. State &amp; Local Funds Per Cap'!F53-'41. State &amp; Local Funds Per Cap'!F54)*'20. Year 6 Amounts'!I1),0))</f>
        <v/>
      </c>
    </row>
    <row r="19" spans="1:5" x14ac:dyDescent="0.75">
      <c r="A19" s="373" t="s">
        <v>175</v>
      </c>
      <c r="B19" s="373"/>
      <c r="C19" s="373"/>
      <c r="D19" s="373"/>
      <c r="E19" s="373"/>
    </row>
    <row r="20" spans="1:5" ht="16" x14ac:dyDescent="0.8">
      <c r="A20" s="198"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9"/>
    </row>
    <row r="21" spans="1:5" x14ac:dyDescent="0.75">
      <c r="A21" s="260" t="s">
        <v>126</v>
      </c>
      <c r="B21" s="271" t="s">
        <v>132</v>
      </c>
    </row>
    <row r="22" spans="1:5" x14ac:dyDescent="0.75">
      <c r="A22" s="243" t="s">
        <v>110</v>
      </c>
      <c r="B22" s="272"/>
    </row>
    <row r="23" spans="1:5" x14ac:dyDescent="0.75">
      <c r="A23" s="243" t="s">
        <v>111</v>
      </c>
      <c r="B23" s="272"/>
    </row>
    <row r="24" spans="1:5" x14ac:dyDescent="0.75">
      <c r="A24" s="243" t="s">
        <v>112</v>
      </c>
      <c r="B24" s="258">
        <f>B22+B23</f>
        <v>0</v>
      </c>
    </row>
    <row r="25" spans="1:5" x14ac:dyDescent="0.75">
      <c r="A25" s="243" t="s">
        <v>113</v>
      </c>
      <c r="B25" s="258">
        <f>MIN(B24,B18,C18,D18,E18)</f>
        <v>0</v>
      </c>
    </row>
    <row r="26" spans="1:5" x14ac:dyDescent="0.75">
      <c r="A26" s="243" t="s">
        <v>114</v>
      </c>
      <c r="B26" s="263"/>
    </row>
    <row r="27" spans="1:5" x14ac:dyDescent="0.75">
      <c r="A27" s="246" t="s">
        <v>115</v>
      </c>
      <c r="B27" s="264"/>
    </row>
    <row r="28" spans="1:5" x14ac:dyDescent="0.75">
      <c r="A28" s="373" t="s">
        <v>175</v>
      </c>
      <c r="B28" s="373"/>
      <c r="C28" s="373"/>
      <c r="D28" s="373"/>
      <c r="E28" s="373"/>
    </row>
    <row r="29" spans="1:5" ht="16" x14ac:dyDescent="0.8">
      <c r="A29" s="322" t="s">
        <v>149</v>
      </c>
    </row>
    <row r="30" spans="1:5" x14ac:dyDescent="0.75">
      <c r="A30" s="373" t="s">
        <v>175</v>
      </c>
      <c r="B30" s="373"/>
      <c r="C30" s="373"/>
      <c r="D30" s="373"/>
      <c r="E30" s="373"/>
    </row>
    <row r="31" spans="1:5" x14ac:dyDescent="0.75">
      <c r="A31" s="2" t="str">
        <f>CONCATENATE("Exceptions and Adjustment Claimed for State Fiscal Year ",'2. Getting Started'!B6+5)</f>
        <v>Exceptions and Adjustment Claimed for State Fiscal Year 2029</v>
      </c>
    </row>
    <row r="32" spans="1:5" x14ac:dyDescent="0.75">
      <c r="A32" s="2"/>
      <c r="B32" s="323" t="s">
        <v>148</v>
      </c>
      <c r="C32" s="4"/>
      <c r="D32" s="323" t="s">
        <v>152</v>
      </c>
      <c r="E32" s="4"/>
    </row>
    <row r="33" spans="1:5" x14ac:dyDescent="0.75">
      <c r="A33" s="217" t="s">
        <v>151</v>
      </c>
      <c r="B33" s="324" t="s">
        <v>155</v>
      </c>
      <c r="C33" s="325" t="s">
        <v>156</v>
      </c>
      <c r="D33" s="326" t="s">
        <v>153</v>
      </c>
      <c r="E33" s="325" t="s">
        <v>154</v>
      </c>
    </row>
    <row r="34" spans="1:5" x14ac:dyDescent="0.75">
      <c r="A34" s="223" t="s">
        <v>140</v>
      </c>
      <c r="B34" s="17">
        <f>'21. Year 6 Exc &amp; Adj'!F22</f>
        <v>0</v>
      </c>
      <c r="C34" s="258">
        <f>'21. Year 6 Exc &amp; Adj'!F22</f>
        <v>0</v>
      </c>
      <c r="D34" s="327">
        <f>'21. Year 6 Exc &amp; Adj'!M22</f>
        <v>0</v>
      </c>
      <c r="E34" s="17">
        <f>'21. Year 6 Exc &amp; Adj'!M22</f>
        <v>0</v>
      </c>
    </row>
    <row r="35" spans="1:5" x14ac:dyDescent="0.75">
      <c r="A35" s="223" t="s">
        <v>141</v>
      </c>
      <c r="B35" s="17" t="str">
        <f>'21. Year 6 Exc &amp; Adj'!B32</f>
        <v/>
      </c>
      <c r="C35" s="258" t="str">
        <f>'21. Year 6 Exc &amp; Adj'!C32</f>
        <v/>
      </c>
      <c r="D35" s="327" t="str">
        <f>'21. Year 6 Exc &amp; Adj'!I32</f>
        <v/>
      </c>
      <c r="E35" s="258" t="str">
        <f>'21. Year 6 Exc &amp; Adj'!J32</f>
        <v/>
      </c>
    </row>
    <row r="36" spans="1:5" x14ac:dyDescent="0.75">
      <c r="A36" s="223" t="s">
        <v>142</v>
      </c>
      <c r="B36" s="17">
        <f>'21. Year 6 Exc &amp; Adj'!C43</f>
        <v>0</v>
      </c>
      <c r="C36" s="258">
        <f>'21. Year 6 Exc &amp; Adj'!C43</f>
        <v>0</v>
      </c>
      <c r="D36" s="327">
        <f>'21. Year 6 Exc &amp; Adj'!J43</f>
        <v>0</v>
      </c>
      <c r="E36" s="17">
        <f>'21. Year 6 Exc &amp; Adj'!J43</f>
        <v>0</v>
      </c>
    </row>
    <row r="37" spans="1:5" x14ac:dyDescent="0.75">
      <c r="A37" s="223" t="s">
        <v>143</v>
      </c>
      <c r="B37" s="17">
        <f>'21. Year 6 Exc &amp; Adj'!B53</f>
        <v>0</v>
      </c>
      <c r="C37" s="258">
        <f>'21. Year 6 Exc &amp; Adj'!B53</f>
        <v>0</v>
      </c>
      <c r="D37" s="327">
        <f>'21. Year 6 Exc &amp; Adj'!I53</f>
        <v>0</v>
      </c>
      <c r="E37" s="17">
        <f>'21. Year 6 Exc &amp; Adj'!I53</f>
        <v>0</v>
      </c>
    </row>
    <row r="38" spans="1:5" x14ac:dyDescent="0.75">
      <c r="A38" s="223" t="str">
        <f>IF('3b. High Cost Fund'!B8="No","This exception is not valid for your state.","Exception (e)")</f>
        <v>This exception is not valid for your state.</v>
      </c>
      <c r="B38" s="332" t="str">
        <f>IF('3b. High Cost Fund'!B8="No","",'21. Year 6 Exc &amp; Adj'!B63)</f>
        <v/>
      </c>
      <c r="C38" s="333" t="str">
        <f>IF('3b. High Cost Fund'!B8="No","",'21. Year 6 Exc &amp; Adj'!B63)</f>
        <v/>
      </c>
      <c r="D38" s="327" t="str">
        <f>IF('3b. High Cost Fund'!B8="No","",'21. Year 6 Exc &amp; Adj'!I63)</f>
        <v/>
      </c>
      <c r="E38" s="332" t="str">
        <f>IF('3b. High Cost Fund'!B8="No","",'21. Year 6 Exc &amp; Adj'!I63)</f>
        <v/>
      </c>
    </row>
    <row r="39" spans="1:5" x14ac:dyDescent="0.75">
      <c r="A39" s="223" t="s">
        <v>144</v>
      </c>
      <c r="B39" s="17">
        <f>AdjDataYear6Budget[Projected Adjustment]</f>
        <v>0</v>
      </c>
      <c r="C39" s="17">
        <f>AdjDataYear6Budget[Projected Adjustment]</f>
        <v>0</v>
      </c>
      <c r="D39" s="328">
        <f>AdjDataYear6Expenditures[[Adjustment ]]</f>
        <v>0</v>
      </c>
      <c r="E39" s="17">
        <f>AdjDataYear6Expenditures[[Adjustment ]]</f>
        <v>0</v>
      </c>
    </row>
    <row r="40" spans="1:5" x14ac:dyDescent="0.75">
      <c r="A40" s="246" t="s">
        <v>124</v>
      </c>
      <c r="B40" s="329">
        <f>SUM(B34:B39)</f>
        <v>0</v>
      </c>
      <c r="C40" s="330">
        <f>SUM(C34:C39)</f>
        <v>0</v>
      </c>
      <c r="D40" s="331">
        <f>SUM(D34:D39)</f>
        <v>0</v>
      </c>
      <c r="E40" s="330">
        <f>SUM(E34:E39)</f>
        <v>0</v>
      </c>
    </row>
    <row r="41" spans="1:5" ht="28.5" customHeight="1" x14ac:dyDescent="0.75">
      <c r="A41" s="345" t="s">
        <v>183</v>
      </c>
      <c r="B41" s="346"/>
      <c r="C41" s="346"/>
      <c r="D41" s="346"/>
      <c r="E41" s="346"/>
    </row>
    <row r="42" spans="1:5" ht="16" x14ac:dyDescent="0.8">
      <c r="A42" s="358" t="s">
        <v>182</v>
      </c>
    </row>
    <row r="43" spans="1:5" x14ac:dyDescent="0.75">
      <c r="A43" s="373" t="s">
        <v>24</v>
      </c>
      <c r="B43" s="373"/>
      <c r="C43" s="373"/>
      <c r="D43" s="373"/>
      <c r="E43" s="373"/>
    </row>
  </sheetData>
  <sheetProtection algorithmName="SHA-512" hashValue="mazHT2oskyZaSTY8p7Vi15RQHPkxsadqa5nyygFwbo67/2oK9HhjAYtcI2HUJ7aZeHNrwHvqkthErkHj6hKI3w==" saltValue="qU6tcTySXiGoQA+6poHQ7w==" spinCount="100000" sheet="1" objects="1" scenarios="1" formatColumns="0" formatRows="0"/>
  <mergeCells count="5">
    <mergeCell ref="A11:E11"/>
    <mergeCell ref="A19:E19"/>
    <mergeCell ref="A28:E28"/>
    <mergeCell ref="A30:E30"/>
    <mergeCell ref="A43:E43"/>
  </mergeCells>
  <conditionalFormatting sqref="B9:E9">
    <cfRule type="containsText" dxfId="190" priority="3" operator="containsText" text="Did Not Meet">
      <formula>NOT(ISERROR(SEARCH("Did Not Meet",B9)))</formula>
    </cfRule>
    <cfRule type="containsText" dxfId="189" priority="4" operator="containsText" text="Met">
      <formula>NOT(ISERROR(SEARCH("Met",B9)))</formula>
    </cfRule>
  </conditionalFormatting>
  <conditionalFormatting sqref="B17:E17">
    <cfRule type="containsText" dxfId="188" priority="1" operator="containsText" text="Did Not Meet">
      <formula>NOT(ISERROR(SEARCH("Did Not Meet",B17)))</formula>
    </cfRule>
    <cfRule type="containsText" dxfId="187" priority="2" operator="containsText" text="Met">
      <formula>NOT(ISERROR(SEARCH("Met",B17)))</formula>
    </cfRule>
  </conditionalFormatting>
  <hyperlinks>
    <hyperlink ref="A29" location="'4. Multi-Year MOE Summary'!A9" display="Go to the Multi-Year MOE Summary" xr:uid="{00000000-0004-0000-1600-000000000000}"/>
    <hyperlink ref="A42" r:id="rId1" xr:uid="{AC40E81F-4025-4EDB-84FD-4C63623806C0}"/>
  </hyperlinks>
  <pageMargins left="0.7" right="0.7" top="0.75" bottom="0.75" header="0.3" footer="0.3"/>
  <pageSetup orientation="landscape" verticalDpi="300" r:id="rId2"/>
  <tableParts count="4">
    <tablePart r:id="rId3"/>
    <tablePart r:id="rId4"/>
    <tablePart r:id="rId5"/>
    <tablePart r:id="rId6"/>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FF0000"/>
    <pageSetUpPr autoPageBreaks="0"/>
  </sheetPr>
  <dimension ref="A1:N35"/>
  <sheetViews>
    <sheetView showGridLines="0" workbookViewId="0">
      <pane ySplit="4" topLeftCell="A5" activePane="bottomLeft" state="frozen"/>
      <selection activeCell="A5" sqref="A5"/>
      <selection pane="bottomLeft" activeCell="A5" sqref="A5"/>
    </sheetView>
  </sheetViews>
  <sheetFormatPr defaultColWidth="0" defaultRowHeight="0" customHeight="1" zeroHeight="1" x14ac:dyDescent="0.75"/>
  <cols>
    <col min="1" max="1" width="39.40625" style="20" bestFit="1" customWidth="1"/>
    <col min="2" max="3" width="12.86328125" style="20" customWidth="1"/>
    <col min="4" max="6" width="23.7265625" style="20" customWidth="1"/>
    <col min="7" max="7" width="5.40625" style="20" customWidth="1"/>
    <col min="8" max="8" width="39.40625" style="20" customWidth="1"/>
    <col min="9" max="10" width="12.86328125" style="20" customWidth="1"/>
    <col min="11" max="13" width="23.7265625" style="20" customWidth="1"/>
    <col min="14" max="14" width="0.86328125" style="20" customWidth="1"/>
    <col min="15" max="16384" width="10.54296875" style="20" hidden="1"/>
  </cols>
  <sheetData>
    <row r="1" spans="1:13" ht="16.75" thickBot="1" x14ac:dyDescent="0.9">
      <c r="A1" s="19" t="s">
        <v>48</v>
      </c>
      <c r="B1" s="48"/>
      <c r="D1" s="21" t="s">
        <v>14</v>
      </c>
      <c r="E1" s="20" t="str">
        <f>IF('2. Getting Started'!B2="","",'2. Getting Started'!B2)</f>
        <v/>
      </c>
      <c r="G1" s="376" t="s">
        <v>22</v>
      </c>
      <c r="H1" s="19" t="s">
        <v>49</v>
      </c>
      <c r="I1" s="48"/>
      <c r="K1" s="21" t="s">
        <v>14</v>
      </c>
      <c r="L1" s="20" t="str">
        <f>IF('2. Getting Started'!B2="","",'2. Getting Started'!B2)</f>
        <v/>
      </c>
    </row>
    <row r="2" spans="1:13" s="25" customFormat="1" ht="37.9" customHeight="1" thickBot="1" x14ac:dyDescent="0.9">
      <c r="A2" s="22" t="str">
        <f>CONCATENATE("Eligibility Standard - State Fiscal Year ",'2. Getting Started'!B6+6," -  LEA Effort - Budgeted Amounts")</f>
        <v>Eligibility Standard - State Fiscal Year 2030 -  LEA Effort - Budgeted Amounts</v>
      </c>
      <c r="B2" s="23"/>
      <c r="C2" s="23"/>
      <c r="D2" s="23"/>
      <c r="E2" s="23"/>
      <c r="F2" s="24"/>
      <c r="G2" s="376"/>
      <c r="H2" s="22" t="str">
        <f>CONCATENATE("Compliance Standard - State Fiscal Year ",'2. Getting Started'!B6+6," - LEA Effort - Final Expenditures")</f>
        <v>Compliance Standard - State Fiscal Year 2030 - LEA Effort - Final Expenditures</v>
      </c>
      <c r="I2" s="23"/>
      <c r="J2" s="23"/>
      <c r="K2" s="23"/>
      <c r="L2" s="23"/>
      <c r="M2" s="24"/>
    </row>
    <row r="3" spans="1:13" s="25" customFormat="1" ht="24" customHeight="1" x14ac:dyDescent="0.75">
      <c r="A3" s="26"/>
      <c r="B3" s="27"/>
      <c r="D3" s="28" t="str">
        <f>CONCATENATE("SFY ",'2. Getting Started'!$B6+6," Budget")</f>
        <v>SFY 2030 Budget</v>
      </c>
      <c r="E3" s="29"/>
      <c r="F3" s="30"/>
      <c r="G3" s="376"/>
      <c r="H3" s="26"/>
      <c r="I3" s="27"/>
      <c r="J3" s="31"/>
      <c r="K3" s="28" t="str">
        <f>CONCATENATE("SFY ",'2. Getting Started'!$B6+6," Final Expenditures")</f>
        <v>SFY 2030 Final Expenditures</v>
      </c>
      <c r="L3" s="29"/>
      <c r="M3" s="32"/>
    </row>
    <row r="4" spans="1:13" s="37" customFormat="1" ht="18.5" x14ac:dyDescent="0.9">
      <c r="A4" s="33" t="s">
        <v>50</v>
      </c>
      <c r="B4" s="34" t="s">
        <v>51</v>
      </c>
      <c r="C4" s="35" t="s">
        <v>52</v>
      </c>
      <c r="D4" s="36" t="s">
        <v>53</v>
      </c>
      <c r="E4" s="36" t="s">
        <v>54</v>
      </c>
      <c r="F4" s="36" t="s">
        <v>8</v>
      </c>
      <c r="G4" s="376"/>
      <c r="H4" s="33" t="s">
        <v>50</v>
      </c>
      <c r="I4" s="34" t="s">
        <v>55</v>
      </c>
      <c r="J4" s="35" t="s">
        <v>52</v>
      </c>
      <c r="K4" s="36" t="s">
        <v>53</v>
      </c>
      <c r="L4" s="36" t="s">
        <v>54</v>
      </c>
      <c r="M4" s="36" t="s">
        <v>8</v>
      </c>
    </row>
    <row r="5" spans="1:13" ht="16" x14ac:dyDescent="0.75">
      <c r="A5" s="49"/>
      <c r="B5" s="50"/>
      <c r="C5" s="51"/>
      <c r="D5" s="52"/>
      <c r="E5" s="52"/>
      <c r="F5" s="38" t="str">
        <f>IF(AND(D5="",E5=""),"",SUM(D5:E5))</f>
        <v/>
      </c>
      <c r="G5" s="376"/>
      <c r="H5" s="49"/>
      <c r="I5" s="50"/>
      <c r="J5" s="51"/>
      <c r="K5" s="52"/>
      <c r="L5" s="52"/>
      <c r="M5" s="38" t="str">
        <f>IF(AND(K5="",L5=""),"",SUM(K5:L5))</f>
        <v/>
      </c>
    </row>
    <row r="6" spans="1:13" ht="16" x14ac:dyDescent="0.75">
      <c r="A6" s="49"/>
      <c r="B6" s="50"/>
      <c r="C6" s="51"/>
      <c r="D6" s="52"/>
      <c r="E6" s="52"/>
      <c r="F6" s="38" t="str">
        <f t="shared" ref="F6:F29" si="0">IF(AND(D6="",E6=""),"",SUM(D6:E6))</f>
        <v/>
      </c>
      <c r="G6" s="376"/>
      <c r="H6" s="49"/>
      <c r="I6" s="50"/>
      <c r="J6" s="51"/>
      <c r="K6" s="52"/>
      <c r="L6" s="52"/>
      <c r="M6" s="38" t="str">
        <f t="shared" ref="M6:M29" si="1">IF(AND(K6="",L6=""),"",SUM(K6:L6))</f>
        <v/>
      </c>
    </row>
    <row r="7" spans="1:13" ht="16" x14ac:dyDescent="0.75">
      <c r="A7" s="49"/>
      <c r="B7" s="50"/>
      <c r="C7" s="51"/>
      <c r="D7" s="52"/>
      <c r="E7" s="52"/>
      <c r="F7" s="38" t="str">
        <f t="shared" si="0"/>
        <v/>
      </c>
      <c r="G7" s="376"/>
      <c r="H7" s="49"/>
      <c r="I7" s="50"/>
      <c r="J7" s="51"/>
      <c r="K7" s="52"/>
      <c r="L7" s="52"/>
      <c r="M7" s="38" t="str">
        <f t="shared" si="1"/>
        <v/>
      </c>
    </row>
    <row r="8" spans="1:13" ht="16" x14ac:dyDescent="0.75">
      <c r="A8" s="49"/>
      <c r="B8" s="50"/>
      <c r="C8" s="51"/>
      <c r="D8" s="52"/>
      <c r="E8" s="52"/>
      <c r="F8" s="38" t="str">
        <f t="shared" si="0"/>
        <v/>
      </c>
      <c r="G8" s="376"/>
      <c r="H8" s="49"/>
      <c r="I8" s="50"/>
      <c r="J8" s="51"/>
      <c r="K8" s="52"/>
      <c r="L8" s="52"/>
      <c r="M8" s="38" t="str">
        <f t="shared" si="1"/>
        <v/>
      </c>
    </row>
    <row r="9" spans="1:13" ht="16" x14ac:dyDescent="0.75">
      <c r="A9" s="49"/>
      <c r="B9" s="50"/>
      <c r="C9" s="51"/>
      <c r="D9" s="52"/>
      <c r="E9" s="52"/>
      <c r="F9" s="38" t="str">
        <f t="shared" si="0"/>
        <v/>
      </c>
      <c r="G9" s="376"/>
      <c r="H9" s="49"/>
      <c r="I9" s="50"/>
      <c r="J9" s="51"/>
      <c r="K9" s="52"/>
      <c r="L9" s="52"/>
      <c r="M9" s="38" t="str">
        <f t="shared" si="1"/>
        <v/>
      </c>
    </row>
    <row r="10" spans="1:13" ht="16" x14ac:dyDescent="0.75">
      <c r="A10" s="49"/>
      <c r="B10" s="50"/>
      <c r="C10" s="51"/>
      <c r="D10" s="52"/>
      <c r="E10" s="52"/>
      <c r="F10" s="38" t="str">
        <f t="shared" si="0"/>
        <v/>
      </c>
      <c r="G10" s="376"/>
      <c r="H10" s="49"/>
      <c r="I10" s="50"/>
      <c r="J10" s="51"/>
      <c r="K10" s="52"/>
      <c r="L10" s="52"/>
      <c r="M10" s="38" t="str">
        <f t="shared" si="1"/>
        <v/>
      </c>
    </row>
    <row r="11" spans="1:13" ht="16" x14ac:dyDescent="0.75">
      <c r="A11" s="49"/>
      <c r="B11" s="50"/>
      <c r="C11" s="51"/>
      <c r="D11" s="52"/>
      <c r="E11" s="52"/>
      <c r="F11" s="38" t="str">
        <f t="shared" si="0"/>
        <v/>
      </c>
      <c r="G11" s="376"/>
      <c r="H11" s="49"/>
      <c r="I11" s="50"/>
      <c r="J11" s="51"/>
      <c r="K11" s="52"/>
      <c r="L11" s="52"/>
      <c r="M11" s="38" t="str">
        <f t="shared" si="1"/>
        <v/>
      </c>
    </row>
    <row r="12" spans="1:13" ht="16" x14ac:dyDescent="0.75">
      <c r="A12" s="49"/>
      <c r="B12" s="50"/>
      <c r="C12" s="51"/>
      <c r="D12" s="52"/>
      <c r="E12" s="52"/>
      <c r="F12" s="38" t="str">
        <f t="shared" si="0"/>
        <v/>
      </c>
      <c r="G12" s="376"/>
      <c r="H12" s="49"/>
      <c r="I12" s="50"/>
      <c r="J12" s="51"/>
      <c r="K12" s="52"/>
      <c r="L12" s="52"/>
      <c r="M12" s="38" t="str">
        <f t="shared" si="1"/>
        <v/>
      </c>
    </row>
    <row r="13" spans="1:13" ht="16" x14ac:dyDescent="0.75">
      <c r="A13" s="49"/>
      <c r="B13" s="50"/>
      <c r="C13" s="51"/>
      <c r="D13" s="52"/>
      <c r="E13" s="52"/>
      <c r="F13" s="38" t="str">
        <f t="shared" si="0"/>
        <v/>
      </c>
      <c r="G13" s="376"/>
      <c r="H13" s="49"/>
      <c r="I13" s="50"/>
      <c r="J13" s="51"/>
      <c r="K13" s="52"/>
      <c r="L13" s="52"/>
      <c r="M13" s="38" t="str">
        <f t="shared" si="1"/>
        <v/>
      </c>
    </row>
    <row r="14" spans="1:13" ht="16" x14ac:dyDescent="0.75">
      <c r="A14" s="49"/>
      <c r="B14" s="50"/>
      <c r="C14" s="51"/>
      <c r="D14" s="52"/>
      <c r="E14" s="52"/>
      <c r="F14" s="38" t="str">
        <f t="shared" si="0"/>
        <v/>
      </c>
      <c r="G14" s="376"/>
      <c r="H14" s="49"/>
      <c r="I14" s="50"/>
      <c r="J14" s="51"/>
      <c r="K14" s="52"/>
      <c r="L14" s="52"/>
      <c r="M14" s="38" t="str">
        <f t="shared" si="1"/>
        <v/>
      </c>
    </row>
    <row r="15" spans="1:13" ht="16" x14ac:dyDescent="0.75">
      <c r="A15" s="49"/>
      <c r="B15" s="50"/>
      <c r="C15" s="51"/>
      <c r="D15" s="52"/>
      <c r="E15" s="52"/>
      <c r="F15" s="38" t="str">
        <f t="shared" si="0"/>
        <v/>
      </c>
      <c r="G15" s="376"/>
      <c r="H15" s="49"/>
      <c r="I15" s="50"/>
      <c r="J15" s="51"/>
      <c r="K15" s="52"/>
      <c r="L15" s="52"/>
      <c r="M15" s="38" t="str">
        <f t="shared" si="1"/>
        <v/>
      </c>
    </row>
    <row r="16" spans="1:13" ht="16" x14ac:dyDescent="0.75">
      <c r="A16" s="49"/>
      <c r="B16" s="50"/>
      <c r="C16" s="51"/>
      <c r="D16" s="52"/>
      <c r="E16" s="52"/>
      <c r="F16" s="38" t="str">
        <f t="shared" si="0"/>
        <v/>
      </c>
      <c r="G16" s="376"/>
      <c r="H16" s="49"/>
      <c r="I16" s="50"/>
      <c r="J16" s="51"/>
      <c r="K16" s="52"/>
      <c r="L16" s="52"/>
      <c r="M16" s="38" t="str">
        <f t="shared" si="1"/>
        <v/>
      </c>
    </row>
    <row r="17" spans="1:13" ht="16" x14ac:dyDescent="0.75">
      <c r="A17" s="49"/>
      <c r="B17" s="50"/>
      <c r="C17" s="51"/>
      <c r="D17" s="52"/>
      <c r="E17" s="52"/>
      <c r="F17" s="38" t="str">
        <f t="shared" si="0"/>
        <v/>
      </c>
      <c r="G17" s="376"/>
      <c r="H17" s="49"/>
      <c r="I17" s="50"/>
      <c r="J17" s="51"/>
      <c r="K17" s="52"/>
      <c r="L17" s="52"/>
      <c r="M17" s="38" t="str">
        <f t="shared" si="1"/>
        <v/>
      </c>
    </row>
    <row r="18" spans="1:13" ht="16" x14ac:dyDescent="0.75">
      <c r="A18" s="49"/>
      <c r="B18" s="50"/>
      <c r="C18" s="51"/>
      <c r="D18" s="52"/>
      <c r="E18" s="52"/>
      <c r="F18" s="38" t="str">
        <f t="shared" si="0"/>
        <v/>
      </c>
      <c r="G18" s="376"/>
      <c r="H18" s="49"/>
      <c r="I18" s="50"/>
      <c r="J18" s="51"/>
      <c r="K18" s="52"/>
      <c r="L18" s="52"/>
      <c r="M18" s="38" t="str">
        <f t="shared" si="1"/>
        <v/>
      </c>
    </row>
    <row r="19" spans="1:13" ht="16" x14ac:dyDescent="0.75">
      <c r="A19" s="49"/>
      <c r="B19" s="50"/>
      <c r="C19" s="51"/>
      <c r="D19" s="52"/>
      <c r="E19" s="52"/>
      <c r="F19" s="38" t="str">
        <f t="shared" si="0"/>
        <v/>
      </c>
      <c r="G19" s="376"/>
      <c r="H19" s="49"/>
      <c r="I19" s="50"/>
      <c r="J19" s="51"/>
      <c r="K19" s="52"/>
      <c r="L19" s="52"/>
      <c r="M19" s="38" t="str">
        <f t="shared" si="1"/>
        <v/>
      </c>
    </row>
    <row r="20" spans="1:13" ht="16" x14ac:dyDescent="0.75">
      <c r="A20" s="49"/>
      <c r="B20" s="50"/>
      <c r="C20" s="51"/>
      <c r="D20" s="52"/>
      <c r="E20" s="52"/>
      <c r="F20" s="38" t="str">
        <f t="shared" si="0"/>
        <v/>
      </c>
      <c r="G20" s="376"/>
      <c r="H20" s="49"/>
      <c r="I20" s="50"/>
      <c r="J20" s="51"/>
      <c r="K20" s="52"/>
      <c r="L20" s="52"/>
      <c r="M20" s="38" t="str">
        <f t="shared" si="1"/>
        <v/>
      </c>
    </row>
    <row r="21" spans="1:13" ht="16" x14ac:dyDescent="0.75">
      <c r="A21" s="49"/>
      <c r="B21" s="50"/>
      <c r="C21" s="51"/>
      <c r="D21" s="52"/>
      <c r="E21" s="52"/>
      <c r="F21" s="38" t="str">
        <f t="shared" si="0"/>
        <v/>
      </c>
      <c r="G21" s="376"/>
      <c r="H21" s="49"/>
      <c r="I21" s="50"/>
      <c r="J21" s="51"/>
      <c r="K21" s="52"/>
      <c r="L21" s="52"/>
      <c r="M21" s="38" t="str">
        <f t="shared" si="1"/>
        <v/>
      </c>
    </row>
    <row r="22" spans="1:13" ht="16" x14ac:dyDescent="0.75">
      <c r="A22" s="49"/>
      <c r="B22" s="50"/>
      <c r="C22" s="51"/>
      <c r="D22" s="52"/>
      <c r="E22" s="52"/>
      <c r="F22" s="38" t="str">
        <f t="shared" si="0"/>
        <v/>
      </c>
      <c r="G22" s="376"/>
      <c r="H22" s="49"/>
      <c r="I22" s="50"/>
      <c r="J22" s="51"/>
      <c r="K22" s="52"/>
      <c r="L22" s="52"/>
      <c r="M22" s="38" t="str">
        <f t="shared" si="1"/>
        <v/>
      </c>
    </row>
    <row r="23" spans="1:13" ht="16" x14ac:dyDescent="0.75">
      <c r="A23" s="49"/>
      <c r="B23" s="50"/>
      <c r="C23" s="51"/>
      <c r="D23" s="52"/>
      <c r="E23" s="52"/>
      <c r="F23" s="38" t="str">
        <f t="shared" si="0"/>
        <v/>
      </c>
      <c r="G23" s="376"/>
      <c r="H23" s="49"/>
      <c r="I23" s="50"/>
      <c r="J23" s="51"/>
      <c r="K23" s="52"/>
      <c r="L23" s="52"/>
      <c r="M23" s="38" t="str">
        <f t="shared" si="1"/>
        <v/>
      </c>
    </row>
    <row r="24" spans="1:13" ht="16" x14ac:dyDescent="0.75">
      <c r="A24" s="49"/>
      <c r="B24" s="50"/>
      <c r="C24" s="51"/>
      <c r="D24" s="52"/>
      <c r="E24" s="52"/>
      <c r="F24" s="38" t="str">
        <f t="shared" si="0"/>
        <v/>
      </c>
      <c r="G24" s="376"/>
      <c r="H24" s="49"/>
      <c r="I24" s="50"/>
      <c r="J24" s="51"/>
      <c r="K24" s="52"/>
      <c r="L24" s="52"/>
      <c r="M24" s="38" t="str">
        <f t="shared" si="1"/>
        <v/>
      </c>
    </row>
    <row r="25" spans="1:13" ht="16" x14ac:dyDescent="0.75">
      <c r="A25" s="49"/>
      <c r="B25" s="50"/>
      <c r="C25" s="51"/>
      <c r="D25" s="52"/>
      <c r="E25" s="52"/>
      <c r="F25" s="38" t="str">
        <f t="shared" si="0"/>
        <v/>
      </c>
      <c r="G25" s="376"/>
      <c r="H25" s="49"/>
      <c r="I25" s="50"/>
      <c r="J25" s="51"/>
      <c r="K25" s="52"/>
      <c r="L25" s="52"/>
      <c r="M25" s="38" t="str">
        <f t="shared" si="1"/>
        <v/>
      </c>
    </row>
    <row r="26" spans="1:13" ht="16" x14ac:dyDescent="0.75">
      <c r="A26" s="49"/>
      <c r="B26" s="50"/>
      <c r="C26" s="51"/>
      <c r="D26" s="52"/>
      <c r="E26" s="52"/>
      <c r="F26" s="38" t="str">
        <f t="shared" si="0"/>
        <v/>
      </c>
      <c r="G26" s="376"/>
      <c r="H26" s="49"/>
      <c r="I26" s="50"/>
      <c r="J26" s="51"/>
      <c r="K26" s="52"/>
      <c r="L26" s="52"/>
      <c r="M26" s="38" t="str">
        <f t="shared" si="1"/>
        <v/>
      </c>
    </row>
    <row r="27" spans="1:13" ht="16" x14ac:dyDescent="0.75">
      <c r="A27" s="49"/>
      <c r="B27" s="50"/>
      <c r="C27" s="51"/>
      <c r="D27" s="52"/>
      <c r="E27" s="52"/>
      <c r="F27" s="38" t="str">
        <f t="shared" si="0"/>
        <v/>
      </c>
      <c r="G27" s="376"/>
      <c r="H27" s="49"/>
      <c r="I27" s="50"/>
      <c r="J27" s="51"/>
      <c r="K27" s="52"/>
      <c r="L27" s="52"/>
      <c r="M27" s="38" t="str">
        <f t="shared" si="1"/>
        <v/>
      </c>
    </row>
    <row r="28" spans="1:13" ht="16" x14ac:dyDescent="0.75">
      <c r="A28" s="49"/>
      <c r="B28" s="50"/>
      <c r="C28" s="51"/>
      <c r="D28" s="52"/>
      <c r="E28" s="52"/>
      <c r="F28" s="38" t="str">
        <f t="shared" si="0"/>
        <v/>
      </c>
      <c r="G28" s="376"/>
      <c r="H28" s="49"/>
      <c r="I28" s="50"/>
      <c r="J28" s="51"/>
      <c r="K28" s="52"/>
      <c r="L28" s="52"/>
      <c r="M28" s="38" t="str">
        <f t="shared" si="1"/>
        <v/>
      </c>
    </row>
    <row r="29" spans="1:13" ht="16.75" thickBot="1" x14ac:dyDescent="0.9">
      <c r="A29" s="53"/>
      <c r="B29" s="54"/>
      <c r="C29" s="55"/>
      <c r="D29" s="56"/>
      <c r="E29" s="56"/>
      <c r="F29" s="38" t="str">
        <f t="shared" si="0"/>
        <v/>
      </c>
      <c r="G29" s="376"/>
      <c r="H29" s="53"/>
      <c r="I29" s="54"/>
      <c r="J29" s="55"/>
      <c r="K29" s="56"/>
      <c r="L29" s="56"/>
      <c r="M29" s="38" t="str">
        <f t="shared" si="1"/>
        <v/>
      </c>
    </row>
    <row r="30" spans="1:13" ht="19.25" thickBot="1" x14ac:dyDescent="0.9">
      <c r="A30" s="39"/>
      <c r="B30" s="40"/>
      <c r="C30" s="41" t="s">
        <v>56</v>
      </c>
      <c r="D30" s="42" t="str">
        <f>IF(AND(D5="",D6="",D7="",D8="",D9="",D10="",D11="",D12="",D13="",D14="",D15="",D16="",D17="",D18="",D19="",D20="",D21="",D22="",D23="",D24="",D25="",D26="",D27="",D28="",D29=""),"",SUM(D5:D29))</f>
        <v/>
      </c>
      <c r="E30" s="43"/>
      <c r="F30" s="42" t="str">
        <f>IF(AND(F5="",F6="",F7="",F8="",F9="",F10="",F11="",F12="",F13="",F14="",F15="",F16="",F17="",F18="",F19="",F20="",F21="",F22="",F23="",F24="",F25="",F26="",F27="",F28="",F29=""),"",SUM(F5:F29))</f>
        <v/>
      </c>
      <c r="G30" s="376"/>
      <c r="H30" s="39"/>
      <c r="I30" s="40"/>
      <c r="J30" s="41" t="s">
        <v>56</v>
      </c>
      <c r="K30" s="42" t="str">
        <f>IF(AND(K5="",K6="",K7="",K8="",K9="",K10="",K11="",K12="",K13="",K14="",K15="",K16="",K17="",K18="",K19="",K20="",K21="",K22="",K23="",K24="",K25="",K26="",K27="",K28="",K29=""),"",SUM(K5:K29))</f>
        <v/>
      </c>
      <c r="L30" s="43"/>
      <c r="M30" s="42" t="str">
        <f>IF(AND(M5="",M6="",M7="",M8="",M9="",M10="",M11="",M12="",M13="",M14="",M15="",M16="",M17="",M18="",M19="",M20="",M21="",M22="",M23="",M24="",M25="",M26="",M27="",M28="",M29=""),"",SUM(M5:M29))</f>
        <v/>
      </c>
    </row>
    <row r="31" spans="1:13" ht="19.25" thickBot="1" x14ac:dyDescent="0.9">
      <c r="A31" s="39"/>
      <c r="B31" s="39"/>
      <c r="C31" s="44" t="s">
        <v>57</v>
      </c>
      <c r="D31" s="42" t="str">
        <f>IF(OR($B1="",D30=""),"",(D30/$B1))</f>
        <v/>
      </c>
      <c r="E31" s="39"/>
      <c r="F31" s="42" t="str">
        <f>IF(OR($B1="",F30=""),"",(F30/$B1))</f>
        <v/>
      </c>
      <c r="G31" s="376"/>
      <c r="H31" s="39"/>
      <c r="I31" s="39"/>
      <c r="J31" s="44" t="s">
        <v>57</v>
      </c>
      <c r="K31" s="42" t="str">
        <f>IF(OR($I1="",K30=""),"",(K30/$I1))</f>
        <v/>
      </c>
      <c r="L31" s="39"/>
      <c r="M31" s="42" t="str">
        <f>IF(OR($I1="",M30=""),"",(M30/$I1))</f>
        <v/>
      </c>
    </row>
    <row r="32" spans="1:13" s="25" customFormat="1" ht="18.5" x14ac:dyDescent="0.65">
      <c r="A32" s="345" t="s">
        <v>183</v>
      </c>
      <c r="B32" s="45"/>
      <c r="C32" s="45"/>
      <c r="D32" s="45"/>
      <c r="E32" s="45"/>
      <c r="F32" s="45"/>
      <c r="G32" s="45"/>
      <c r="H32" s="45"/>
      <c r="I32" s="45"/>
      <c r="J32" s="45"/>
      <c r="K32" s="45"/>
      <c r="L32" s="45"/>
      <c r="M32" s="45"/>
    </row>
    <row r="33" spans="1:13" s="47" customFormat="1" ht="16" x14ac:dyDescent="0.8">
      <c r="A33" s="358" t="s">
        <v>182</v>
      </c>
      <c r="B33" s="46"/>
      <c r="C33" s="46"/>
      <c r="D33" s="46"/>
      <c r="E33" s="46"/>
      <c r="F33" s="46"/>
      <c r="G33" s="46"/>
      <c r="H33" s="46"/>
      <c r="I33" s="46"/>
      <c r="J33" s="46"/>
      <c r="K33" s="46"/>
      <c r="L33" s="46"/>
      <c r="M33" s="46"/>
    </row>
    <row r="34" spans="1:13" s="25" customFormat="1" ht="18.5" x14ac:dyDescent="0.75">
      <c r="A34" s="377" t="s">
        <v>24</v>
      </c>
      <c r="B34" s="377"/>
      <c r="C34" s="377"/>
      <c r="D34" s="377"/>
      <c r="E34" s="377"/>
      <c r="F34" s="377"/>
      <c r="G34" s="377"/>
      <c r="H34" s="377"/>
      <c r="I34" s="377"/>
      <c r="J34" s="377"/>
      <c r="K34" s="377"/>
      <c r="L34" s="377"/>
      <c r="M34" s="377"/>
    </row>
    <row r="35" spans="1:13" ht="16" hidden="1" x14ac:dyDescent="0.75"/>
  </sheetData>
  <sheetProtection algorithmName="SHA-512" hashValue="/Y3A12VcN2FvQePCGFG+Gp+E6l3oP9wMVdFccKqC1g9TrQd9X3+nwPyyM/bTitO5a7wZekklgIe4i+iJdXkfKw==" saltValue="yt8obcU1oqoPJ9SgEaut4g=="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1700-000000000000}"/>
    <dataValidation allowBlank="1" showInputMessage="1" showErrorMessage="1" prompt="Don't forget to enter Child Count in Cell I1." sqref="H5" xr:uid="{00000000-0002-0000-1700-000001000000}"/>
  </dataValidations>
  <hyperlinks>
    <hyperlink ref="A33" r:id="rId1" xr:uid="{29DA85D1-1771-40EA-8C4B-7ED73E9D40BC}"/>
  </hyperlinks>
  <pageMargins left="0.75" right="0.75" top="1" bottom="1" header="0.5" footer="0.5"/>
  <pageSetup orientation="portrait" horizontalDpi="4294967292" verticalDpi="4294967292" r:id="rId2"/>
  <tableParts count="2">
    <tablePart r:id="rId3"/>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5"/>
    <pageSetUpPr autoPageBreaks="0"/>
  </sheetPr>
  <dimension ref="A1:AB75"/>
  <sheetViews>
    <sheetView showGridLines="0" zoomScale="90" zoomScaleNormal="90" zoomScalePageLayoutView="90" workbookViewId="0">
      <pane ySplit="3" topLeftCell="A4" activePane="bottomLeft" state="frozen"/>
      <selection activeCell="A5" sqref="A5"/>
      <selection pane="bottomLeft" activeCell="H2" activeCellId="1" sqref="A2 H2"/>
    </sheetView>
  </sheetViews>
  <sheetFormatPr defaultColWidth="0" defaultRowHeight="16" zeroHeight="1" x14ac:dyDescent="0.8"/>
  <cols>
    <col min="1" max="1" width="40.26953125" style="57" customWidth="1"/>
    <col min="2" max="2" width="32.86328125" style="57" bestFit="1" customWidth="1"/>
    <col min="3" max="3" width="28" style="57" customWidth="1"/>
    <col min="4" max="5" width="28.26953125" style="57" customWidth="1"/>
    <col min="6" max="6" width="34" style="57" bestFit="1" customWidth="1"/>
    <col min="7" max="7" width="28.26953125" style="57" customWidth="1"/>
    <col min="8" max="8" width="40.26953125" style="57" customWidth="1"/>
    <col min="9" max="9" width="32.86328125" style="57" bestFit="1" customWidth="1"/>
    <col min="10" max="12" width="28.26953125" style="57" customWidth="1"/>
    <col min="13" max="13" width="34" style="57" bestFit="1" customWidth="1"/>
    <col min="14" max="14" width="0.86328125" style="57" customWidth="1"/>
    <col min="15" max="18" width="12.26953125" style="57" hidden="1" customWidth="1"/>
    <col min="19" max="19" width="13.7265625" style="57" hidden="1" customWidth="1"/>
    <col min="20" max="16384" width="12.26953125" style="57" hidden="1"/>
  </cols>
  <sheetData>
    <row r="1" spans="1:20" ht="25.9" customHeight="1" x14ac:dyDescent="0.8">
      <c r="A1" s="368" t="s">
        <v>58</v>
      </c>
      <c r="D1" s="58" t="s">
        <v>14</v>
      </c>
      <c r="E1" s="10" t="str">
        <f>IF('2. Getting Started'!$B2="","",'2. Getting Started'!$B2)</f>
        <v/>
      </c>
      <c r="G1" s="384" t="s">
        <v>177</v>
      </c>
      <c r="K1" s="58" t="s">
        <v>14</v>
      </c>
      <c r="L1" s="10" t="str">
        <f>IF('2. Getting Started'!$B2="","",'2. Getting Started'!$B2)</f>
        <v/>
      </c>
    </row>
    <row r="2" spans="1:20" ht="25.9" customHeight="1" thickBot="1" x14ac:dyDescent="0.95">
      <c r="A2" s="369" t="s">
        <v>171</v>
      </c>
      <c r="D2" s="58"/>
      <c r="E2" s="10"/>
      <c r="G2" s="384"/>
      <c r="H2" s="369" t="s">
        <v>171</v>
      </c>
      <c r="K2" s="58"/>
      <c r="L2" s="10"/>
    </row>
    <row r="3" spans="1:20" ht="25.9" customHeight="1" thickBot="1" x14ac:dyDescent="0.95">
      <c r="A3" s="59" t="str">
        <f>CONCATENATE("Eligibility Standard -- Exceptions to MOE as Permitted by 34 CFR §300.204 and Adjustment to MOE as Permitted by 34 CFR §300.205 -- Projections for State Fiscal Year ",'2. Getting Started'!B6+6," Budget")</f>
        <v>Eligibility Standard -- Exceptions to MOE as Permitted by 34 CFR §300.204 and Adjustment to MOE as Permitted by 34 CFR §300.205 -- Projections for State Fiscal Year 2030 Budget</v>
      </c>
      <c r="B3" s="60"/>
      <c r="C3" s="60"/>
      <c r="D3" s="60"/>
      <c r="E3" s="60"/>
      <c r="F3" s="61"/>
      <c r="G3" s="384"/>
      <c r="H3" s="59" t="str">
        <f>CONCATENATE("Compliance Standard -- Exceptions to MOE as Permitted by 34 CFR §300.204 and Adjustment to MOE as Permitted by 34 CFR §300.205 -- Final Expenditures for  State Fiscal Year ",'2. Getting Started'!B6+6)</f>
        <v>Compliance Standard -- Exceptions to MOE as Permitted by 34 CFR §300.204 and Adjustment to MOE as Permitted by 34 CFR §300.205 -- Final Expenditures for  State Fiscal Year 2030</v>
      </c>
      <c r="I3" s="60"/>
      <c r="J3" s="60"/>
      <c r="K3" s="60"/>
      <c r="L3" s="60"/>
      <c r="M3" s="61"/>
      <c r="O3" s="63"/>
      <c r="P3" s="63"/>
      <c r="Q3" s="63"/>
      <c r="R3" s="63"/>
      <c r="S3" s="63"/>
      <c r="T3" s="63"/>
    </row>
    <row r="4" spans="1:20" x14ac:dyDescent="0.8">
      <c r="A4" s="64" t="s">
        <v>59</v>
      </c>
      <c r="B4" s="65"/>
      <c r="C4" s="66"/>
      <c r="D4" s="66"/>
      <c r="E4" s="66"/>
      <c r="F4" s="67"/>
      <c r="G4" s="384"/>
      <c r="H4" s="64" t="s">
        <v>59</v>
      </c>
      <c r="I4" s="65"/>
      <c r="J4" s="66"/>
      <c r="K4" s="66"/>
      <c r="L4" s="66"/>
      <c r="M4" s="67"/>
      <c r="N4" s="69"/>
      <c r="O4" s="69"/>
      <c r="P4" s="69"/>
      <c r="Q4" s="69"/>
      <c r="R4" s="69"/>
      <c r="S4" s="69"/>
    </row>
    <row r="5" spans="1:20" x14ac:dyDescent="0.8">
      <c r="A5" s="70" t="s">
        <v>60</v>
      </c>
      <c r="B5" s="71"/>
      <c r="C5" s="68"/>
      <c r="D5" s="68"/>
      <c r="E5" s="68"/>
      <c r="F5" s="72"/>
      <c r="G5" s="384"/>
      <c r="H5" s="70" t="s">
        <v>60</v>
      </c>
      <c r="I5" s="71"/>
      <c r="J5" s="68"/>
      <c r="K5" s="68"/>
      <c r="L5" s="68"/>
      <c r="M5" s="72"/>
      <c r="N5" s="73"/>
      <c r="O5" s="73"/>
      <c r="P5" s="73"/>
      <c r="Q5" s="73"/>
      <c r="R5" s="73"/>
    </row>
    <row r="6" spans="1:20" ht="35.65" customHeight="1" thickBot="1" x14ac:dyDescent="0.95">
      <c r="A6" s="74" t="s">
        <v>61</v>
      </c>
      <c r="B6" s="75"/>
      <c r="C6" s="75"/>
      <c r="D6" s="75"/>
      <c r="E6" s="75"/>
      <c r="F6" s="76"/>
      <c r="G6" s="384"/>
      <c r="H6" s="74" t="s">
        <v>61</v>
      </c>
      <c r="I6" s="75"/>
      <c r="J6" s="75"/>
      <c r="K6" s="75"/>
      <c r="L6" s="75"/>
      <c r="M6" s="76"/>
      <c r="N6" s="73"/>
      <c r="O6" s="73"/>
      <c r="P6" s="73"/>
      <c r="Q6" s="73"/>
      <c r="R6" s="73"/>
      <c r="S6" s="73"/>
    </row>
    <row r="7" spans="1:20" x14ac:dyDescent="0.8">
      <c r="A7" s="77" t="s">
        <v>62</v>
      </c>
      <c r="B7" s="78" t="s">
        <v>63</v>
      </c>
      <c r="C7" s="79" t="s">
        <v>64</v>
      </c>
      <c r="D7" s="79" t="s">
        <v>65</v>
      </c>
      <c r="E7" s="80" t="s">
        <v>66</v>
      </c>
      <c r="F7" s="81" t="s">
        <v>67</v>
      </c>
      <c r="G7" s="384"/>
      <c r="H7" s="77" t="s">
        <v>62</v>
      </c>
      <c r="I7" s="78" t="s">
        <v>63</v>
      </c>
      <c r="J7" s="79" t="s">
        <v>64</v>
      </c>
      <c r="K7" s="79" t="s">
        <v>65</v>
      </c>
      <c r="L7" s="80" t="s">
        <v>66</v>
      </c>
      <c r="M7" s="81" t="s">
        <v>68</v>
      </c>
      <c r="N7" s="73"/>
      <c r="O7" s="73"/>
    </row>
    <row r="8" spans="1:20" x14ac:dyDescent="0.8">
      <c r="A8" s="185"/>
      <c r="B8" s="186"/>
      <c r="C8" s="186"/>
      <c r="D8" s="187"/>
      <c r="E8" s="187"/>
      <c r="F8" s="83">
        <f>D8+E8</f>
        <v>0</v>
      </c>
      <c r="G8" s="384"/>
      <c r="H8" s="185"/>
      <c r="I8" s="186"/>
      <c r="J8" s="186"/>
      <c r="K8" s="187"/>
      <c r="L8" s="187"/>
      <c r="M8" s="83">
        <f>K8+L8</f>
        <v>0</v>
      </c>
      <c r="N8" s="84"/>
      <c r="O8" s="84"/>
    </row>
    <row r="9" spans="1:20" x14ac:dyDescent="0.8">
      <c r="A9" s="185"/>
      <c r="B9" s="186"/>
      <c r="C9" s="186"/>
      <c r="D9" s="187"/>
      <c r="E9" s="187"/>
      <c r="F9" s="83">
        <f>D9+E9</f>
        <v>0</v>
      </c>
      <c r="G9" s="384"/>
      <c r="H9" s="185"/>
      <c r="I9" s="186"/>
      <c r="J9" s="186"/>
      <c r="K9" s="187"/>
      <c r="L9" s="187"/>
      <c r="M9" s="83">
        <f>K9+L9</f>
        <v>0</v>
      </c>
      <c r="N9" s="84"/>
      <c r="O9" s="84"/>
    </row>
    <row r="10" spans="1:20" x14ac:dyDescent="0.8">
      <c r="A10" s="185"/>
      <c r="B10" s="186"/>
      <c r="C10" s="186"/>
      <c r="D10" s="187"/>
      <c r="E10" s="187"/>
      <c r="F10" s="83">
        <f>D10+E10</f>
        <v>0</v>
      </c>
      <c r="G10" s="384"/>
      <c r="H10" s="185"/>
      <c r="I10" s="186"/>
      <c r="J10" s="186"/>
      <c r="K10" s="187"/>
      <c r="L10" s="187"/>
      <c r="M10" s="83">
        <f>K10+L10</f>
        <v>0</v>
      </c>
      <c r="N10" s="84"/>
      <c r="O10" s="84"/>
    </row>
    <row r="11" spans="1:20" x14ac:dyDescent="0.8">
      <c r="A11" s="185"/>
      <c r="B11" s="186"/>
      <c r="C11" s="186"/>
      <c r="D11" s="187"/>
      <c r="E11" s="187"/>
      <c r="F11" s="83">
        <f>D11+E11</f>
        <v>0</v>
      </c>
      <c r="G11" s="384"/>
      <c r="H11" s="185"/>
      <c r="I11" s="186"/>
      <c r="J11" s="186"/>
      <c r="K11" s="187"/>
      <c r="L11" s="187"/>
      <c r="M11" s="83">
        <f>K11+L11</f>
        <v>0</v>
      </c>
      <c r="N11" s="84"/>
      <c r="O11" s="84"/>
    </row>
    <row r="12" spans="1:20" x14ac:dyDescent="0.8">
      <c r="A12" s="185"/>
      <c r="B12" s="186"/>
      <c r="C12" s="186"/>
      <c r="D12" s="187"/>
      <c r="E12" s="187"/>
      <c r="F12" s="83">
        <f>D12+E12</f>
        <v>0</v>
      </c>
      <c r="G12" s="384"/>
      <c r="H12" s="185"/>
      <c r="I12" s="186"/>
      <c r="J12" s="186"/>
      <c r="K12" s="187"/>
      <c r="L12" s="187"/>
      <c r="M12" s="83">
        <f>K12+L12</f>
        <v>0</v>
      </c>
      <c r="N12" s="84"/>
      <c r="O12" s="84"/>
    </row>
    <row r="13" spans="1:20" ht="16.75" thickBot="1" x14ac:dyDescent="0.95">
      <c r="A13" s="85"/>
      <c r="B13" s="86"/>
      <c r="C13" s="87" t="s">
        <v>69</v>
      </c>
      <c r="D13" s="88">
        <f t="shared" ref="D13:F13" si="0">SUM(D8:D12)</f>
        <v>0</v>
      </c>
      <c r="E13" s="88">
        <f t="shared" si="0"/>
        <v>0</v>
      </c>
      <c r="F13" s="89">
        <f t="shared" si="0"/>
        <v>0</v>
      </c>
      <c r="G13" s="384"/>
      <c r="H13" s="85"/>
      <c r="I13" s="86"/>
      <c r="J13" s="87" t="s">
        <v>69</v>
      </c>
      <c r="K13" s="88">
        <f t="shared" ref="K13:M13" si="1">SUM(K8:K12)</f>
        <v>0</v>
      </c>
      <c r="L13" s="88">
        <f t="shared" si="1"/>
        <v>0</v>
      </c>
      <c r="M13" s="89">
        <f t="shared" si="1"/>
        <v>0</v>
      </c>
      <c r="N13" s="84"/>
      <c r="O13" s="84"/>
    </row>
    <row r="14" spans="1:20" ht="40.15" customHeight="1" thickBot="1" x14ac:dyDescent="0.95">
      <c r="A14" s="90" t="s">
        <v>70</v>
      </c>
      <c r="B14" s="91"/>
      <c r="C14" s="91"/>
      <c r="D14" s="91"/>
      <c r="E14" s="91"/>
      <c r="F14" s="92"/>
      <c r="G14" s="384"/>
      <c r="H14" s="90" t="s">
        <v>70</v>
      </c>
      <c r="I14" s="91"/>
      <c r="J14" s="91"/>
      <c r="K14" s="91"/>
      <c r="L14" s="91"/>
      <c r="M14" s="92"/>
      <c r="N14" s="73"/>
      <c r="O14" s="73"/>
      <c r="P14" s="73"/>
      <c r="Q14" s="73"/>
      <c r="R14" s="73"/>
      <c r="S14" s="93"/>
    </row>
    <row r="15" spans="1:20" x14ac:dyDescent="0.8">
      <c r="A15" s="94" t="s">
        <v>62</v>
      </c>
      <c r="B15" s="95" t="s">
        <v>63</v>
      </c>
      <c r="C15" s="96" t="s">
        <v>176</v>
      </c>
      <c r="D15" s="79" t="s">
        <v>65</v>
      </c>
      <c r="E15" s="80" t="s">
        <v>66</v>
      </c>
      <c r="F15" s="81" t="s">
        <v>67</v>
      </c>
      <c r="G15" s="384"/>
      <c r="H15" s="94" t="s">
        <v>62</v>
      </c>
      <c r="I15" s="95" t="s">
        <v>63</v>
      </c>
      <c r="J15" s="96" t="s">
        <v>176</v>
      </c>
      <c r="K15" s="79" t="s">
        <v>65</v>
      </c>
      <c r="L15" s="80" t="s">
        <v>66</v>
      </c>
      <c r="M15" s="81" t="s">
        <v>68</v>
      </c>
      <c r="N15" s="63"/>
      <c r="O15" s="98"/>
    </row>
    <row r="16" spans="1:20" x14ac:dyDescent="0.8">
      <c r="A16" s="188"/>
      <c r="B16" s="189"/>
      <c r="C16" s="99"/>
      <c r="D16" s="187"/>
      <c r="E16" s="187"/>
      <c r="F16" s="83">
        <f t="shared" ref="F16:F20" si="2">D16+E16</f>
        <v>0</v>
      </c>
      <c r="G16" s="384"/>
      <c r="H16" s="188"/>
      <c r="I16" s="189"/>
      <c r="J16" s="99"/>
      <c r="K16" s="187"/>
      <c r="L16" s="187"/>
      <c r="M16" s="83">
        <f t="shared" ref="M16:M20" si="3">K16+L16</f>
        <v>0</v>
      </c>
      <c r="N16" s="84"/>
      <c r="O16" s="84"/>
    </row>
    <row r="17" spans="1:19" x14ac:dyDescent="0.8">
      <c r="A17" s="188"/>
      <c r="B17" s="189"/>
      <c r="C17" s="99"/>
      <c r="D17" s="187"/>
      <c r="E17" s="187"/>
      <c r="F17" s="83">
        <f t="shared" si="2"/>
        <v>0</v>
      </c>
      <c r="G17" s="384"/>
      <c r="H17" s="188"/>
      <c r="I17" s="189"/>
      <c r="J17" s="99"/>
      <c r="K17" s="187"/>
      <c r="L17" s="187"/>
      <c r="M17" s="83">
        <f t="shared" si="3"/>
        <v>0</v>
      </c>
      <c r="N17" s="84"/>
      <c r="O17" s="84"/>
    </row>
    <row r="18" spans="1:19" x14ac:dyDescent="0.8">
      <c r="A18" s="188"/>
      <c r="B18" s="189"/>
      <c r="C18" s="99"/>
      <c r="D18" s="187"/>
      <c r="E18" s="187"/>
      <c r="F18" s="83">
        <f t="shared" si="2"/>
        <v>0</v>
      </c>
      <c r="G18" s="384"/>
      <c r="H18" s="188"/>
      <c r="I18" s="189"/>
      <c r="J18" s="99"/>
      <c r="K18" s="187"/>
      <c r="L18" s="187"/>
      <c r="M18" s="83">
        <f t="shared" si="3"/>
        <v>0</v>
      </c>
      <c r="N18" s="84"/>
      <c r="O18" s="84"/>
    </row>
    <row r="19" spans="1:19" x14ac:dyDescent="0.8">
      <c r="A19" s="188"/>
      <c r="B19" s="189"/>
      <c r="C19" s="99"/>
      <c r="D19" s="187"/>
      <c r="E19" s="187"/>
      <c r="F19" s="83">
        <f t="shared" si="2"/>
        <v>0</v>
      </c>
      <c r="G19" s="384"/>
      <c r="H19" s="188"/>
      <c r="I19" s="189"/>
      <c r="J19" s="99"/>
      <c r="K19" s="187"/>
      <c r="L19" s="187"/>
      <c r="M19" s="83">
        <f t="shared" si="3"/>
        <v>0</v>
      </c>
      <c r="N19" s="84"/>
      <c r="O19" s="84"/>
    </row>
    <row r="20" spans="1:19" x14ac:dyDescent="0.8">
      <c r="A20" s="188"/>
      <c r="B20" s="189"/>
      <c r="C20" s="99"/>
      <c r="D20" s="187"/>
      <c r="E20" s="187"/>
      <c r="F20" s="83">
        <f t="shared" si="2"/>
        <v>0</v>
      </c>
      <c r="G20" s="384"/>
      <c r="H20" s="188"/>
      <c r="I20" s="189"/>
      <c r="J20" s="99"/>
      <c r="K20" s="187"/>
      <c r="L20" s="187"/>
      <c r="M20" s="83">
        <f t="shared" si="3"/>
        <v>0</v>
      </c>
      <c r="N20" s="84"/>
      <c r="O20" s="84"/>
    </row>
    <row r="21" spans="1:19" x14ac:dyDescent="0.8">
      <c r="A21" s="100"/>
      <c r="B21" s="101"/>
      <c r="C21" s="102" t="s">
        <v>72</v>
      </c>
      <c r="D21" s="103">
        <f t="shared" ref="D21:F21" si="4">SUM(D16:D20)</f>
        <v>0</v>
      </c>
      <c r="E21" s="103">
        <f t="shared" si="4"/>
        <v>0</v>
      </c>
      <c r="F21" s="83">
        <f t="shared" si="4"/>
        <v>0</v>
      </c>
      <c r="G21" s="384"/>
      <c r="H21" s="100"/>
      <c r="I21" s="101"/>
      <c r="J21" s="102" t="s">
        <v>72</v>
      </c>
      <c r="K21" s="103">
        <f t="shared" ref="K21:M21" si="5">SUM(K16:K20)</f>
        <v>0</v>
      </c>
      <c r="L21" s="103">
        <f t="shared" si="5"/>
        <v>0</v>
      </c>
      <c r="M21" s="83">
        <f t="shared" si="5"/>
        <v>0</v>
      </c>
      <c r="N21" s="84"/>
      <c r="O21" s="84"/>
    </row>
    <row r="22" spans="1:19" ht="16.75" thickBot="1" x14ac:dyDescent="0.95">
      <c r="A22" s="104"/>
      <c r="B22" s="105"/>
      <c r="C22" s="106"/>
      <c r="D22" s="106"/>
      <c r="E22" s="107" t="s">
        <v>73</v>
      </c>
      <c r="F22" s="108">
        <f>F13-F21</f>
        <v>0</v>
      </c>
      <c r="G22" s="384"/>
      <c r="H22" s="104"/>
      <c r="I22" s="105"/>
      <c r="J22" s="105"/>
      <c r="K22" s="110"/>
      <c r="L22" s="107" t="s">
        <v>74</v>
      </c>
      <c r="M22" s="108">
        <f>M13-M21</f>
        <v>0</v>
      </c>
      <c r="N22" s="93"/>
      <c r="O22" s="93"/>
      <c r="P22" s="93"/>
      <c r="Q22" s="93"/>
      <c r="R22" s="93"/>
      <c r="S22" s="93"/>
    </row>
    <row r="23" spans="1:19" ht="16.75" thickBot="1" x14ac:dyDescent="0.95">
      <c r="A23" s="378" t="s">
        <v>22</v>
      </c>
      <c r="B23" s="378"/>
      <c r="C23" s="378"/>
      <c r="D23" s="378"/>
      <c r="E23" s="378"/>
      <c r="F23" s="378"/>
      <c r="G23" s="384"/>
      <c r="H23" s="378" t="s">
        <v>22</v>
      </c>
      <c r="I23" s="378"/>
      <c r="J23" s="378"/>
      <c r="K23" s="378"/>
      <c r="L23" s="378"/>
      <c r="M23" s="378"/>
      <c r="N23" s="93"/>
      <c r="O23" s="93"/>
      <c r="P23" s="93"/>
      <c r="Q23" s="93"/>
      <c r="R23" s="93"/>
      <c r="S23" s="93"/>
    </row>
    <row r="24" spans="1:19" x14ac:dyDescent="0.8">
      <c r="A24" s="111" t="s">
        <v>105</v>
      </c>
      <c r="B24" s="112"/>
      <c r="C24" s="112"/>
      <c r="D24" s="62"/>
      <c r="E24" s="119"/>
      <c r="F24" s="119"/>
      <c r="G24" s="384"/>
      <c r="H24" s="111" t="s">
        <v>105</v>
      </c>
      <c r="I24" s="112"/>
      <c r="J24" s="112"/>
      <c r="K24" s="62"/>
      <c r="L24" s="119"/>
      <c r="M24" s="119"/>
      <c r="N24" s="118"/>
      <c r="O24" s="118"/>
      <c r="P24" s="118"/>
      <c r="Q24" s="118"/>
    </row>
    <row r="25" spans="1:19" x14ac:dyDescent="0.8">
      <c r="A25" s="120" t="s">
        <v>71</v>
      </c>
      <c r="B25" s="121" t="s">
        <v>77</v>
      </c>
      <c r="C25" s="122"/>
      <c r="D25" s="123"/>
      <c r="E25" s="122"/>
      <c r="F25" s="122"/>
      <c r="G25" s="384"/>
      <c r="H25" s="120" t="s">
        <v>71</v>
      </c>
      <c r="I25" s="121" t="s">
        <v>77</v>
      </c>
      <c r="J25" s="122"/>
      <c r="K25" s="123"/>
      <c r="L25" s="122"/>
      <c r="M25" s="122"/>
      <c r="N25" s="118"/>
      <c r="O25" s="118"/>
      <c r="P25" s="118"/>
      <c r="Q25" s="118"/>
    </row>
    <row r="26" spans="1:19" x14ac:dyDescent="0.8">
      <c r="A26" s="124" t="str">
        <f>CONCATENATE("SFY ",'2. Getting Started'!B6+6," Projected Child Count")</f>
        <v>SFY 2030 Projected Child Count</v>
      </c>
      <c r="B26" s="125" t="str">
        <f>IF('23. Year 7 Amounts'!B1="","",'23. Year 7 Amounts'!B1)</f>
        <v/>
      </c>
      <c r="C26" s="122"/>
      <c r="D26" s="123"/>
      <c r="E26" s="122"/>
      <c r="F26" s="122"/>
      <c r="G26" s="384"/>
      <c r="H26" s="124" t="str">
        <f>CONCATENATE("SFY ",'2. Getting Started'!B6+6," Child Count")</f>
        <v>SFY 2030 Child Count</v>
      </c>
      <c r="I26" s="125" t="str">
        <f>IF('23. Year 7 Amounts'!I1="","",'23. Year 7 Amounts'!I1)</f>
        <v/>
      </c>
      <c r="J26" s="122"/>
      <c r="K26" s="123"/>
      <c r="L26" s="122"/>
      <c r="M26" s="122"/>
      <c r="N26" s="118"/>
      <c r="O26" s="118"/>
      <c r="P26" s="118"/>
      <c r="Q26" s="118"/>
    </row>
    <row r="27" spans="1:19" x14ac:dyDescent="0.8">
      <c r="A27" s="124" t="str">
        <f>CONCATENATE("SFY ",'2. Getting Started'!B6+5," Projected Child Count")</f>
        <v>SFY 2029 Projected Child Count</v>
      </c>
      <c r="B27" s="125" t="str">
        <f>IF('20. Year 6 Amounts'!B1="","",'20. Year 6 Amounts'!B1)</f>
        <v/>
      </c>
      <c r="C27" s="118"/>
      <c r="D27" s="127"/>
      <c r="E27" s="118"/>
      <c r="F27" s="122"/>
      <c r="G27" s="384"/>
      <c r="H27" s="124" t="str">
        <f>CONCATENATE("SFY ",'2. Getting Started'!B6+5," Child Count")</f>
        <v>SFY 2029 Child Count</v>
      </c>
      <c r="I27" s="125" t="str">
        <f>IF('20. Year 6 Amounts'!I1="","",'20. Year 6 Amounts'!I1)</f>
        <v/>
      </c>
      <c r="J27" s="118"/>
      <c r="K27" s="127"/>
      <c r="L27" s="118"/>
      <c r="M27" s="122"/>
      <c r="N27" s="128"/>
      <c r="O27" s="128"/>
      <c r="P27" s="128"/>
      <c r="Q27" s="128"/>
    </row>
    <row r="28" spans="1:19" x14ac:dyDescent="0.8">
      <c r="A28" s="126" t="s">
        <v>78</v>
      </c>
      <c r="B28" s="129" t="str">
        <f>IF(B26="","",B26-B27)</f>
        <v/>
      </c>
      <c r="C28" s="122" t="str">
        <f>IF(B28="","",IF(B28&gt;=0,"Not eligible for this exception",""))</f>
        <v/>
      </c>
      <c r="D28" s="123"/>
      <c r="E28" s="122"/>
      <c r="F28" s="122"/>
      <c r="G28" s="384"/>
      <c r="H28" s="126" t="s">
        <v>78</v>
      </c>
      <c r="I28" s="129" t="str">
        <f>IF(I26="","",I26-I27)</f>
        <v/>
      </c>
      <c r="J28" s="122" t="str">
        <f>IF(I28="","",IF(I28&gt;=0,"Not eligible for this exception",""))</f>
        <v/>
      </c>
      <c r="K28" s="123"/>
      <c r="L28" s="122"/>
      <c r="M28" s="122"/>
      <c r="N28" s="131"/>
      <c r="O28" s="131"/>
      <c r="P28" s="131"/>
      <c r="Q28" s="131"/>
    </row>
    <row r="29" spans="1:19" x14ac:dyDescent="0.8">
      <c r="A29" s="132" t="s">
        <v>79</v>
      </c>
      <c r="B29" s="133" t="str">
        <f>IF(B26="","",IF(B28&lt;=0,ABS(B28/B27),""))</f>
        <v/>
      </c>
      <c r="C29" s="134"/>
      <c r="D29" s="135"/>
      <c r="E29" s="134"/>
      <c r="F29" s="10"/>
      <c r="G29" s="384"/>
      <c r="H29" s="132" t="s">
        <v>79</v>
      </c>
      <c r="I29" s="133" t="str">
        <f>IF(I26="","",IF(I28&lt;=0,ABS(I28/I27),""))</f>
        <v/>
      </c>
      <c r="J29" s="134"/>
      <c r="K29" s="135"/>
      <c r="L29" s="134"/>
      <c r="M29" s="10"/>
      <c r="N29" s="136"/>
      <c r="O29" s="136"/>
      <c r="P29" s="137"/>
      <c r="Q29" s="137"/>
    </row>
    <row r="30" spans="1:19" x14ac:dyDescent="0.8">
      <c r="A30" s="114" t="s">
        <v>71</v>
      </c>
      <c r="B30" s="115" t="s">
        <v>0</v>
      </c>
      <c r="C30" s="115" t="s">
        <v>2</v>
      </c>
      <c r="D30" s="10"/>
      <c r="E30" s="71"/>
      <c r="F30" s="71"/>
      <c r="G30" s="384"/>
      <c r="H30" s="114" t="s">
        <v>71</v>
      </c>
      <c r="I30" s="115" t="s">
        <v>75</v>
      </c>
      <c r="J30" s="115" t="s">
        <v>76</v>
      </c>
      <c r="K30" s="10"/>
      <c r="L30" s="71"/>
      <c r="M30" s="71"/>
      <c r="N30" s="137"/>
      <c r="O30" s="137"/>
    </row>
    <row r="31" spans="1:19" x14ac:dyDescent="0.8">
      <c r="A31" s="138" t="str">
        <f>CONCATENATE("SFY ",'2. Getting Started'!B6+5," Budget")</f>
        <v>SFY 2029 Budget</v>
      </c>
      <c r="B31" s="139" t="str">
        <f>IF('20. Year 6 Amounts'!D30="","",'20. Year 6 Amounts'!D30)</f>
        <v/>
      </c>
      <c r="C31" s="139" t="str">
        <f>IF('20. Year 6 Amounts'!F30="","",'20. Year 6 Amounts'!F30)</f>
        <v/>
      </c>
      <c r="D31" s="140"/>
      <c r="E31" s="73"/>
      <c r="F31" s="73"/>
      <c r="G31" s="384"/>
      <c r="H31" s="138" t="str">
        <f>CONCATENATE("SFY ",'2. Getting Started'!B6+5," Final Expenditures")</f>
        <v>SFY 2029 Final Expenditures</v>
      </c>
      <c r="I31" s="139" t="str">
        <f>IF('20. Year 6 Amounts'!K30="","",'20. Year 6 Amounts'!K30)</f>
        <v/>
      </c>
      <c r="J31" s="139" t="str">
        <f>IF('20. Year 6 Amounts'!M30="","",'20. Year 6 Amounts'!M30)</f>
        <v/>
      </c>
      <c r="K31" s="141"/>
      <c r="L31" s="73"/>
      <c r="M31" s="73"/>
    </row>
    <row r="32" spans="1:19" x14ac:dyDescent="0.8">
      <c r="A32" s="116" t="s">
        <v>80</v>
      </c>
      <c r="B32" s="142" t="str">
        <f>IF(OR($B26="",B29="",B31=""),"",($B29*B31))</f>
        <v/>
      </c>
      <c r="C32" s="142" t="str">
        <f>IF(OR($B26="",B29="",C31=""),"",($B29*C31))</f>
        <v/>
      </c>
      <c r="D32" s="141"/>
      <c r="E32" s="117"/>
      <c r="F32" s="117"/>
      <c r="G32" s="384"/>
      <c r="H32" s="116" t="s">
        <v>81</v>
      </c>
      <c r="I32" s="142" t="str">
        <f>IF(OR($I26="",I29="",I31=""),"",($I29*I31))</f>
        <v/>
      </c>
      <c r="J32" s="142" t="str">
        <f>IF(OR($I26="",I29="",J31=""),"",($I29*J31))</f>
        <v/>
      </c>
      <c r="K32" s="141"/>
      <c r="L32" s="117"/>
      <c r="M32" s="117"/>
    </row>
    <row r="33" spans="1:28" ht="16.75" thickBot="1" x14ac:dyDescent="0.95">
      <c r="A33" s="379" t="s">
        <v>22</v>
      </c>
      <c r="B33" s="379"/>
      <c r="C33" s="379"/>
      <c r="D33" s="122"/>
      <c r="E33" s="122"/>
      <c r="F33" s="122"/>
      <c r="G33" s="384"/>
      <c r="H33" s="379" t="s">
        <v>22</v>
      </c>
      <c r="I33" s="379"/>
      <c r="J33" s="379"/>
      <c r="K33" s="122"/>
      <c r="L33" s="122"/>
      <c r="M33" s="122"/>
      <c r="P33" s="117"/>
      <c r="Q33" s="117"/>
      <c r="R33" s="117"/>
      <c r="S33" s="117"/>
      <c r="T33" s="117"/>
      <c r="U33" s="73"/>
      <c r="V33" s="117"/>
      <c r="W33" s="117"/>
      <c r="X33" s="117"/>
      <c r="Y33" s="117"/>
      <c r="Z33" s="117"/>
      <c r="AA33" s="117"/>
    </row>
    <row r="34" spans="1:28" x14ac:dyDescent="0.8">
      <c r="A34" s="111" t="s">
        <v>82</v>
      </c>
      <c r="B34" s="144"/>
      <c r="C34" s="145"/>
      <c r="D34" s="146"/>
      <c r="E34" s="130"/>
      <c r="F34" s="130"/>
      <c r="G34" s="384"/>
      <c r="H34" s="111" t="s">
        <v>82</v>
      </c>
      <c r="I34" s="144"/>
      <c r="J34" s="145"/>
      <c r="K34" s="146"/>
      <c r="L34" s="130"/>
      <c r="M34" s="130"/>
      <c r="P34" s="117"/>
      <c r="Q34" s="117"/>
      <c r="R34" s="117"/>
      <c r="S34" s="117"/>
      <c r="T34" s="117"/>
      <c r="U34" s="117"/>
      <c r="V34" s="117"/>
      <c r="W34" s="117"/>
      <c r="X34" s="117"/>
      <c r="Y34" s="117"/>
      <c r="Z34" s="117"/>
      <c r="AA34" s="117"/>
    </row>
    <row r="35" spans="1:28" x14ac:dyDescent="0.8">
      <c r="A35" s="147" t="s">
        <v>83</v>
      </c>
      <c r="B35" s="71"/>
      <c r="C35" s="148"/>
      <c r="D35" s="149"/>
      <c r="E35" s="10"/>
      <c r="F35" s="10"/>
      <c r="G35" s="384"/>
      <c r="H35" s="147" t="s">
        <v>83</v>
      </c>
      <c r="I35" s="71"/>
      <c r="J35" s="148"/>
      <c r="K35" s="149"/>
      <c r="L35" s="10"/>
      <c r="M35" s="10"/>
      <c r="P35" s="73"/>
      <c r="Q35" s="73"/>
      <c r="R35" s="73"/>
      <c r="S35" s="73"/>
      <c r="T35" s="73"/>
      <c r="U35" s="73"/>
      <c r="V35" s="73"/>
      <c r="W35" s="73"/>
      <c r="X35" s="73"/>
      <c r="Y35" s="73"/>
      <c r="Z35" s="73"/>
      <c r="AA35" s="73"/>
    </row>
    <row r="36" spans="1:28" x14ac:dyDescent="0.8">
      <c r="A36" s="150" t="s">
        <v>84</v>
      </c>
      <c r="B36" s="71"/>
      <c r="C36" s="151"/>
      <c r="D36" s="149"/>
      <c r="E36" s="10"/>
      <c r="F36" s="10"/>
      <c r="G36" s="384"/>
      <c r="H36" s="150" t="s">
        <v>84</v>
      </c>
      <c r="I36" s="71"/>
      <c r="J36" s="151"/>
      <c r="K36" s="149"/>
      <c r="L36" s="10"/>
      <c r="M36" s="10"/>
      <c r="Q36" s="73"/>
      <c r="R36" s="73"/>
      <c r="S36" s="73"/>
      <c r="T36" s="73"/>
      <c r="U36" s="73"/>
      <c r="V36" s="73"/>
      <c r="W36" s="73"/>
      <c r="X36" s="73"/>
      <c r="Y36" s="73"/>
      <c r="Z36" s="73"/>
      <c r="AA36" s="73"/>
      <c r="AB36" s="73"/>
    </row>
    <row r="37" spans="1:28" x14ac:dyDescent="0.8">
      <c r="A37" s="152" t="s">
        <v>85</v>
      </c>
      <c r="B37" s="153" t="s">
        <v>86</v>
      </c>
      <c r="C37" s="154" t="s">
        <v>87</v>
      </c>
      <c r="D37" s="117"/>
      <c r="E37" s="143"/>
      <c r="F37" s="143"/>
      <c r="G37" s="384"/>
      <c r="H37" s="152" t="s">
        <v>85</v>
      </c>
      <c r="I37" s="153" t="s">
        <v>86</v>
      </c>
      <c r="J37" s="154" t="s">
        <v>88</v>
      </c>
      <c r="K37" s="117"/>
      <c r="L37" s="143"/>
      <c r="M37" s="143"/>
      <c r="P37" s="93"/>
      <c r="Q37" s="93"/>
      <c r="R37" s="93"/>
      <c r="S37" s="93"/>
      <c r="T37" s="93"/>
      <c r="U37" s="93"/>
      <c r="V37" s="93"/>
      <c r="W37" s="93"/>
      <c r="X37" s="93"/>
      <c r="Y37" s="93"/>
      <c r="Z37" s="93"/>
      <c r="AA37" s="93"/>
    </row>
    <row r="38" spans="1:28" x14ac:dyDescent="0.8">
      <c r="A38" s="190"/>
      <c r="B38" s="191"/>
      <c r="C38" s="192"/>
      <c r="D38" s="143"/>
      <c r="E38" s="143"/>
      <c r="F38" s="143"/>
      <c r="G38" s="384"/>
      <c r="H38" s="190"/>
      <c r="I38" s="191"/>
      <c r="J38" s="192"/>
      <c r="K38" s="143"/>
      <c r="L38" s="143"/>
      <c r="M38" s="143"/>
      <c r="P38" s="93"/>
      <c r="Q38" s="93"/>
      <c r="R38" s="93"/>
      <c r="S38" s="93"/>
      <c r="T38" s="93"/>
      <c r="U38" s="93"/>
      <c r="V38" s="93"/>
      <c r="W38" s="93"/>
      <c r="X38" s="93"/>
      <c r="Y38" s="93"/>
      <c r="Z38" s="93"/>
      <c r="AA38" s="93"/>
    </row>
    <row r="39" spans="1:28" x14ac:dyDescent="0.8">
      <c r="A39" s="190"/>
      <c r="B39" s="191"/>
      <c r="C39" s="192"/>
      <c r="D39" s="143"/>
      <c r="E39" s="71"/>
      <c r="F39" s="71"/>
      <c r="G39" s="384"/>
      <c r="H39" s="190"/>
      <c r="I39" s="191"/>
      <c r="J39" s="192"/>
      <c r="K39" s="143"/>
      <c r="L39" s="71"/>
      <c r="M39" s="71"/>
      <c r="P39" s="93"/>
      <c r="Q39" s="93"/>
      <c r="R39" s="93"/>
      <c r="S39" s="93"/>
      <c r="T39" s="93"/>
      <c r="U39" s="93"/>
      <c r="V39" s="93"/>
      <c r="W39" s="93"/>
      <c r="X39" s="93"/>
      <c r="Y39" s="93"/>
      <c r="Z39" s="93"/>
      <c r="AA39" s="93"/>
    </row>
    <row r="40" spans="1:28" x14ac:dyDescent="0.8">
      <c r="A40" s="190"/>
      <c r="B40" s="191"/>
      <c r="C40" s="192"/>
      <c r="D40" s="143"/>
      <c r="E40" s="71"/>
      <c r="F40" s="71"/>
      <c r="G40" s="384"/>
      <c r="H40" s="190"/>
      <c r="I40" s="191"/>
      <c r="J40" s="192"/>
      <c r="K40" s="143"/>
      <c r="L40" s="71"/>
      <c r="M40" s="71"/>
      <c r="P40" s="93"/>
      <c r="Q40" s="93"/>
      <c r="R40" s="93"/>
      <c r="S40" s="93"/>
      <c r="T40" s="93"/>
      <c r="U40" s="93"/>
      <c r="V40" s="93"/>
      <c r="W40" s="93"/>
      <c r="X40" s="93"/>
      <c r="Y40" s="93"/>
      <c r="Z40" s="93"/>
      <c r="AA40" s="93"/>
    </row>
    <row r="41" spans="1:28" x14ac:dyDescent="0.8">
      <c r="A41" s="190"/>
      <c r="B41" s="191"/>
      <c r="C41" s="192"/>
      <c r="D41" s="143"/>
      <c r="E41" s="119"/>
      <c r="F41" s="119"/>
      <c r="G41" s="384"/>
      <c r="H41" s="190"/>
      <c r="I41" s="191"/>
      <c r="J41" s="192"/>
      <c r="K41" s="143"/>
      <c r="L41" s="119"/>
      <c r="M41" s="119"/>
      <c r="P41" s="93"/>
      <c r="Q41" s="93"/>
      <c r="R41" s="93"/>
      <c r="S41" s="93"/>
      <c r="T41" s="93"/>
      <c r="U41" s="93"/>
      <c r="V41" s="93"/>
      <c r="W41" s="93"/>
      <c r="X41" s="93"/>
      <c r="Y41" s="93"/>
      <c r="Z41" s="93"/>
      <c r="AA41" s="93"/>
    </row>
    <row r="42" spans="1:28" x14ac:dyDescent="0.8">
      <c r="A42" s="190"/>
      <c r="B42" s="191"/>
      <c r="C42" s="192"/>
      <c r="D42" s="143"/>
      <c r="F42" s="10"/>
      <c r="G42" s="384"/>
      <c r="H42" s="190"/>
      <c r="I42" s="191"/>
      <c r="J42" s="192"/>
      <c r="K42" s="143"/>
      <c r="M42" s="10"/>
      <c r="P42" s="73"/>
      <c r="Q42" s="73"/>
      <c r="R42" s="73"/>
      <c r="S42" s="73"/>
      <c r="T42" s="73"/>
      <c r="U42" s="73"/>
      <c r="V42" s="73"/>
      <c r="W42" s="73"/>
      <c r="X42" s="73"/>
      <c r="Y42" s="73"/>
      <c r="Z42" s="73"/>
      <c r="AA42" s="73"/>
    </row>
    <row r="43" spans="1:28" x14ac:dyDescent="0.8">
      <c r="A43" s="156" t="s">
        <v>89</v>
      </c>
      <c r="B43" s="157"/>
      <c r="C43" s="158">
        <f>SUM(C38:C42)</f>
        <v>0</v>
      </c>
      <c r="D43" s="143"/>
      <c r="E43" s="73"/>
      <c r="F43" s="71"/>
      <c r="G43" s="384"/>
      <c r="H43" s="156" t="s">
        <v>90</v>
      </c>
      <c r="I43" s="157"/>
      <c r="J43" s="158">
        <f>SUM(J38:J42)</f>
        <v>0</v>
      </c>
      <c r="K43" s="143"/>
      <c r="L43" s="73"/>
      <c r="M43" s="71"/>
      <c r="P43" s="73"/>
      <c r="Q43" s="73"/>
      <c r="R43" s="73"/>
      <c r="S43" s="73"/>
      <c r="T43" s="73"/>
      <c r="U43" s="73"/>
      <c r="V43" s="73"/>
      <c r="W43" s="73"/>
      <c r="X43" s="73"/>
      <c r="Y43" s="73"/>
      <c r="Z43" s="73"/>
      <c r="AA43" s="73"/>
    </row>
    <row r="44" spans="1:28" ht="16.75" thickBot="1" x14ac:dyDescent="0.95">
      <c r="A44" s="381" t="s">
        <v>22</v>
      </c>
      <c r="B44" s="381"/>
      <c r="C44" s="381"/>
      <c r="D44" s="71"/>
      <c r="E44" s="71"/>
      <c r="F44" s="71"/>
      <c r="G44" s="384"/>
      <c r="H44" s="381" t="s">
        <v>22</v>
      </c>
      <c r="I44" s="381"/>
      <c r="J44" s="381"/>
      <c r="K44" s="71"/>
      <c r="L44" s="71"/>
      <c r="M44" s="71"/>
      <c r="P44" s="93"/>
      <c r="Q44" s="93"/>
      <c r="R44" s="93"/>
      <c r="S44" s="93"/>
      <c r="T44" s="93"/>
      <c r="U44" s="93"/>
      <c r="V44" s="93"/>
      <c r="W44" s="93"/>
      <c r="X44" s="93"/>
      <c r="Y44" s="93"/>
      <c r="Z44" s="93"/>
      <c r="AA44" s="93"/>
    </row>
    <row r="45" spans="1:28" x14ac:dyDescent="0.8">
      <c r="A45" s="111" t="s">
        <v>91</v>
      </c>
      <c r="B45" s="113"/>
      <c r="C45" s="119"/>
      <c r="D45" s="119"/>
      <c r="E45" s="119"/>
      <c r="F45" s="119"/>
      <c r="G45" s="384"/>
      <c r="H45" s="111" t="s">
        <v>91</v>
      </c>
      <c r="I45" s="113"/>
      <c r="J45" s="119"/>
      <c r="K45" s="119"/>
      <c r="L45" s="119"/>
      <c r="M45" s="119"/>
      <c r="O45" s="93"/>
      <c r="P45" s="93"/>
      <c r="Q45" s="93"/>
      <c r="R45" s="93"/>
      <c r="S45" s="93"/>
      <c r="T45" s="93"/>
      <c r="U45" s="93"/>
      <c r="V45" s="93"/>
      <c r="W45" s="93"/>
      <c r="X45" s="93"/>
      <c r="Y45" s="93"/>
      <c r="Z45" s="93"/>
    </row>
    <row r="46" spans="1:28" ht="26.65" customHeight="1" x14ac:dyDescent="0.8">
      <c r="A46" s="70" t="s">
        <v>92</v>
      </c>
      <c r="B46" s="151"/>
      <c r="C46" s="119"/>
      <c r="D46" s="71"/>
      <c r="E46" s="73"/>
      <c r="F46" s="73"/>
      <c r="G46" s="384"/>
      <c r="H46" s="70" t="s">
        <v>92</v>
      </c>
      <c r="I46" s="151"/>
      <c r="J46" s="119"/>
      <c r="K46" s="71"/>
      <c r="L46" s="73"/>
      <c r="M46" s="73"/>
      <c r="O46" s="93"/>
      <c r="P46" s="93"/>
      <c r="Q46" s="93"/>
      <c r="R46" s="93"/>
      <c r="S46" s="93"/>
      <c r="T46" s="93"/>
      <c r="U46" s="93"/>
      <c r="V46" s="93"/>
      <c r="W46" s="93"/>
      <c r="X46" s="93"/>
      <c r="Y46" s="93"/>
      <c r="Z46" s="93"/>
    </row>
    <row r="47" spans="1:28" x14ac:dyDescent="0.8">
      <c r="A47" s="159" t="s">
        <v>93</v>
      </c>
      <c r="B47" s="160" t="s">
        <v>94</v>
      </c>
      <c r="C47" s="117"/>
      <c r="D47" s="117"/>
      <c r="E47" s="143"/>
      <c r="F47" s="109"/>
      <c r="G47" s="384"/>
      <c r="H47" s="159" t="s">
        <v>93</v>
      </c>
      <c r="I47" s="160" t="s">
        <v>95</v>
      </c>
      <c r="J47" s="117"/>
      <c r="K47" s="117"/>
      <c r="L47" s="143"/>
      <c r="M47" s="109"/>
      <c r="O47" s="93"/>
      <c r="P47" s="93"/>
      <c r="Q47" s="93"/>
      <c r="R47" s="93"/>
      <c r="S47" s="93"/>
      <c r="T47" s="93"/>
      <c r="U47" s="93"/>
      <c r="V47" s="93"/>
      <c r="W47" s="93"/>
      <c r="X47" s="93"/>
      <c r="Y47" s="93"/>
      <c r="Z47" s="93"/>
    </row>
    <row r="48" spans="1:28" ht="60" customHeight="1" x14ac:dyDescent="0.8">
      <c r="A48" s="193"/>
      <c r="B48" s="194"/>
      <c r="C48" s="143"/>
      <c r="D48" s="143"/>
      <c r="E48" s="143"/>
      <c r="F48" s="71"/>
      <c r="G48" s="384"/>
      <c r="H48" s="193"/>
      <c r="I48" s="194"/>
      <c r="J48" s="143"/>
      <c r="K48" s="143"/>
      <c r="L48" s="143"/>
      <c r="M48" s="71"/>
      <c r="O48" s="93"/>
      <c r="P48" s="93"/>
      <c r="Q48" s="93"/>
      <c r="R48" s="93"/>
      <c r="S48" s="93"/>
      <c r="T48" s="93"/>
      <c r="U48" s="93"/>
      <c r="V48" s="93"/>
      <c r="W48" s="93"/>
      <c r="X48" s="93"/>
      <c r="Y48" s="93"/>
      <c r="Z48" s="93"/>
    </row>
    <row r="49" spans="1:26" ht="60" customHeight="1" x14ac:dyDescent="0.8">
      <c r="A49" s="193"/>
      <c r="B49" s="194"/>
      <c r="C49" s="143"/>
      <c r="D49" s="143"/>
      <c r="E49" s="155"/>
      <c r="F49" s="155"/>
      <c r="G49" s="384"/>
      <c r="H49" s="193"/>
      <c r="I49" s="194"/>
      <c r="J49" s="143"/>
      <c r="K49" s="143"/>
      <c r="L49" s="155"/>
      <c r="M49" s="155"/>
      <c r="O49" s="93"/>
      <c r="P49" s="93"/>
      <c r="Q49" s="93"/>
      <c r="R49" s="93"/>
      <c r="S49" s="93"/>
      <c r="T49" s="93"/>
      <c r="U49" s="93"/>
      <c r="V49" s="93"/>
      <c r="W49" s="93"/>
      <c r="X49" s="93"/>
      <c r="Y49" s="93"/>
      <c r="Z49" s="93"/>
    </row>
    <row r="50" spans="1:26" ht="60" customHeight="1" x14ac:dyDescent="0.8">
      <c r="A50" s="193"/>
      <c r="B50" s="194"/>
      <c r="C50" s="143"/>
      <c r="D50" s="143"/>
      <c r="E50" s="71"/>
      <c r="F50" s="71"/>
      <c r="G50" s="384"/>
      <c r="H50" s="193"/>
      <c r="I50" s="194"/>
      <c r="J50" s="143"/>
      <c r="K50" s="143"/>
      <c r="L50" s="71"/>
      <c r="M50" s="71"/>
    </row>
    <row r="51" spans="1:26" ht="60" customHeight="1" x14ac:dyDescent="0.8">
      <c r="A51" s="193"/>
      <c r="B51" s="194"/>
      <c r="C51" s="143"/>
      <c r="D51" s="143"/>
      <c r="E51" s="161"/>
      <c r="F51" s="161"/>
      <c r="G51" s="384"/>
      <c r="H51" s="193"/>
      <c r="I51" s="194"/>
      <c r="J51" s="143"/>
      <c r="K51" s="143"/>
      <c r="L51" s="161"/>
      <c r="M51" s="161"/>
    </row>
    <row r="52" spans="1:26" ht="60" customHeight="1" x14ac:dyDescent="0.8">
      <c r="A52" s="193"/>
      <c r="B52" s="194"/>
      <c r="C52" s="143"/>
      <c r="D52" s="143"/>
      <c r="E52" s="162"/>
      <c r="F52" s="162"/>
      <c r="G52" s="384"/>
      <c r="H52" s="193"/>
      <c r="I52" s="194"/>
      <c r="J52" s="143"/>
      <c r="K52" s="143"/>
      <c r="L52" s="162"/>
      <c r="M52" s="162"/>
    </row>
    <row r="53" spans="1:26" x14ac:dyDescent="0.8">
      <c r="A53" s="163" t="s">
        <v>89</v>
      </c>
      <c r="B53" s="164">
        <f>SUM(B48:B52)</f>
        <v>0</v>
      </c>
      <c r="C53" s="143"/>
      <c r="D53" s="143"/>
      <c r="E53" s="73"/>
      <c r="G53" s="384"/>
      <c r="H53" s="165" t="s">
        <v>90</v>
      </c>
      <c r="I53" s="164">
        <f>SUM(I48:I52)</f>
        <v>0</v>
      </c>
      <c r="J53" s="143"/>
      <c r="K53" s="143"/>
      <c r="L53" s="73"/>
    </row>
    <row r="54" spans="1:26" ht="16.75" thickBot="1" x14ac:dyDescent="0.95">
      <c r="A54" s="379" t="s">
        <v>22</v>
      </c>
      <c r="B54" s="379"/>
      <c r="C54" s="10"/>
      <c r="D54" s="71"/>
      <c r="E54" s="71"/>
      <c r="F54" s="71"/>
      <c r="G54" s="384"/>
      <c r="H54" s="379" t="s">
        <v>22</v>
      </c>
      <c r="I54" s="379"/>
      <c r="J54" s="10"/>
      <c r="K54" s="71"/>
      <c r="L54" s="71"/>
      <c r="M54" s="71"/>
    </row>
    <row r="55" spans="1:26" x14ac:dyDescent="0.8">
      <c r="A55" s="166" t="str">
        <f>IF('3b. High Cost Fund'!$B9="No","This exception is not valid in your state.","Exception (e) The assumption of cost by the high cost fund operated by the")</f>
        <v>This exception is not valid in your state.</v>
      </c>
      <c r="B55" s="145"/>
      <c r="C55" s="146"/>
      <c r="D55" s="130"/>
      <c r="E55" s="130"/>
      <c r="F55" s="143"/>
      <c r="G55" s="384"/>
      <c r="H55" s="166" t="str">
        <f>IF('3b. High Cost Fund'!$B9="No","This exception is not valid in your state.","Exception (e) The assumption of cost by the high cost fund operated by the")</f>
        <v>This exception is not valid in your state.</v>
      </c>
      <c r="I55" s="145"/>
      <c r="J55" s="146"/>
      <c r="K55" s="130"/>
      <c r="L55" s="130"/>
      <c r="M55" s="143"/>
    </row>
    <row r="56" spans="1:26" ht="28.15" customHeight="1" x14ac:dyDescent="0.8">
      <c r="A56" s="70" t="str">
        <f>IF('3b. High Cost Fund'!$B9="No","","SEA under §300.704. MUST be explicitly permitted by the SEA.")</f>
        <v/>
      </c>
      <c r="B56" s="167"/>
      <c r="C56" s="168"/>
      <c r="D56" s="169"/>
      <c r="E56" s="162"/>
      <c r="F56" s="143"/>
      <c r="G56" s="384"/>
      <c r="H56" s="70" t="str">
        <f>IF('3b. High Cost Fund'!$B9="No","","SEA under §300.704. MUST be explicitly permitted by the SEA.")</f>
        <v/>
      </c>
      <c r="I56" s="167"/>
      <c r="J56" s="146"/>
      <c r="K56" s="169"/>
      <c r="L56" s="162"/>
      <c r="M56" s="143"/>
    </row>
    <row r="57" spans="1:26" x14ac:dyDescent="0.8">
      <c r="A57" s="170" t="s">
        <v>85</v>
      </c>
      <c r="B57" s="171" t="s">
        <v>96</v>
      </c>
      <c r="C57" s="117"/>
      <c r="D57" s="143"/>
      <c r="E57" s="143"/>
      <c r="F57" s="10"/>
      <c r="G57" s="384"/>
      <c r="H57" s="170" t="s">
        <v>85</v>
      </c>
      <c r="I57" s="171" t="s">
        <v>97</v>
      </c>
      <c r="J57" s="117"/>
      <c r="K57" s="143"/>
      <c r="L57" s="143"/>
      <c r="M57" s="10"/>
    </row>
    <row r="58" spans="1:26" ht="15.4" customHeight="1" x14ac:dyDescent="0.8">
      <c r="A58" s="195"/>
      <c r="B58" s="196"/>
      <c r="C58" s="338" t="str">
        <f>IF(AND(B58&lt;&gt;"",'3b. High Cost Fund'!$B9="No"),"Invalid entry. This exception is valid only in states with high-cost funds. If your state has a high-cost fund, please indicate that on tab 3b.","")</f>
        <v/>
      </c>
      <c r="D58" s="143"/>
      <c r="E58" s="143"/>
      <c r="F58" s="10"/>
      <c r="G58" s="384"/>
      <c r="H58" s="195"/>
      <c r="I58" s="196"/>
      <c r="J58" s="338" t="str">
        <f>IF(AND(I58&lt;&gt;"",'3b. High Cost Fund'!$B9="No"),"Invalid entry. This exception is valid only in states with high-cost funds. If your state has a high-cost fund, please indicate that on tab 3b.","")</f>
        <v/>
      </c>
      <c r="K58" s="143"/>
      <c r="L58" s="143"/>
      <c r="M58" s="10"/>
    </row>
    <row r="59" spans="1:26" x14ac:dyDescent="0.8">
      <c r="A59" s="195"/>
      <c r="B59" s="196"/>
      <c r="C59" s="143"/>
      <c r="D59" s="10"/>
      <c r="E59" s="10"/>
      <c r="F59" s="10"/>
      <c r="G59" s="384"/>
      <c r="H59" s="195"/>
      <c r="I59" s="196"/>
      <c r="J59" s="143"/>
      <c r="K59" s="10"/>
      <c r="L59" s="10"/>
      <c r="M59" s="10"/>
    </row>
    <row r="60" spans="1:26" x14ac:dyDescent="0.8">
      <c r="A60" s="195"/>
      <c r="B60" s="196"/>
      <c r="C60" s="143"/>
      <c r="D60" s="10"/>
      <c r="E60" s="10"/>
      <c r="F60" s="10"/>
      <c r="G60" s="384"/>
      <c r="H60" s="195"/>
      <c r="I60" s="196"/>
      <c r="J60" s="143"/>
      <c r="K60" s="10"/>
      <c r="L60" s="10"/>
      <c r="M60" s="10"/>
    </row>
    <row r="61" spans="1:26" x14ac:dyDescent="0.8">
      <c r="A61" s="195"/>
      <c r="B61" s="196"/>
      <c r="C61" s="143"/>
      <c r="D61" s="10"/>
      <c r="E61" s="10"/>
      <c r="F61" s="10"/>
      <c r="G61" s="384"/>
      <c r="H61" s="195"/>
      <c r="I61" s="196"/>
      <c r="J61" s="143"/>
      <c r="K61" s="10"/>
      <c r="L61" s="10"/>
      <c r="M61" s="10"/>
    </row>
    <row r="62" spans="1:26" x14ac:dyDescent="0.8">
      <c r="A62" s="195"/>
      <c r="B62" s="196"/>
      <c r="C62" s="143"/>
      <c r="D62" s="10"/>
      <c r="E62" s="10"/>
      <c r="F62" s="10"/>
      <c r="G62" s="384"/>
      <c r="H62" s="195"/>
      <c r="I62" s="196"/>
      <c r="J62" s="143"/>
      <c r="K62" s="10"/>
      <c r="L62" s="10"/>
      <c r="M62" s="10"/>
    </row>
    <row r="63" spans="1:26" x14ac:dyDescent="0.8">
      <c r="A63" s="172" t="s">
        <v>89</v>
      </c>
      <c r="B63" s="173">
        <f>IF('3b. High Cost Fund'!$B9="No",0,SUM(B58:B62))</f>
        <v>0</v>
      </c>
      <c r="C63" s="143"/>
      <c r="D63" s="10"/>
      <c r="E63" s="10"/>
      <c r="F63" s="10"/>
      <c r="G63" s="384"/>
      <c r="H63" s="174" t="s">
        <v>90</v>
      </c>
      <c r="I63" s="173">
        <f>IF('3b. High Cost Fund'!$B9="No",0,SUM(I58:I62))</f>
        <v>0</v>
      </c>
      <c r="J63" s="143"/>
      <c r="K63" s="10"/>
      <c r="L63" s="10"/>
      <c r="M63" s="10"/>
    </row>
    <row r="64" spans="1:26" ht="16.75" thickBot="1" x14ac:dyDescent="0.95">
      <c r="A64" s="379" t="s">
        <v>22</v>
      </c>
      <c r="B64" s="379"/>
      <c r="C64" s="143"/>
      <c r="D64" s="10"/>
      <c r="E64" s="10"/>
      <c r="F64" s="10"/>
      <c r="G64" s="384"/>
      <c r="H64" s="379" t="s">
        <v>22</v>
      </c>
      <c r="I64" s="379"/>
      <c r="J64" s="143"/>
      <c r="K64" s="10"/>
      <c r="L64" s="10"/>
      <c r="M64" s="10"/>
    </row>
    <row r="65" spans="1:13" x14ac:dyDescent="0.8">
      <c r="A65" s="347" t="s">
        <v>107</v>
      </c>
      <c r="B65" s="348"/>
      <c r="C65" s="143"/>
      <c r="D65" s="10"/>
      <c r="E65" s="10"/>
      <c r="F65" s="10"/>
      <c r="G65" s="384"/>
      <c r="H65" s="347" t="s">
        <v>106</v>
      </c>
      <c r="I65" s="348"/>
      <c r="J65" s="143"/>
      <c r="K65" s="10"/>
      <c r="L65" s="10"/>
      <c r="M65" s="10"/>
    </row>
    <row r="66" spans="1:13" x14ac:dyDescent="0.8">
      <c r="A66" s="242" t="s">
        <v>123</v>
      </c>
      <c r="B66" s="265" t="s">
        <v>124</v>
      </c>
      <c r="C66" s="143"/>
      <c r="D66" s="10"/>
      <c r="E66" s="10"/>
      <c r="F66" s="10"/>
      <c r="G66" s="384"/>
      <c r="H66" s="269" t="s">
        <v>123</v>
      </c>
      <c r="I66" s="270" t="s">
        <v>124</v>
      </c>
      <c r="J66" s="143"/>
      <c r="K66" s="10"/>
      <c r="L66" s="10"/>
      <c r="M66" s="10"/>
    </row>
    <row r="67" spans="1:13" x14ac:dyDescent="0.8">
      <c r="A67" s="102" t="s">
        <v>0</v>
      </c>
      <c r="B67" s="240">
        <f>IF(B$28&gt;=0,(F$22+C$43+B$53+B$63),(F$22+C$43+B$53+B$63+B$32))</f>
        <v>0</v>
      </c>
      <c r="C67" s="143"/>
      <c r="D67" s="10"/>
      <c r="E67" s="10"/>
      <c r="F67" s="10"/>
      <c r="G67" s="384"/>
      <c r="H67" s="102" t="s">
        <v>0</v>
      </c>
      <c r="I67" s="240">
        <f>IF(I$28&gt;=0,(M$22+J$43+I$53+I$63),(M$22+J$43+I$53+I$63+I$32))</f>
        <v>0</v>
      </c>
      <c r="J67" s="143"/>
      <c r="K67" s="10"/>
      <c r="L67" s="10"/>
      <c r="M67" s="10"/>
    </row>
    <row r="68" spans="1:13" x14ac:dyDescent="0.8">
      <c r="A68" s="241" t="s">
        <v>2</v>
      </c>
      <c r="B68" s="173">
        <f>IF(B$28&gt;=0,(F$22+C$43+B$53+B$63),(F$22+C$43+B$53+B$63+C$32))</f>
        <v>0</v>
      </c>
      <c r="C68" s="143"/>
      <c r="D68" s="10"/>
      <c r="E68" s="10"/>
      <c r="F68" s="10"/>
      <c r="G68" s="384"/>
      <c r="H68" s="241" t="s">
        <v>2</v>
      </c>
      <c r="I68" s="173">
        <f>IF(I$28&gt;=0,(M$22+J$43+I$53+I$63),(M$22+J$43+I$53+I$63+J$32))</f>
        <v>0</v>
      </c>
      <c r="J68" s="143"/>
      <c r="K68" s="10"/>
      <c r="L68" s="10"/>
      <c r="M68" s="10"/>
    </row>
    <row r="69" spans="1:13" ht="16.75" thickBot="1" x14ac:dyDescent="0.95">
      <c r="A69" s="382" t="s">
        <v>22</v>
      </c>
      <c r="B69" s="382"/>
      <c r="C69" s="10"/>
      <c r="D69" s="10"/>
      <c r="E69" s="10"/>
      <c r="F69" s="10"/>
      <c r="G69" s="384"/>
      <c r="H69" s="382" t="s">
        <v>22</v>
      </c>
      <c r="I69" s="382"/>
      <c r="J69" s="10"/>
      <c r="K69" s="10"/>
      <c r="L69" s="10"/>
      <c r="M69" s="10"/>
    </row>
    <row r="70" spans="1:13" ht="31.15" customHeight="1" x14ac:dyDescent="0.8">
      <c r="A70" s="337" t="s">
        <v>98</v>
      </c>
      <c r="B70" s="176"/>
      <c r="C70" s="11"/>
      <c r="D70" s="177"/>
      <c r="E70" s="10"/>
      <c r="F70" s="10"/>
      <c r="G70" s="384"/>
      <c r="H70" s="337" t="s">
        <v>98</v>
      </c>
      <c r="I70" s="176"/>
      <c r="J70" s="11"/>
      <c r="K70" s="177"/>
      <c r="L70" s="10"/>
      <c r="M70" s="10"/>
    </row>
    <row r="71" spans="1:13" x14ac:dyDescent="0.8">
      <c r="A71" s="178" t="s">
        <v>71</v>
      </c>
      <c r="B71" s="179" t="s">
        <v>99</v>
      </c>
      <c r="C71" s="11" t="s">
        <v>100</v>
      </c>
      <c r="E71" s="10"/>
      <c r="F71" s="10"/>
      <c r="G71" s="384"/>
      <c r="H71" s="178" t="s">
        <v>71</v>
      </c>
      <c r="I71" s="179" t="s">
        <v>101</v>
      </c>
      <c r="J71" s="11" t="s">
        <v>100</v>
      </c>
      <c r="K71" s="10"/>
      <c r="L71" s="10"/>
      <c r="M71" s="10"/>
    </row>
    <row r="72" spans="1:13" x14ac:dyDescent="0.8">
      <c r="A72" s="180" t="s">
        <v>102</v>
      </c>
      <c r="B72" s="197">
        <v>0</v>
      </c>
      <c r="C72" s="181" t="s">
        <v>103</v>
      </c>
      <c r="D72" s="10"/>
      <c r="E72" s="10"/>
      <c r="F72" s="10"/>
      <c r="G72" s="384"/>
      <c r="H72" s="180" t="s">
        <v>104</v>
      </c>
      <c r="I72" s="197">
        <v>0</v>
      </c>
      <c r="J72" s="181" t="s">
        <v>103</v>
      </c>
      <c r="K72" s="10"/>
      <c r="L72" s="10"/>
      <c r="M72" s="10"/>
    </row>
    <row r="73" spans="1:13" ht="30" customHeight="1" x14ac:dyDescent="0.8">
      <c r="A73" s="345" t="s">
        <v>183</v>
      </c>
      <c r="B73" s="182"/>
      <c r="C73" s="182"/>
      <c r="D73" s="182"/>
      <c r="E73" s="182"/>
      <c r="F73" s="182"/>
      <c r="G73" s="384"/>
      <c r="H73" s="182"/>
      <c r="I73" s="182"/>
      <c r="J73" s="182"/>
      <c r="K73" s="182"/>
      <c r="L73" s="182"/>
      <c r="M73" s="182"/>
    </row>
    <row r="74" spans="1:13" s="184" customFormat="1" x14ac:dyDescent="0.8">
      <c r="A74" s="358" t="s">
        <v>182</v>
      </c>
      <c r="B74" s="183"/>
      <c r="C74" s="183"/>
      <c r="D74" s="183"/>
      <c r="E74" s="183"/>
      <c r="F74" s="183"/>
      <c r="G74" s="384"/>
      <c r="H74" s="183"/>
      <c r="I74" s="183"/>
      <c r="J74" s="183"/>
      <c r="K74" s="183"/>
      <c r="L74" s="183"/>
      <c r="M74" s="183"/>
    </row>
    <row r="75" spans="1:13" x14ac:dyDescent="0.8">
      <c r="A75" s="380" t="s">
        <v>24</v>
      </c>
      <c r="B75" s="380"/>
      <c r="C75" s="380"/>
      <c r="D75" s="380"/>
      <c r="E75" s="380"/>
      <c r="F75" s="380"/>
      <c r="G75" s="380"/>
      <c r="H75" s="380"/>
      <c r="I75" s="380"/>
      <c r="J75" s="380"/>
      <c r="K75" s="380"/>
      <c r="L75" s="380"/>
      <c r="M75" s="380"/>
    </row>
  </sheetData>
  <sheetProtection algorithmName="SHA-512" hashValue="TKS+TTJqXd5vsyW8K4WN8lydgYzBLTkzUsDj5ZDQAXtpUAIYJWMzARs341WDbE9dFuobimbGXvq5VoUvD1mcJQ==" saltValue="9T/C3vpgzajR9cYt2uf22g==" spinCount="100000" sheet="1" formatColumns="0" formatRows="0"/>
  <mergeCells count="14">
    <mergeCell ref="A54:B54"/>
    <mergeCell ref="H54:I54"/>
    <mergeCell ref="A69:B69"/>
    <mergeCell ref="H69:I69"/>
    <mergeCell ref="A75:M75"/>
    <mergeCell ref="A64:B64"/>
    <mergeCell ref="H64:I64"/>
    <mergeCell ref="G1:G74"/>
    <mergeCell ref="A23:F23"/>
    <mergeCell ref="H23:M23"/>
    <mergeCell ref="A33:C33"/>
    <mergeCell ref="H33:J33"/>
    <mergeCell ref="A44:C44"/>
    <mergeCell ref="H44:J44"/>
  </mergeCells>
  <conditionalFormatting sqref="A55">
    <cfRule type="containsText" dxfId="186" priority="3" operator="containsText" text="not valid">
      <formula>NOT(ISERROR(SEARCH("not valid",A55)))</formula>
    </cfRule>
  </conditionalFormatting>
  <conditionalFormatting sqref="H55">
    <cfRule type="containsText" dxfId="185" priority="1" operator="containsText" text="not valid">
      <formula>NOT(ISERROR(SEARCH("not valid",H55)))</formula>
    </cfRule>
  </conditionalFormatting>
  <dataValidations count="1">
    <dataValidation type="list" allowBlank="1" showInputMessage="1" showErrorMessage="1" sqref="B38:B42 I38:I42" xr:uid="{00000000-0002-0000-1800-000000000000}">
      <formula1>Exception_c</formula1>
    </dataValidation>
  </dataValidations>
  <hyperlinks>
    <hyperlink ref="C72" r:id="rId1" xr:uid="{00000000-0004-0000-1800-000000000000}"/>
    <hyperlink ref="J72" r:id="rId2" xr:uid="{00000000-0004-0000-1800-000001000000}"/>
    <hyperlink ref="A74" r:id="rId3" xr:uid="{9486C339-2BD3-477D-8878-98E1C1B95CF5}"/>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0070C0"/>
  </sheetPr>
  <dimension ref="A1:F43"/>
  <sheetViews>
    <sheetView showGridLines="0" workbookViewId="0">
      <selection activeCell="A5" sqref="A5"/>
    </sheetView>
  </sheetViews>
  <sheetFormatPr defaultColWidth="0" defaultRowHeight="14.75" zeroHeight="1" x14ac:dyDescent="0.75"/>
  <cols>
    <col min="1" max="1" width="43.40625" bestFit="1" customWidth="1"/>
    <col min="2" max="5" width="33.7265625" customWidth="1"/>
    <col min="6" max="6" width="0.86328125" customWidth="1"/>
    <col min="7" max="16384" width="9.1328125" hidden="1"/>
  </cols>
  <sheetData>
    <row r="1" spans="1:5" ht="21" x14ac:dyDescent="1">
      <c r="A1" s="302" t="str">
        <f>CONCATENATE("Summary of Year 7: State Fiscal Year ",'2. Getting Started'!B6+6)</f>
        <v>Summary of Year 7: State Fiscal Year 2030</v>
      </c>
      <c r="B1" s="300"/>
      <c r="C1" s="300"/>
      <c r="D1" s="21" t="s">
        <v>14</v>
      </c>
      <c r="E1" s="20" t="str">
        <f>IF('2. Getting Started'!B2="","",'2. Getting Started'!B2)</f>
        <v/>
      </c>
    </row>
    <row r="2" spans="1:5" ht="18.5" x14ac:dyDescent="0.9">
      <c r="A2" s="2" t="str">
        <f>CONCATENATE("State fiscal year ",'2. Getting Started'!B6+6," covers the period ",'2. Getting Started'!B4,", ",'2. Getting Started'!B6+5," through ",'2. Getting Started'!B5,", ",'2. Getting Started'!B6+6)</f>
        <v>State fiscal year 2030 covers the period July 1, 2029 through June 30, 2030</v>
      </c>
      <c r="B2" s="300"/>
      <c r="C2" s="300"/>
      <c r="D2" s="301"/>
      <c r="E2" s="300"/>
    </row>
    <row r="3" spans="1:5" ht="18.5" x14ac:dyDescent="0.9">
      <c r="A3" s="8"/>
      <c r="B3" s="18"/>
      <c r="C3" s="18"/>
      <c r="D3" s="201"/>
      <c r="E3" s="18"/>
    </row>
    <row r="4" spans="1:5" ht="16" x14ac:dyDescent="0.8">
      <c r="A4" s="5" t="s">
        <v>7</v>
      </c>
      <c r="B4" s="4"/>
      <c r="C4" s="4"/>
      <c r="D4" s="4"/>
      <c r="E4" s="4"/>
    </row>
    <row r="5" spans="1:5" x14ac:dyDescent="0.75">
      <c r="A5" s="260" t="s">
        <v>125</v>
      </c>
      <c r="B5" s="244" t="s">
        <v>0</v>
      </c>
      <c r="C5" s="244" t="s">
        <v>2</v>
      </c>
      <c r="D5" s="244" t="s">
        <v>3</v>
      </c>
      <c r="E5" s="245" t="s">
        <v>4</v>
      </c>
    </row>
    <row r="6" spans="1:5" x14ac:dyDescent="0.75">
      <c r="A6" s="243" t="s">
        <v>44</v>
      </c>
      <c r="B6" s="3" t="str">
        <f>IF('2. Getting Started'!B10="","",IF('38. Total Local Funds'!F46="Met",'2. Getting Started'!$B$6+4,IF('38. Total Local Funds'!F38="Met",'2. Getting Started'!$B$6+3,IF('38. Total Local Funds'!F30="Met",'2. Getting Started'!$B$6+2,IF('38. Total Local Funds'!$F22="Met",'2. Getting Started'!$B$6+1,IF('38. Total Local Funds'!$F14="Met",'2. Getting Started'!$B$6,'2. Getting Started'!$B10))))))</f>
        <v/>
      </c>
      <c r="C6" s="3" t="str">
        <f>IF('2. Getting Started'!B11="","",IF('39.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6" s="3" t="str">
        <f>IF('2. Getting Started'!B12="","",IF('40.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6" s="257" t="str">
        <f>IF('2. Getting Started'!B13="","",IF('41.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7" spans="1:5" x14ac:dyDescent="0.75">
      <c r="A7" s="243" t="s">
        <v>45</v>
      </c>
      <c r="B7" s="204" t="str">
        <f>IF(B6="","",IF(B6='2. Getting Started'!$B$6+4,'17. Year 5 Amounts'!K30,IF(B6='2. Getting Started'!$B$6+3,'14. Year 4 Amounts'!K30,IF(B6='2. Getting Started'!$B$6+2,'11. Year 3 Amounts'!K30,IF(B6='2. Getting Started'!$B$6+1,'8. Year 2 Amounts'!K30,IF(B6='2. Getting Started'!$B$6,'5. Year 1 Amounts'!K30,'2. Getting Started'!$C10))))))</f>
        <v/>
      </c>
      <c r="C7" s="204" t="str">
        <f>IF(C6="","",IF(C6='2. Getting Started'!$B$6+4,'17. Year 5 Amounts'!M30,IF(C6='2. Getting Started'!$B$6+3,'14. Year 4 Amounts'!M30,IF(C6='2. Getting Started'!$B$6+2,'11. Year 3 Amounts'!M30,IF(C6='2. Getting Started'!$B$6+1,'8. Year 2 Amounts'!M30,IF(C6='2. Getting Started'!$B$6,'5. Year 1 Amounts'!M30,'2. Getting Started'!$C11))))))</f>
        <v/>
      </c>
      <c r="D7" s="204" t="str">
        <f>IF(D6="","",IF(D6='2. Getting Started'!$B$6+4,'17. Year 5 Amounts'!K31,IF(D6='2. Getting Started'!$B$6+3,'14. Year 4 Amounts'!K31,IF(D6='2. Getting Started'!$B$6+2,'11. Year 3 Amounts'!K31,IF(D6='2. Getting Started'!$B$6+1,'8. Year 2 Amounts'!K31,IF(D6='2. Getting Started'!$B$6,'5. Year 1 Amounts'!K31,'2. Getting Started'!$C12))))))</f>
        <v/>
      </c>
      <c r="E7" s="267" t="str">
        <f>IF(E6="","",IF(E6='2. Getting Started'!$B$6+4,'17. Year 5 Amounts'!M31,IF(E6='2. Getting Started'!$B$6+3,'14. Year 4 Amounts'!M31,IF(E6='2. Getting Started'!$B$6+2,'11. Year 3 Amounts'!M31,IF(E6='2. Getting Started'!$B$6+1,'8. Year 2 Amounts'!M31,IF(E6='2. Getting Started'!$B$6,'5. Year 1 Amounts'!M31,'2. Getting Started'!$C13))))))</f>
        <v/>
      </c>
    </row>
    <row r="8" spans="1:5" x14ac:dyDescent="0.75">
      <c r="A8" s="243" t="s">
        <v>9</v>
      </c>
      <c r="B8" s="204" t="str">
        <f>'23. Year 7 Amounts'!D30</f>
        <v/>
      </c>
      <c r="C8" s="204" t="str">
        <f>'23. Year 7 Amounts'!F30</f>
        <v/>
      </c>
      <c r="D8" s="204" t="str">
        <f>'23. Year 7 Amounts'!D31</f>
        <v/>
      </c>
      <c r="E8" s="267" t="str">
        <f>'23. Year 7 Amounts'!F31</f>
        <v/>
      </c>
    </row>
    <row r="9" spans="1:5" x14ac:dyDescent="0.75">
      <c r="A9" s="243" t="s">
        <v>117</v>
      </c>
      <c r="B9" s="200" t="str">
        <f>IF(B8="","",IF(B8&gt;=B7,"Met",IF(AND(B8&lt;B7,'38. Total Local Funds'!$B62="Met"),"Met with Exceptions &amp; Adjustments","Did Not Meet")))</f>
        <v/>
      </c>
      <c r="C9" s="200" t="str">
        <f>IF(C8="","",IF(C8&gt;=C7,"Met",IF(AND(C8&lt;C7,'39. Total State &amp; Local Funds'!$B62="Met"),"Met with Exceptions &amp; Adjustments","Did Not Meet")))</f>
        <v/>
      </c>
      <c r="D9" s="200" t="str">
        <f>IF(D8="","",IF(D8&gt;=D7,"Met",IF(AND(D8&lt;D7,'40. Local Funds Per Capita'!$B63="Met"),"Met with Exceptions &amp; Adjustments","Did Not Meet")))</f>
        <v/>
      </c>
      <c r="E9" s="259" t="str">
        <f>IF(E8="","",IF(E8&gt;=E7,"Met",IF(AND(E8&lt;E7,'41. State &amp; Local Funds Per Cap'!$B63="Met"),"Met with Exceptions &amp; Adjustments","Did Not Meet")))</f>
        <v/>
      </c>
    </row>
    <row r="10" spans="1:5" x14ac:dyDescent="0.75">
      <c r="A10" s="246" t="s">
        <v>46</v>
      </c>
      <c r="B10" s="256" t="str">
        <f>IF(B9="","",IF(B9="Did Not Meet",'38. Total Local Funds'!$B60-'38. Total Local Funds'!$B61,0))</f>
        <v/>
      </c>
      <c r="C10" s="256" t="str">
        <f>IF(C9="","",IF(C9="Did Not Meet",'39. Total State &amp; Local Funds'!$B60-'39. Total State &amp; Local Funds'!$B61,0))</f>
        <v/>
      </c>
      <c r="D10" s="256" t="str">
        <f>IF(D9="","",IF(D9="Did Not Meet",(('40. Local Funds Per Capita'!$B61-'40. Local Funds Per Capita'!$B62)*'23. Year 7 Amounts'!B1),0))</f>
        <v/>
      </c>
      <c r="E10" s="261" t="str">
        <f>IF(E9="","",IF(E9="Did Not Meet",(('41. State &amp; Local Funds Per Cap'!$B61-'41. State &amp; Local Funds Per Cap'!$B62)*'23. Year 7 Amounts'!B1),0))</f>
        <v/>
      </c>
    </row>
    <row r="11" spans="1:5" x14ac:dyDescent="0.75">
      <c r="A11" s="373" t="s">
        <v>175</v>
      </c>
      <c r="B11" s="373"/>
      <c r="C11" s="373"/>
      <c r="D11" s="373"/>
      <c r="E11" s="373"/>
    </row>
    <row r="12" spans="1:5" ht="16" x14ac:dyDescent="0.8">
      <c r="A12" s="5" t="s">
        <v>10</v>
      </c>
      <c r="B12" s="5"/>
      <c r="C12" s="5"/>
      <c r="D12" s="5"/>
      <c r="E12" s="5"/>
    </row>
    <row r="13" spans="1:5" x14ac:dyDescent="0.75">
      <c r="A13" s="260" t="s">
        <v>125</v>
      </c>
      <c r="B13" s="244" t="s">
        <v>0</v>
      </c>
      <c r="C13" s="244" t="s">
        <v>2</v>
      </c>
      <c r="D13" s="244" t="s">
        <v>3</v>
      </c>
      <c r="E13" s="245" t="s">
        <v>4</v>
      </c>
    </row>
    <row r="14" spans="1:5" x14ac:dyDescent="0.75">
      <c r="A14" s="243" t="s">
        <v>44</v>
      </c>
      <c r="B14" s="3" t="str">
        <f>IF('2. Getting Started'!B10="","",IF('38. Total Local Funds'!F54="Met",'2. Getting Started'!B6+5,IF('38. Total Local Funds'!F46="Met",'2. Getting Started'!B6+4,IF('38. Total Local Funds'!F38="Met",'2. Getting Started'!$B$6+3,IF('38. Total Local Funds'!F30="Met",'2. Getting Started'!$B$6+2,IF('38. Total Local Funds'!F22="Met",'2. Getting Started'!$B$6+1,IF('38. Total Local Funds'!$F14="Met",'2. Getting Started'!$B$6,'2. Getting Started'!$B10)))))))</f>
        <v/>
      </c>
      <c r="C14" s="3" t="str">
        <f>IF('2. Getting Started'!B11="","",IF('39. Total State &amp; Local Funds'!F54="Met",'2. Getting Started'!B6+5,IF('39.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14" s="3" t="str">
        <f>IF('2. Getting Started'!B12="","",IF('40. Local Funds Per Capita'!F55="Met",'2. Getting Started'!B6+5,IF('40.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14" s="257" t="str">
        <f>IF('2. Getting Started'!B13="","",IF('41. State &amp; Local Funds Per Cap'!F55="Met",'2. Getting Started'!B6+5,IF('41.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15" spans="1:5" x14ac:dyDescent="0.75">
      <c r="A15" s="243" t="s">
        <v>45</v>
      </c>
      <c r="B15" s="17" t="str">
        <f>IF(B14="","",IF(B14='2. Getting Started'!B6+5,'20. Year 6 Amounts'!K30,IF(B14='2. Getting Started'!B6+4,'17. Year 5 Amounts'!K30,IF(B14='2. Getting Started'!$B$6+3,'14. Year 4 Amounts'!K30,IF(B14='2. Getting Started'!$B$6+2,'11. Year 3 Amounts'!K30,IF(B14='2. Getting Started'!$B$6+1,'8. Year 2 Amounts'!K30,IF(B14='2. Getting Started'!$B$6,'5. Year 1 Amounts'!K30,'2. Getting Started'!$C10)))))))</f>
        <v/>
      </c>
      <c r="C15" s="17" t="str">
        <f>IF(C14="","",IF(C14='2. Getting Started'!B6+5,'20. Year 6 Amounts'!M30,IF(C14='2. Getting Started'!B6+4,'17. Year 5 Amounts'!M30,IF(C14='2. Getting Started'!$B$6+3,'14. Year 4 Amounts'!M30,IF(C14='2. Getting Started'!$B$6+2,'11. Year 3 Amounts'!M30,IF(C14='2. Getting Started'!$B$6+1,'8. Year 2 Amounts'!M30,IF(C14='2. Getting Started'!$B$6,'5. Year 1 Amounts'!M30,'2. Getting Started'!$C11)))))))</f>
        <v/>
      </c>
      <c r="D15" s="17" t="str">
        <f>IF(D14="","",IF(D14='2. Getting Started'!B6+5,'20. Year 6 Amounts'!K31,IF(D14='2. Getting Started'!B6+4,'17. Year 5 Amounts'!K31,IF(D14='2. Getting Started'!$B$6+3,'14. Year 4 Amounts'!K31,IF(D14='2. Getting Started'!$B$6+2,'11. Year 3 Amounts'!K31,IF(D14='2. Getting Started'!$B$6+1,'8. Year 2 Amounts'!K31,IF(D14='2. Getting Started'!$B$6,'5. Year 1 Amounts'!K31,'2. Getting Started'!$C12)))))))</f>
        <v/>
      </c>
      <c r="E15" s="258" t="str">
        <f>IF(E14="","",IF(E14='2. Getting Started'!B6+5,'20. Year 6 Amounts'!M31,IF(E14='2. Getting Started'!B6+4,'17. Year 5 Amounts'!M31,IF(E14='2. Getting Started'!$B$6+3,'14. Year 4 Amounts'!M31,IF(E14='2. Getting Started'!$B$6+2,'11. Year 3 Amounts'!M31,IF(E14='2. Getting Started'!$B$6+1,'8. Year 2 Amounts'!M31,IF(E14='2. Getting Started'!$B$6,'5. Year 1 Amounts'!M31,'2. Getting Started'!$C13)))))))</f>
        <v/>
      </c>
    </row>
    <row r="16" spans="1:5" x14ac:dyDescent="0.75">
      <c r="A16" s="243" t="s">
        <v>11</v>
      </c>
      <c r="B16" s="17" t="str">
        <f>'23. Year 7 Amounts'!K30</f>
        <v/>
      </c>
      <c r="C16" s="17" t="str">
        <f>'23. Year 7 Amounts'!M30</f>
        <v/>
      </c>
      <c r="D16" s="17" t="str">
        <f>'23. Year 7 Amounts'!K31</f>
        <v/>
      </c>
      <c r="E16" s="258" t="str">
        <f>'23. Year 7 Amounts'!M31</f>
        <v/>
      </c>
    </row>
    <row r="17" spans="1:5" x14ac:dyDescent="0.75">
      <c r="A17" s="243" t="s">
        <v>117</v>
      </c>
      <c r="B17" s="200" t="str">
        <f>IF(B16="","",IF(B16&gt;=B15,"Met",IF(AND(B16&lt;B15,'38. Total Local Funds'!F62="Met"),"Met with Exceptions &amp; Adjustments","Did Not Meet")))</f>
        <v/>
      </c>
      <c r="C17" s="200" t="str">
        <f>IF(C16="","",IF(C16&gt;=C15,"Met",IF(AND(C16&lt;C15,'39. Total State &amp; Local Funds'!F62="Met"),"Met with Exceptions &amp; Adjustments","Did Not Meet")))</f>
        <v/>
      </c>
      <c r="D17" s="200" t="str">
        <f>IF(D16="","",IF(D16&gt;=D15,"Met",IF(AND(D16&lt;D15,'40. Local Funds Per Capita'!F63="Met"),"Met with Exceptions &amp; Adjustments","Did Not Meet")))</f>
        <v/>
      </c>
      <c r="E17" s="259" t="str">
        <f>IF(E16="","",IF(E16&gt;=E15,"Met",IF(AND(E16&lt;E15,'41. State &amp; Local Funds Per Cap'!F63="Met"),"Met with Exceptions &amp; Adjustments","Did Not Meet")))</f>
        <v/>
      </c>
    </row>
    <row r="18" spans="1:5" x14ac:dyDescent="0.75">
      <c r="A18" s="246" t="s">
        <v>46</v>
      </c>
      <c r="B18" s="256" t="str">
        <f>IF(B17="","",IF(B17="Did Not Meet",'38. Total Local Funds'!F60-'38. Total Local Funds'!F61,0))</f>
        <v/>
      </c>
      <c r="C18" s="256" t="str">
        <f>IF(C17="","",IF(C17="Did Not Meet",'39. Total State &amp; Local Funds'!F60-'39. Total State &amp; Local Funds'!F61,0))</f>
        <v/>
      </c>
      <c r="D18" s="256" t="str">
        <f>IF(D17="","",IF(D17="Did Not Meet",(('40. Local Funds Per Capita'!F61-'40. Local Funds Per Capita'!F62)*'23. Year 7 Amounts'!I1),0))</f>
        <v/>
      </c>
      <c r="E18" s="261" t="str">
        <f>IF(E17="","",IF(E17="Did Not Meet",(('41. State &amp; Local Funds Per Cap'!F61-'41. State &amp; Local Funds Per Cap'!F62)*'23. Year 7 Amounts'!I1),0))</f>
        <v/>
      </c>
    </row>
    <row r="19" spans="1:5" x14ac:dyDescent="0.75">
      <c r="A19" s="373" t="s">
        <v>175</v>
      </c>
      <c r="B19" s="373"/>
      <c r="C19" s="373"/>
      <c r="D19" s="373"/>
      <c r="E19" s="373"/>
    </row>
    <row r="20" spans="1:5" ht="16" x14ac:dyDescent="0.8">
      <c r="A20" s="198"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9"/>
    </row>
    <row r="21" spans="1:5" x14ac:dyDescent="0.75">
      <c r="A21" s="260" t="s">
        <v>126</v>
      </c>
      <c r="B21" s="271" t="s">
        <v>133</v>
      </c>
    </row>
    <row r="22" spans="1:5" x14ac:dyDescent="0.75">
      <c r="A22" s="243" t="s">
        <v>110</v>
      </c>
      <c r="B22" s="272"/>
    </row>
    <row r="23" spans="1:5" x14ac:dyDescent="0.75">
      <c r="A23" s="243" t="s">
        <v>111</v>
      </c>
      <c r="B23" s="272"/>
    </row>
    <row r="24" spans="1:5" x14ac:dyDescent="0.75">
      <c r="A24" s="243" t="s">
        <v>112</v>
      </c>
      <c r="B24" s="258">
        <f>B22+B23</f>
        <v>0</v>
      </c>
    </row>
    <row r="25" spans="1:5" x14ac:dyDescent="0.75">
      <c r="A25" s="243" t="s">
        <v>113</v>
      </c>
      <c r="B25" s="258">
        <f>MIN(B24,B18,C18,D18,E18)</f>
        <v>0</v>
      </c>
    </row>
    <row r="26" spans="1:5" x14ac:dyDescent="0.75">
      <c r="A26" s="243" t="s">
        <v>114</v>
      </c>
      <c r="B26" s="263"/>
    </row>
    <row r="27" spans="1:5" x14ac:dyDescent="0.75">
      <c r="A27" s="246" t="s">
        <v>115</v>
      </c>
      <c r="B27" s="264"/>
    </row>
    <row r="28" spans="1:5" x14ac:dyDescent="0.75">
      <c r="A28" s="373" t="s">
        <v>175</v>
      </c>
      <c r="B28" s="373"/>
      <c r="C28" s="373"/>
      <c r="D28" s="373"/>
      <c r="E28" s="373"/>
    </row>
    <row r="29" spans="1:5" ht="16" x14ac:dyDescent="0.8">
      <c r="A29" s="322" t="s">
        <v>149</v>
      </c>
    </row>
    <row r="30" spans="1:5" x14ac:dyDescent="0.75">
      <c r="A30" s="373" t="s">
        <v>175</v>
      </c>
      <c r="B30" s="373"/>
      <c r="C30" s="373"/>
      <c r="D30" s="373"/>
      <c r="E30" s="373"/>
    </row>
    <row r="31" spans="1:5" x14ac:dyDescent="0.75">
      <c r="A31" s="2" t="str">
        <f>CONCATENATE("Exceptions and Adjustment Claimed for State Fiscal Year ",'2. Getting Started'!B6+6)</f>
        <v>Exceptions and Adjustment Claimed for State Fiscal Year 2030</v>
      </c>
    </row>
    <row r="32" spans="1:5" x14ac:dyDescent="0.75">
      <c r="A32" s="2"/>
      <c r="B32" s="323" t="s">
        <v>148</v>
      </c>
      <c r="C32" s="4"/>
      <c r="D32" s="323" t="s">
        <v>152</v>
      </c>
      <c r="E32" s="4"/>
    </row>
    <row r="33" spans="1:5" x14ac:dyDescent="0.75">
      <c r="A33" s="217" t="s">
        <v>151</v>
      </c>
      <c r="B33" s="324" t="s">
        <v>155</v>
      </c>
      <c r="C33" s="325" t="s">
        <v>156</v>
      </c>
      <c r="D33" s="326" t="s">
        <v>153</v>
      </c>
      <c r="E33" s="325" t="s">
        <v>154</v>
      </c>
    </row>
    <row r="34" spans="1:5" x14ac:dyDescent="0.75">
      <c r="A34" s="223" t="s">
        <v>140</v>
      </c>
      <c r="B34" s="17">
        <f>'24. Year 7 Exc &amp; Adj'!F22</f>
        <v>0</v>
      </c>
      <c r="C34" s="258">
        <f>'24. Year 7 Exc &amp; Adj'!F22</f>
        <v>0</v>
      </c>
      <c r="D34" s="327">
        <f>'24. Year 7 Exc &amp; Adj'!M22</f>
        <v>0</v>
      </c>
      <c r="E34" s="17">
        <f>'24. Year 7 Exc &amp; Adj'!M22</f>
        <v>0</v>
      </c>
    </row>
    <row r="35" spans="1:5" x14ac:dyDescent="0.75">
      <c r="A35" s="223" t="s">
        <v>141</v>
      </c>
      <c r="B35" s="17" t="str">
        <f>'24. Year 7 Exc &amp; Adj'!B32</f>
        <v/>
      </c>
      <c r="C35" s="258" t="str">
        <f>'24. Year 7 Exc &amp; Adj'!C32</f>
        <v/>
      </c>
      <c r="D35" s="327" t="str">
        <f>'24. Year 7 Exc &amp; Adj'!I32</f>
        <v/>
      </c>
      <c r="E35" s="258" t="str">
        <f>'24. Year 7 Exc &amp; Adj'!J32</f>
        <v/>
      </c>
    </row>
    <row r="36" spans="1:5" x14ac:dyDescent="0.75">
      <c r="A36" s="223" t="s">
        <v>142</v>
      </c>
      <c r="B36" s="17">
        <f>'24. Year 7 Exc &amp; Adj'!C43</f>
        <v>0</v>
      </c>
      <c r="C36" s="258">
        <f>'24. Year 7 Exc &amp; Adj'!C43</f>
        <v>0</v>
      </c>
      <c r="D36" s="327">
        <f>'24. Year 7 Exc &amp; Adj'!J43</f>
        <v>0</v>
      </c>
      <c r="E36" s="17">
        <f>'24. Year 7 Exc &amp; Adj'!J43</f>
        <v>0</v>
      </c>
    </row>
    <row r="37" spans="1:5" x14ac:dyDescent="0.75">
      <c r="A37" s="223" t="s">
        <v>143</v>
      </c>
      <c r="B37" s="17">
        <f>'24. Year 7 Exc &amp; Adj'!B53</f>
        <v>0</v>
      </c>
      <c r="C37" s="258">
        <f>'24. Year 7 Exc &amp; Adj'!B53</f>
        <v>0</v>
      </c>
      <c r="D37" s="327">
        <f>'24. Year 7 Exc &amp; Adj'!I53</f>
        <v>0</v>
      </c>
      <c r="E37" s="17">
        <f>'24. Year 7 Exc &amp; Adj'!I53</f>
        <v>0</v>
      </c>
    </row>
    <row r="38" spans="1:5" x14ac:dyDescent="0.75">
      <c r="A38" s="223" t="str">
        <f>IF('3b. High Cost Fund'!$B9="No","This exception is not valid for your state.","Exception (e)")</f>
        <v>This exception is not valid for your state.</v>
      </c>
      <c r="B38" s="332" t="str">
        <f>IF('3b. High Cost Fund'!$B9="No","",'24. Year 7 Exc &amp; Adj'!B63)</f>
        <v/>
      </c>
      <c r="C38" s="333" t="str">
        <f>IF('3b. High Cost Fund'!$B9="No","",'24. Year 7 Exc &amp; Adj'!B63)</f>
        <v/>
      </c>
      <c r="D38" s="327" t="str">
        <f>IF('3b. High Cost Fund'!$B9="No","",'24. Year 7 Exc &amp; Adj'!I63)</f>
        <v/>
      </c>
      <c r="E38" s="332" t="str">
        <f>IF('3b. High Cost Fund'!$B9="No","",'24. Year 7 Exc &amp; Adj'!I63)</f>
        <v/>
      </c>
    </row>
    <row r="39" spans="1:5" x14ac:dyDescent="0.75">
      <c r="A39" s="223" t="s">
        <v>144</v>
      </c>
      <c r="B39" s="17">
        <f>AdjDataYear7Budget[Projected Adjustment]</f>
        <v>0</v>
      </c>
      <c r="C39" s="17">
        <f>AdjDataYear7Budget[Projected Adjustment]</f>
        <v>0</v>
      </c>
      <c r="D39" s="328">
        <f>AdjDataYear7Expenditures[[Adjustment ]]</f>
        <v>0</v>
      </c>
      <c r="E39" s="17">
        <f>AdjDataYear7Expenditures[[Adjustment ]]</f>
        <v>0</v>
      </c>
    </row>
    <row r="40" spans="1:5" x14ac:dyDescent="0.75">
      <c r="A40" s="246" t="s">
        <v>124</v>
      </c>
      <c r="B40" s="329">
        <f>SUM(B34:B39)</f>
        <v>0</v>
      </c>
      <c r="C40" s="330">
        <f>SUM(C34:C39)</f>
        <v>0</v>
      </c>
      <c r="D40" s="331">
        <f>SUM(D34:D39)</f>
        <v>0</v>
      </c>
      <c r="E40" s="330">
        <f>SUM(E34:E39)</f>
        <v>0</v>
      </c>
    </row>
    <row r="41" spans="1:5" ht="28.5" customHeight="1" x14ac:dyDescent="0.75">
      <c r="A41" s="345" t="s">
        <v>183</v>
      </c>
      <c r="B41" s="346"/>
      <c r="C41" s="346"/>
      <c r="D41" s="346"/>
      <c r="E41" s="346"/>
    </row>
    <row r="42" spans="1:5" ht="16" x14ac:dyDescent="0.8">
      <c r="A42" s="358" t="s">
        <v>182</v>
      </c>
    </row>
    <row r="43" spans="1:5" x14ac:dyDescent="0.75">
      <c r="A43" s="373" t="s">
        <v>24</v>
      </c>
      <c r="B43" s="373"/>
      <c r="C43" s="373"/>
      <c r="D43" s="373"/>
      <c r="E43" s="373"/>
    </row>
  </sheetData>
  <sheetProtection algorithmName="SHA-512" hashValue="Tkd7+trGMU3rQNQBCfb/nnJvurm/lZueBsC5ihAB62hWNTyamv0dWWib9SkdrtRB6Ur7K8MiP4yi7QzaRt1Adw==" saltValue="24ntuy/0BtOnLzD/nnRUAw==" spinCount="100000" sheet="1" objects="1" scenarios="1" formatColumns="0" formatRows="0"/>
  <mergeCells count="5">
    <mergeCell ref="A11:E11"/>
    <mergeCell ref="A19:E19"/>
    <mergeCell ref="A28:E28"/>
    <mergeCell ref="A30:E30"/>
    <mergeCell ref="A43:E43"/>
  </mergeCells>
  <conditionalFormatting sqref="B9:E9">
    <cfRule type="containsText" dxfId="184" priority="3" operator="containsText" text="Did Not Meet">
      <formula>NOT(ISERROR(SEARCH("Did Not Meet",B9)))</formula>
    </cfRule>
    <cfRule type="containsText" dxfId="183" priority="4" operator="containsText" text="Met">
      <formula>NOT(ISERROR(SEARCH("Met",B9)))</formula>
    </cfRule>
  </conditionalFormatting>
  <conditionalFormatting sqref="B17:E17">
    <cfRule type="containsText" dxfId="182" priority="1" operator="containsText" text="Did Not Meet">
      <formula>NOT(ISERROR(SEARCH("Did Not Meet",B17)))</formula>
    </cfRule>
    <cfRule type="containsText" dxfId="181" priority="2" operator="containsText" text="Met">
      <formula>NOT(ISERROR(SEARCH("Met",B17)))</formula>
    </cfRule>
  </conditionalFormatting>
  <hyperlinks>
    <hyperlink ref="A29" location="'4. Multi-Year MOE Summary'!A10" display="Go to the Multi-Year MOE Summary" xr:uid="{00000000-0004-0000-1900-000000000000}"/>
    <hyperlink ref="A42" r:id="rId1" xr:uid="{574F4AFE-E056-44F1-91A6-72ABF80606E7}"/>
  </hyperlinks>
  <pageMargins left="0.7" right="0.7" top="0.75" bottom="0.75" header="0.3" footer="0.3"/>
  <pageSetup orientation="landscape" verticalDpi="300" r:id="rId2"/>
  <tableParts count="4">
    <tablePart r:id="rId3"/>
    <tablePart r:id="rId4"/>
    <tablePart r:id="rId5"/>
    <tablePart r:id="rId6"/>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FF0000"/>
    <pageSetUpPr autoPageBreaks="0"/>
  </sheetPr>
  <dimension ref="A1:N35"/>
  <sheetViews>
    <sheetView showGridLines="0" workbookViewId="0">
      <pane ySplit="4" topLeftCell="A5" activePane="bottomLeft" state="frozen"/>
      <selection activeCell="A32" sqref="A32:A33"/>
      <selection pane="bottomLeft" activeCell="A5" sqref="A5"/>
    </sheetView>
  </sheetViews>
  <sheetFormatPr defaultColWidth="0" defaultRowHeight="0" customHeight="1" zeroHeight="1" x14ac:dyDescent="0.75"/>
  <cols>
    <col min="1" max="1" width="39.40625" style="20" bestFit="1" customWidth="1"/>
    <col min="2" max="3" width="12.86328125" style="20" customWidth="1"/>
    <col min="4" max="6" width="23.7265625" style="20" customWidth="1"/>
    <col min="7" max="7" width="5.40625" style="20" customWidth="1"/>
    <col min="8" max="8" width="39.40625" style="20" customWidth="1"/>
    <col min="9" max="10" width="12.86328125" style="20" customWidth="1"/>
    <col min="11" max="13" width="23.7265625" style="20" customWidth="1"/>
    <col min="14" max="14" width="0.86328125" style="20" customWidth="1"/>
    <col min="15" max="16384" width="10.54296875" style="20" hidden="1"/>
  </cols>
  <sheetData>
    <row r="1" spans="1:13" ht="16.75" thickBot="1" x14ac:dyDescent="0.9">
      <c r="A1" s="19" t="s">
        <v>48</v>
      </c>
      <c r="B1" s="48"/>
      <c r="D1" s="21" t="s">
        <v>14</v>
      </c>
      <c r="E1" s="20" t="str">
        <f>IF('2. Getting Started'!B2="","",'2. Getting Started'!B2)</f>
        <v/>
      </c>
      <c r="G1" s="376" t="s">
        <v>22</v>
      </c>
      <c r="H1" s="19" t="s">
        <v>49</v>
      </c>
      <c r="I1" s="48"/>
      <c r="K1" s="21" t="s">
        <v>14</v>
      </c>
      <c r="L1" s="20" t="str">
        <f>IF('2. Getting Started'!B2="","",'2. Getting Started'!B2)</f>
        <v/>
      </c>
    </row>
    <row r="2" spans="1:13" s="25" customFormat="1" ht="37.9" customHeight="1" thickBot="1" x14ac:dyDescent="0.9">
      <c r="A2" s="22" t="str">
        <f>CONCATENATE("Eligibility Standard - State Fiscal Year ",'2. Getting Started'!B6+7," -  LEA Effort - Budgeted Amounts")</f>
        <v>Eligibility Standard - State Fiscal Year 2031 -  LEA Effort - Budgeted Amounts</v>
      </c>
      <c r="B2" s="23"/>
      <c r="C2" s="23"/>
      <c r="D2" s="23"/>
      <c r="E2" s="23"/>
      <c r="F2" s="24"/>
      <c r="G2" s="376"/>
      <c r="H2" s="22" t="str">
        <f>CONCATENATE("Compliance Standard - State Fiscal Year ",'2. Getting Started'!B6+7," - LEA Effort - Final Expenditures")</f>
        <v>Compliance Standard - State Fiscal Year 2031 - LEA Effort - Final Expenditures</v>
      </c>
      <c r="I2" s="23"/>
      <c r="J2" s="23"/>
      <c r="K2" s="23"/>
      <c r="L2" s="23"/>
      <c r="M2" s="24"/>
    </row>
    <row r="3" spans="1:13" s="25" customFormat="1" ht="24" customHeight="1" x14ac:dyDescent="0.75">
      <c r="A3" s="26"/>
      <c r="B3" s="27"/>
      <c r="D3" s="28" t="str">
        <f>CONCATENATE("SFY ",'2. Getting Started'!$B6+7," Budget")</f>
        <v>SFY 2031 Budget</v>
      </c>
      <c r="E3" s="29"/>
      <c r="F3" s="30"/>
      <c r="G3" s="376"/>
      <c r="H3" s="26"/>
      <c r="I3" s="27"/>
      <c r="J3" s="31"/>
      <c r="K3" s="28" t="str">
        <f>CONCATENATE("SFY ",'2. Getting Started'!$B6+7," Final Expenditures")</f>
        <v>SFY 2031 Final Expenditures</v>
      </c>
      <c r="L3" s="29"/>
      <c r="M3" s="32"/>
    </row>
    <row r="4" spans="1:13" s="37" customFormat="1" ht="18.5" x14ac:dyDescent="0.9">
      <c r="A4" s="33" t="s">
        <v>50</v>
      </c>
      <c r="B4" s="34" t="s">
        <v>51</v>
      </c>
      <c r="C4" s="35" t="s">
        <v>52</v>
      </c>
      <c r="D4" s="36" t="s">
        <v>53</v>
      </c>
      <c r="E4" s="36" t="s">
        <v>54</v>
      </c>
      <c r="F4" s="36" t="s">
        <v>8</v>
      </c>
      <c r="G4" s="376"/>
      <c r="H4" s="33" t="s">
        <v>50</v>
      </c>
      <c r="I4" s="34" t="s">
        <v>55</v>
      </c>
      <c r="J4" s="35" t="s">
        <v>52</v>
      </c>
      <c r="K4" s="36" t="s">
        <v>53</v>
      </c>
      <c r="L4" s="36" t="s">
        <v>54</v>
      </c>
      <c r="M4" s="36" t="s">
        <v>8</v>
      </c>
    </row>
    <row r="5" spans="1:13" ht="16" x14ac:dyDescent="0.75">
      <c r="A5" s="49"/>
      <c r="B5" s="50"/>
      <c r="C5" s="51"/>
      <c r="D5" s="52"/>
      <c r="E5" s="52"/>
      <c r="F5" s="38" t="str">
        <f>IF(AND(D5="",E5=""),"",SUM(D5:E5))</f>
        <v/>
      </c>
      <c r="G5" s="376"/>
      <c r="H5" s="49"/>
      <c r="I5" s="50"/>
      <c r="J5" s="51"/>
      <c r="K5" s="52"/>
      <c r="L5" s="52"/>
      <c r="M5" s="38" t="str">
        <f>IF(AND(K5="",L5=""),"",SUM(K5:L5))</f>
        <v/>
      </c>
    </row>
    <row r="6" spans="1:13" ht="16" x14ac:dyDescent="0.75">
      <c r="A6" s="49"/>
      <c r="B6" s="50"/>
      <c r="C6" s="51"/>
      <c r="D6" s="52"/>
      <c r="E6" s="52"/>
      <c r="F6" s="38" t="str">
        <f t="shared" ref="F6:F29" si="0">IF(AND(D6="",E6=""),"",SUM(D6:E6))</f>
        <v/>
      </c>
      <c r="G6" s="376"/>
      <c r="H6" s="49"/>
      <c r="I6" s="50"/>
      <c r="J6" s="51"/>
      <c r="K6" s="52"/>
      <c r="L6" s="52"/>
      <c r="M6" s="38" t="str">
        <f t="shared" ref="M6:M29" si="1">IF(AND(K6="",L6=""),"",SUM(K6:L6))</f>
        <v/>
      </c>
    </row>
    <row r="7" spans="1:13" ht="16" x14ac:dyDescent="0.75">
      <c r="A7" s="49"/>
      <c r="B7" s="50"/>
      <c r="C7" s="51"/>
      <c r="D7" s="52"/>
      <c r="E7" s="52"/>
      <c r="F7" s="38" t="str">
        <f t="shared" si="0"/>
        <v/>
      </c>
      <c r="G7" s="376"/>
      <c r="H7" s="49"/>
      <c r="I7" s="50"/>
      <c r="J7" s="51"/>
      <c r="K7" s="52"/>
      <c r="L7" s="52"/>
      <c r="M7" s="38" t="str">
        <f t="shared" si="1"/>
        <v/>
      </c>
    </row>
    <row r="8" spans="1:13" ht="16" x14ac:dyDescent="0.75">
      <c r="A8" s="49"/>
      <c r="B8" s="50"/>
      <c r="C8" s="51"/>
      <c r="D8" s="52"/>
      <c r="E8" s="52"/>
      <c r="F8" s="38" t="str">
        <f t="shared" si="0"/>
        <v/>
      </c>
      <c r="G8" s="376"/>
      <c r="H8" s="49"/>
      <c r="I8" s="50"/>
      <c r="J8" s="51"/>
      <c r="K8" s="52"/>
      <c r="L8" s="52"/>
      <c r="M8" s="38" t="str">
        <f t="shared" si="1"/>
        <v/>
      </c>
    </row>
    <row r="9" spans="1:13" ht="16" x14ac:dyDescent="0.75">
      <c r="A9" s="49"/>
      <c r="B9" s="50"/>
      <c r="C9" s="51"/>
      <c r="D9" s="52"/>
      <c r="E9" s="52"/>
      <c r="F9" s="38" t="str">
        <f t="shared" si="0"/>
        <v/>
      </c>
      <c r="G9" s="376"/>
      <c r="H9" s="49"/>
      <c r="I9" s="50"/>
      <c r="J9" s="51"/>
      <c r="K9" s="52"/>
      <c r="L9" s="52"/>
      <c r="M9" s="38" t="str">
        <f t="shared" si="1"/>
        <v/>
      </c>
    </row>
    <row r="10" spans="1:13" ht="16" x14ac:dyDescent="0.75">
      <c r="A10" s="49"/>
      <c r="B10" s="50"/>
      <c r="C10" s="51"/>
      <c r="D10" s="52"/>
      <c r="E10" s="52"/>
      <c r="F10" s="38" t="str">
        <f t="shared" si="0"/>
        <v/>
      </c>
      <c r="G10" s="376"/>
      <c r="H10" s="49"/>
      <c r="I10" s="50"/>
      <c r="J10" s="51"/>
      <c r="K10" s="52"/>
      <c r="L10" s="52"/>
      <c r="M10" s="38" t="str">
        <f t="shared" si="1"/>
        <v/>
      </c>
    </row>
    <row r="11" spans="1:13" ht="16" x14ac:dyDescent="0.75">
      <c r="A11" s="49"/>
      <c r="B11" s="50"/>
      <c r="C11" s="51"/>
      <c r="D11" s="52"/>
      <c r="E11" s="52"/>
      <c r="F11" s="38" t="str">
        <f t="shared" si="0"/>
        <v/>
      </c>
      <c r="G11" s="376"/>
      <c r="H11" s="49"/>
      <c r="I11" s="50"/>
      <c r="J11" s="51"/>
      <c r="K11" s="52"/>
      <c r="L11" s="52"/>
      <c r="M11" s="38" t="str">
        <f t="shared" si="1"/>
        <v/>
      </c>
    </row>
    <row r="12" spans="1:13" ht="16" x14ac:dyDescent="0.75">
      <c r="A12" s="49"/>
      <c r="B12" s="50"/>
      <c r="C12" s="51"/>
      <c r="D12" s="52"/>
      <c r="E12" s="52"/>
      <c r="F12" s="38" t="str">
        <f t="shared" si="0"/>
        <v/>
      </c>
      <c r="G12" s="376"/>
      <c r="H12" s="49"/>
      <c r="I12" s="50"/>
      <c r="J12" s="51"/>
      <c r="K12" s="52"/>
      <c r="L12" s="52"/>
      <c r="M12" s="38" t="str">
        <f t="shared" si="1"/>
        <v/>
      </c>
    </row>
    <row r="13" spans="1:13" ht="16" x14ac:dyDescent="0.75">
      <c r="A13" s="49"/>
      <c r="B13" s="50"/>
      <c r="C13" s="51"/>
      <c r="D13" s="52"/>
      <c r="E13" s="52"/>
      <c r="F13" s="38" t="str">
        <f t="shared" si="0"/>
        <v/>
      </c>
      <c r="G13" s="376"/>
      <c r="H13" s="49"/>
      <c r="I13" s="50"/>
      <c r="J13" s="51"/>
      <c r="K13" s="52"/>
      <c r="L13" s="52"/>
      <c r="M13" s="38" t="str">
        <f t="shared" si="1"/>
        <v/>
      </c>
    </row>
    <row r="14" spans="1:13" ht="16" x14ac:dyDescent="0.75">
      <c r="A14" s="49"/>
      <c r="B14" s="50"/>
      <c r="C14" s="51"/>
      <c r="D14" s="52"/>
      <c r="E14" s="52"/>
      <c r="F14" s="38" t="str">
        <f t="shared" si="0"/>
        <v/>
      </c>
      <c r="G14" s="376"/>
      <c r="H14" s="49"/>
      <c r="I14" s="50"/>
      <c r="J14" s="51"/>
      <c r="K14" s="52"/>
      <c r="L14" s="52"/>
      <c r="M14" s="38" t="str">
        <f t="shared" si="1"/>
        <v/>
      </c>
    </row>
    <row r="15" spans="1:13" ht="16" x14ac:dyDescent="0.75">
      <c r="A15" s="49"/>
      <c r="B15" s="50"/>
      <c r="C15" s="51"/>
      <c r="D15" s="52"/>
      <c r="E15" s="52"/>
      <c r="F15" s="38" t="str">
        <f t="shared" si="0"/>
        <v/>
      </c>
      <c r="G15" s="376"/>
      <c r="H15" s="49"/>
      <c r="I15" s="50"/>
      <c r="J15" s="51"/>
      <c r="K15" s="52"/>
      <c r="L15" s="52"/>
      <c r="M15" s="38" t="str">
        <f t="shared" si="1"/>
        <v/>
      </c>
    </row>
    <row r="16" spans="1:13" ht="16" x14ac:dyDescent="0.75">
      <c r="A16" s="49"/>
      <c r="B16" s="50"/>
      <c r="C16" s="51"/>
      <c r="D16" s="52"/>
      <c r="E16" s="52"/>
      <c r="F16" s="38" t="str">
        <f t="shared" si="0"/>
        <v/>
      </c>
      <c r="G16" s="376"/>
      <c r="H16" s="49"/>
      <c r="I16" s="50"/>
      <c r="J16" s="51"/>
      <c r="K16" s="52"/>
      <c r="L16" s="52"/>
      <c r="M16" s="38" t="str">
        <f t="shared" si="1"/>
        <v/>
      </c>
    </row>
    <row r="17" spans="1:13" ht="16" x14ac:dyDescent="0.75">
      <c r="A17" s="49"/>
      <c r="B17" s="50"/>
      <c r="C17" s="51"/>
      <c r="D17" s="52"/>
      <c r="E17" s="52"/>
      <c r="F17" s="38" t="str">
        <f t="shared" si="0"/>
        <v/>
      </c>
      <c r="G17" s="376"/>
      <c r="H17" s="49"/>
      <c r="I17" s="50"/>
      <c r="J17" s="51"/>
      <c r="K17" s="52"/>
      <c r="L17" s="52"/>
      <c r="M17" s="38" t="str">
        <f t="shared" si="1"/>
        <v/>
      </c>
    </row>
    <row r="18" spans="1:13" ht="16" x14ac:dyDescent="0.75">
      <c r="A18" s="49"/>
      <c r="B18" s="50"/>
      <c r="C18" s="51"/>
      <c r="D18" s="52"/>
      <c r="E18" s="52"/>
      <c r="F18" s="38" t="str">
        <f t="shared" si="0"/>
        <v/>
      </c>
      <c r="G18" s="376"/>
      <c r="H18" s="49"/>
      <c r="I18" s="50"/>
      <c r="J18" s="51"/>
      <c r="K18" s="52"/>
      <c r="L18" s="52"/>
      <c r="M18" s="38" t="str">
        <f t="shared" si="1"/>
        <v/>
      </c>
    </row>
    <row r="19" spans="1:13" ht="16" x14ac:dyDescent="0.75">
      <c r="A19" s="49"/>
      <c r="B19" s="50"/>
      <c r="C19" s="51"/>
      <c r="D19" s="52"/>
      <c r="E19" s="52"/>
      <c r="F19" s="38" t="str">
        <f t="shared" si="0"/>
        <v/>
      </c>
      <c r="G19" s="376"/>
      <c r="H19" s="49"/>
      <c r="I19" s="50"/>
      <c r="J19" s="51"/>
      <c r="K19" s="52"/>
      <c r="L19" s="52"/>
      <c r="M19" s="38" t="str">
        <f t="shared" si="1"/>
        <v/>
      </c>
    </row>
    <row r="20" spans="1:13" ht="16" x14ac:dyDescent="0.75">
      <c r="A20" s="49"/>
      <c r="B20" s="50"/>
      <c r="C20" s="51"/>
      <c r="D20" s="52"/>
      <c r="E20" s="52"/>
      <c r="F20" s="38" t="str">
        <f t="shared" si="0"/>
        <v/>
      </c>
      <c r="G20" s="376"/>
      <c r="H20" s="49"/>
      <c r="I20" s="50"/>
      <c r="J20" s="51"/>
      <c r="K20" s="52"/>
      <c r="L20" s="52"/>
      <c r="M20" s="38" t="str">
        <f t="shared" si="1"/>
        <v/>
      </c>
    </row>
    <row r="21" spans="1:13" ht="16" x14ac:dyDescent="0.75">
      <c r="A21" s="49"/>
      <c r="B21" s="50"/>
      <c r="C21" s="51"/>
      <c r="D21" s="52"/>
      <c r="E21" s="52"/>
      <c r="F21" s="38" t="str">
        <f t="shared" si="0"/>
        <v/>
      </c>
      <c r="G21" s="376"/>
      <c r="H21" s="49"/>
      <c r="I21" s="50"/>
      <c r="J21" s="51"/>
      <c r="K21" s="52"/>
      <c r="L21" s="52"/>
      <c r="M21" s="38" t="str">
        <f t="shared" si="1"/>
        <v/>
      </c>
    </row>
    <row r="22" spans="1:13" ht="16" x14ac:dyDescent="0.75">
      <c r="A22" s="49"/>
      <c r="B22" s="50"/>
      <c r="C22" s="51"/>
      <c r="D22" s="52"/>
      <c r="E22" s="52"/>
      <c r="F22" s="38" t="str">
        <f t="shared" si="0"/>
        <v/>
      </c>
      <c r="G22" s="376"/>
      <c r="H22" s="49"/>
      <c r="I22" s="50"/>
      <c r="J22" s="51"/>
      <c r="K22" s="52"/>
      <c r="L22" s="52"/>
      <c r="M22" s="38" t="str">
        <f t="shared" si="1"/>
        <v/>
      </c>
    </row>
    <row r="23" spans="1:13" ht="16" x14ac:dyDescent="0.75">
      <c r="A23" s="49"/>
      <c r="B23" s="50"/>
      <c r="C23" s="51"/>
      <c r="D23" s="52"/>
      <c r="E23" s="52"/>
      <c r="F23" s="38" t="str">
        <f t="shared" si="0"/>
        <v/>
      </c>
      <c r="G23" s="376"/>
      <c r="H23" s="49"/>
      <c r="I23" s="50"/>
      <c r="J23" s="51"/>
      <c r="K23" s="52"/>
      <c r="L23" s="52"/>
      <c r="M23" s="38" t="str">
        <f t="shared" si="1"/>
        <v/>
      </c>
    </row>
    <row r="24" spans="1:13" ht="16" x14ac:dyDescent="0.75">
      <c r="A24" s="49"/>
      <c r="B24" s="50"/>
      <c r="C24" s="51"/>
      <c r="D24" s="52"/>
      <c r="E24" s="52"/>
      <c r="F24" s="38" t="str">
        <f t="shared" si="0"/>
        <v/>
      </c>
      <c r="G24" s="376"/>
      <c r="H24" s="49"/>
      <c r="I24" s="50"/>
      <c r="J24" s="51"/>
      <c r="K24" s="52"/>
      <c r="L24" s="52"/>
      <c r="M24" s="38" t="str">
        <f t="shared" si="1"/>
        <v/>
      </c>
    </row>
    <row r="25" spans="1:13" ht="16" x14ac:dyDescent="0.75">
      <c r="A25" s="49"/>
      <c r="B25" s="50"/>
      <c r="C25" s="51"/>
      <c r="D25" s="52"/>
      <c r="E25" s="52"/>
      <c r="F25" s="38" t="str">
        <f t="shared" si="0"/>
        <v/>
      </c>
      <c r="G25" s="376"/>
      <c r="H25" s="49"/>
      <c r="I25" s="50"/>
      <c r="J25" s="51"/>
      <c r="K25" s="52"/>
      <c r="L25" s="52"/>
      <c r="M25" s="38" t="str">
        <f t="shared" si="1"/>
        <v/>
      </c>
    </row>
    <row r="26" spans="1:13" ht="16" x14ac:dyDescent="0.75">
      <c r="A26" s="49"/>
      <c r="B26" s="50"/>
      <c r="C26" s="51"/>
      <c r="D26" s="52"/>
      <c r="E26" s="52"/>
      <c r="F26" s="38" t="str">
        <f t="shared" si="0"/>
        <v/>
      </c>
      <c r="G26" s="376"/>
      <c r="H26" s="49"/>
      <c r="I26" s="50"/>
      <c r="J26" s="51"/>
      <c r="K26" s="52"/>
      <c r="L26" s="52"/>
      <c r="M26" s="38" t="str">
        <f t="shared" si="1"/>
        <v/>
      </c>
    </row>
    <row r="27" spans="1:13" ht="16" x14ac:dyDescent="0.75">
      <c r="A27" s="49"/>
      <c r="B27" s="50"/>
      <c r="C27" s="51"/>
      <c r="D27" s="52"/>
      <c r="E27" s="52"/>
      <c r="F27" s="38" t="str">
        <f t="shared" si="0"/>
        <v/>
      </c>
      <c r="G27" s="376"/>
      <c r="H27" s="49"/>
      <c r="I27" s="50"/>
      <c r="J27" s="51"/>
      <c r="K27" s="52"/>
      <c r="L27" s="52"/>
      <c r="M27" s="38" t="str">
        <f t="shared" si="1"/>
        <v/>
      </c>
    </row>
    <row r="28" spans="1:13" ht="16" x14ac:dyDescent="0.75">
      <c r="A28" s="49"/>
      <c r="B28" s="50"/>
      <c r="C28" s="51"/>
      <c r="D28" s="52"/>
      <c r="E28" s="52"/>
      <c r="F28" s="38" t="str">
        <f t="shared" si="0"/>
        <v/>
      </c>
      <c r="G28" s="376"/>
      <c r="H28" s="49"/>
      <c r="I28" s="50"/>
      <c r="J28" s="51"/>
      <c r="K28" s="52"/>
      <c r="L28" s="52"/>
      <c r="M28" s="38" t="str">
        <f t="shared" si="1"/>
        <v/>
      </c>
    </row>
    <row r="29" spans="1:13" ht="16.75" thickBot="1" x14ac:dyDescent="0.9">
      <c r="A29" s="53"/>
      <c r="B29" s="54"/>
      <c r="C29" s="55"/>
      <c r="D29" s="56"/>
      <c r="E29" s="56"/>
      <c r="F29" s="38" t="str">
        <f t="shared" si="0"/>
        <v/>
      </c>
      <c r="G29" s="376"/>
      <c r="H29" s="53"/>
      <c r="I29" s="54"/>
      <c r="J29" s="55"/>
      <c r="K29" s="56"/>
      <c r="L29" s="56"/>
      <c r="M29" s="38" t="str">
        <f t="shared" si="1"/>
        <v/>
      </c>
    </row>
    <row r="30" spans="1:13" ht="19.25" thickBot="1" x14ac:dyDescent="0.9">
      <c r="A30" s="39"/>
      <c r="B30" s="40"/>
      <c r="C30" s="41" t="s">
        <v>56</v>
      </c>
      <c r="D30" s="42" t="str">
        <f>IF(AND(D5="",D6="",D7="",D8="",D9="",D10="",D11="",D12="",D13="",D14="",D15="",D16="",D17="",D18="",D19="",D20="",D21="",D22="",D23="",D24="",D25="",D26="",D27="",D28="",D29=""),"",SUM(D5:D29))</f>
        <v/>
      </c>
      <c r="E30" s="43"/>
      <c r="F30" s="42" t="str">
        <f>IF(AND(F5="",F6="",F7="",F8="",F9="",F10="",F11="",F12="",F13="",F14="",F15="",F16="",F17="",F18="",F19="",F20="",F21="",F22="",F23="",F24="",F25="",F26="",F27="",F28="",F29=""),"",SUM(F5:F29))</f>
        <v/>
      </c>
      <c r="G30" s="376"/>
      <c r="H30" s="39"/>
      <c r="I30" s="40"/>
      <c r="J30" s="41" t="s">
        <v>56</v>
      </c>
      <c r="K30" s="42" t="str">
        <f>IF(AND(K5="",K6="",K7="",K8="",K9="",K10="",K11="",K12="",K13="",K14="",K15="",K16="",K17="",K18="",K19="",K20="",K21="",K22="",K23="",K24="",K25="",K26="",K27="",K28="",K29=""),"",SUM(K5:K29))</f>
        <v/>
      </c>
      <c r="L30" s="43"/>
      <c r="M30" s="42" t="str">
        <f>IF(AND(M5="",M6="",M7="",M8="",M9="",M10="",M11="",M12="",M13="",M14="",M15="",M16="",M17="",M18="",M19="",M20="",M21="",M22="",M23="",M24="",M25="",M26="",M27="",M28="",M29=""),"",SUM(M5:M29))</f>
        <v/>
      </c>
    </row>
    <row r="31" spans="1:13" ht="19.25" thickBot="1" x14ac:dyDescent="0.9">
      <c r="A31" s="39"/>
      <c r="B31" s="39"/>
      <c r="C31" s="44" t="s">
        <v>57</v>
      </c>
      <c r="D31" s="42" t="str">
        <f>IF(OR($B1="",D30=""),"",(D30/$B1))</f>
        <v/>
      </c>
      <c r="E31" s="39"/>
      <c r="F31" s="42" t="str">
        <f>IF(OR($B1="",F30=""),"",(F30/$B1))</f>
        <v/>
      </c>
      <c r="G31" s="376"/>
      <c r="H31" s="39"/>
      <c r="I31" s="39"/>
      <c r="J31" s="44" t="s">
        <v>57</v>
      </c>
      <c r="K31" s="42" t="str">
        <f>IF(OR($I1="",K30=""),"",(K30/$I1))</f>
        <v/>
      </c>
      <c r="L31" s="39"/>
      <c r="M31" s="42" t="str">
        <f>IF(OR($I1="",M30=""),"",(M30/$I1))</f>
        <v/>
      </c>
    </row>
    <row r="32" spans="1:13" s="25" customFormat="1" ht="18.5" x14ac:dyDescent="0.65">
      <c r="A32" s="345" t="s">
        <v>183</v>
      </c>
      <c r="B32" s="45"/>
      <c r="C32" s="45"/>
      <c r="D32" s="45"/>
      <c r="E32" s="45"/>
      <c r="F32" s="45"/>
      <c r="G32" s="45"/>
      <c r="H32" s="45"/>
      <c r="I32" s="45"/>
      <c r="J32" s="45"/>
      <c r="K32" s="45"/>
      <c r="L32" s="45"/>
      <c r="M32" s="45"/>
    </row>
    <row r="33" spans="1:13" s="47" customFormat="1" ht="16" x14ac:dyDescent="0.8">
      <c r="A33" s="358" t="s">
        <v>182</v>
      </c>
      <c r="B33" s="46"/>
      <c r="C33" s="46"/>
      <c r="D33" s="46"/>
      <c r="E33" s="46"/>
      <c r="F33" s="46"/>
      <c r="G33" s="46"/>
      <c r="H33" s="46"/>
      <c r="I33" s="46"/>
      <c r="J33" s="46"/>
      <c r="K33" s="46"/>
      <c r="L33" s="46"/>
      <c r="M33" s="46"/>
    </row>
    <row r="34" spans="1:13" s="25" customFormat="1" ht="18.5" x14ac:dyDescent="0.75">
      <c r="A34" s="377" t="s">
        <v>24</v>
      </c>
      <c r="B34" s="377"/>
      <c r="C34" s="377"/>
      <c r="D34" s="377"/>
      <c r="E34" s="377"/>
      <c r="F34" s="377"/>
      <c r="G34" s="377"/>
      <c r="H34" s="377"/>
      <c r="I34" s="377"/>
      <c r="J34" s="377"/>
      <c r="K34" s="377"/>
      <c r="L34" s="377"/>
      <c r="M34" s="377"/>
    </row>
    <row r="35" spans="1:13" ht="16" hidden="1" x14ac:dyDescent="0.75"/>
  </sheetData>
  <sheetProtection algorithmName="SHA-512" hashValue="PjXD7jYfIljGybH0vK3mxQxcdDPZ4YUoyzMnVWwkhWuAGh2H3NiKRytHyy8oViIwkSJxMFjS/qs3mQ5EYQaDEQ==" saltValue="CKOrCyM9ZshVHb0DhSOcHg=="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1A00-000000000000}"/>
    <dataValidation allowBlank="1" showInputMessage="1" showErrorMessage="1" prompt="Don't forget to enter Child Count in Cell I1." sqref="H5" xr:uid="{00000000-0002-0000-1A00-000001000000}"/>
  </dataValidations>
  <hyperlinks>
    <hyperlink ref="A33" r:id="rId1" xr:uid="{F1DC40F1-32BC-4A10-B54A-5CDFBBFCCD12}"/>
  </hyperlinks>
  <pageMargins left="0.75" right="0.75" top="1" bottom="1" header="0.5" footer="0.5"/>
  <pageSetup orientation="portrait" horizontalDpi="4294967292" verticalDpi="4294967292" r:id="rId2"/>
  <tableParts count="2">
    <tablePart r:id="rId3"/>
    <tablePart r:id="rId4"/>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theme="5"/>
    <pageSetUpPr autoPageBreaks="0"/>
  </sheetPr>
  <dimension ref="A1:AB75"/>
  <sheetViews>
    <sheetView showGridLines="0" zoomScale="90" zoomScaleNormal="90" zoomScalePageLayoutView="90" workbookViewId="0">
      <pane ySplit="3" topLeftCell="A4" activePane="bottomLeft" state="frozen"/>
      <selection activeCell="A32" sqref="A32:A33"/>
      <selection pane="bottomLeft" activeCell="B2" sqref="B2"/>
    </sheetView>
  </sheetViews>
  <sheetFormatPr defaultColWidth="0" defaultRowHeight="16" zeroHeight="1" x14ac:dyDescent="0.8"/>
  <cols>
    <col min="1" max="1" width="40.26953125" style="57" customWidth="1"/>
    <col min="2" max="2" width="32.86328125" style="57" bestFit="1" customWidth="1"/>
    <col min="3" max="3" width="28" style="57" customWidth="1"/>
    <col min="4" max="5" width="28.26953125" style="57" customWidth="1"/>
    <col min="6" max="6" width="34" style="57" bestFit="1" customWidth="1"/>
    <col min="7" max="7" width="28.26953125" style="57" customWidth="1"/>
    <col min="8" max="8" width="40.26953125" style="57" customWidth="1"/>
    <col min="9" max="9" width="32.86328125" style="57" bestFit="1" customWidth="1"/>
    <col min="10" max="12" width="28.26953125" style="57" customWidth="1"/>
    <col min="13" max="13" width="34" style="57" bestFit="1" customWidth="1"/>
    <col min="14" max="14" width="0.86328125" style="57" customWidth="1"/>
    <col min="15" max="18" width="12.26953125" style="57" hidden="1" customWidth="1"/>
    <col min="19" max="19" width="13.7265625" style="57" hidden="1" customWidth="1"/>
    <col min="20" max="16384" width="12.26953125" style="57" hidden="1"/>
  </cols>
  <sheetData>
    <row r="1" spans="1:20" ht="25.9" customHeight="1" x14ac:dyDescent="0.8">
      <c r="A1" s="368" t="s">
        <v>58</v>
      </c>
      <c r="D1" s="58" t="s">
        <v>14</v>
      </c>
      <c r="E1" s="10" t="str">
        <f>IF('2. Getting Started'!$B2="","",'2. Getting Started'!$B2)</f>
        <v/>
      </c>
      <c r="G1" s="384" t="s">
        <v>177</v>
      </c>
      <c r="K1" s="58" t="s">
        <v>14</v>
      </c>
      <c r="L1" s="10" t="str">
        <f>IF('2. Getting Started'!$B2="","",'2. Getting Started'!$B2)</f>
        <v/>
      </c>
    </row>
    <row r="2" spans="1:20" ht="25.9" customHeight="1" thickBot="1" x14ac:dyDescent="0.95">
      <c r="A2" s="369" t="s">
        <v>171</v>
      </c>
      <c r="D2" s="58"/>
      <c r="E2" s="10"/>
      <c r="G2" s="384"/>
      <c r="H2" s="369" t="s">
        <v>171</v>
      </c>
      <c r="K2" s="58"/>
      <c r="L2" s="10"/>
    </row>
    <row r="3" spans="1:20" ht="25.9" customHeight="1" thickBot="1" x14ac:dyDescent="0.95">
      <c r="A3" s="59" t="str">
        <f>CONCATENATE("Eligibility Standard -- Exceptions to MOE as Permitted by 34 CFR §300.204 and Adjustment to MOE as Permitted by 34 CFR §300.205 -- Projections for State Fiscal Year ",'2. Getting Started'!B6+7," Budget")</f>
        <v>Eligibility Standard -- Exceptions to MOE as Permitted by 34 CFR §300.204 and Adjustment to MOE as Permitted by 34 CFR §300.205 -- Projections for State Fiscal Year 2031 Budget</v>
      </c>
      <c r="B3" s="60"/>
      <c r="C3" s="60"/>
      <c r="D3" s="60"/>
      <c r="E3" s="60"/>
      <c r="F3" s="61"/>
      <c r="G3" s="384"/>
      <c r="H3" s="59" t="str">
        <f>CONCATENATE("Compliance Standard -- Exceptions to MOE as Permitted by 34 CFR §300.204 and Adjustment to MOE as Permitted by 34 CFR §300.205 -- Final Expenditures for  State Fiscal Year ",'2. Getting Started'!B6+7)</f>
        <v>Compliance Standard -- Exceptions to MOE as Permitted by 34 CFR §300.204 and Adjustment to MOE as Permitted by 34 CFR §300.205 -- Final Expenditures for  State Fiscal Year 2031</v>
      </c>
      <c r="I3" s="60"/>
      <c r="J3" s="60"/>
      <c r="K3" s="60"/>
      <c r="L3" s="60"/>
      <c r="M3" s="61"/>
      <c r="O3" s="63"/>
      <c r="P3" s="63"/>
      <c r="Q3" s="63"/>
      <c r="R3" s="63"/>
      <c r="S3" s="63"/>
      <c r="T3" s="63"/>
    </row>
    <row r="4" spans="1:20" x14ac:dyDescent="0.8">
      <c r="A4" s="64" t="s">
        <v>59</v>
      </c>
      <c r="B4" s="65"/>
      <c r="C4" s="66"/>
      <c r="D4" s="66"/>
      <c r="E4" s="66"/>
      <c r="F4" s="67"/>
      <c r="G4" s="384"/>
      <c r="H4" s="64" t="s">
        <v>59</v>
      </c>
      <c r="I4" s="65"/>
      <c r="J4" s="66"/>
      <c r="K4" s="66"/>
      <c r="L4" s="66"/>
      <c r="M4" s="67"/>
      <c r="N4" s="69"/>
      <c r="O4" s="69"/>
      <c r="P4" s="69"/>
      <c r="Q4" s="69"/>
      <c r="R4" s="69"/>
      <c r="S4" s="69"/>
    </row>
    <row r="5" spans="1:20" x14ac:dyDescent="0.8">
      <c r="A5" s="70" t="s">
        <v>60</v>
      </c>
      <c r="B5" s="71"/>
      <c r="C5" s="68"/>
      <c r="D5" s="68"/>
      <c r="E5" s="68"/>
      <c r="F5" s="72"/>
      <c r="G5" s="384"/>
      <c r="H5" s="70" t="s">
        <v>60</v>
      </c>
      <c r="I5" s="71"/>
      <c r="J5" s="68"/>
      <c r="K5" s="68"/>
      <c r="L5" s="68"/>
      <c r="M5" s="72"/>
      <c r="N5" s="73"/>
      <c r="O5" s="73"/>
      <c r="P5" s="73"/>
      <c r="Q5" s="73"/>
      <c r="R5" s="73"/>
    </row>
    <row r="6" spans="1:20" ht="35.65" customHeight="1" thickBot="1" x14ac:dyDescent="0.95">
      <c r="A6" s="74" t="s">
        <v>61</v>
      </c>
      <c r="B6" s="75"/>
      <c r="C6" s="75"/>
      <c r="D6" s="75"/>
      <c r="E6" s="75"/>
      <c r="F6" s="76"/>
      <c r="G6" s="384"/>
      <c r="H6" s="74" t="s">
        <v>61</v>
      </c>
      <c r="I6" s="75"/>
      <c r="J6" s="75"/>
      <c r="K6" s="75"/>
      <c r="L6" s="75"/>
      <c r="M6" s="76"/>
      <c r="N6" s="73"/>
      <c r="O6" s="73"/>
      <c r="P6" s="73"/>
      <c r="Q6" s="73"/>
      <c r="R6" s="73"/>
      <c r="S6" s="73"/>
    </row>
    <row r="7" spans="1:20" x14ac:dyDescent="0.8">
      <c r="A7" s="77" t="s">
        <v>62</v>
      </c>
      <c r="B7" s="78" t="s">
        <v>63</v>
      </c>
      <c r="C7" s="79" t="s">
        <v>64</v>
      </c>
      <c r="D7" s="79" t="s">
        <v>65</v>
      </c>
      <c r="E7" s="80" t="s">
        <v>66</v>
      </c>
      <c r="F7" s="81" t="s">
        <v>67</v>
      </c>
      <c r="G7" s="384"/>
      <c r="H7" s="77" t="s">
        <v>62</v>
      </c>
      <c r="I7" s="78" t="s">
        <v>63</v>
      </c>
      <c r="J7" s="79" t="s">
        <v>64</v>
      </c>
      <c r="K7" s="79" t="s">
        <v>65</v>
      </c>
      <c r="L7" s="80" t="s">
        <v>66</v>
      </c>
      <c r="M7" s="81" t="s">
        <v>68</v>
      </c>
      <c r="N7" s="73"/>
      <c r="O7" s="73"/>
    </row>
    <row r="8" spans="1:20" x14ac:dyDescent="0.8">
      <c r="A8" s="185"/>
      <c r="B8" s="186"/>
      <c r="C8" s="186"/>
      <c r="D8" s="187"/>
      <c r="E8" s="187"/>
      <c r="F8" s="83">
        <f>D8+E8</f>
        <v>0</v>
      </c>
      <c r="G8" s="384"/>
      <c r="H8" s="185"/>
      <c r="I8" s="186"/>
      <c r="J8" s="186"/>
      <c r="K8" s="187"/>
      <c r="L8" s="187"/>
      <c r="M8" s="83">
        <f>K8+L8</f>
        <v>0</v>
      </c>
      <c r="N8" s="84"/>
      <c r="O8" s="84"/>
    </row>
    <row r="9" spans="1:20" x14ac:dyDescent="0.8">
      <c r="A9" s="185"/>
      <c r="B9" s="186"/>
      <c r="C9" s="186"/>
      <c r="D9" s="187"/>
      <c r="E9" s="187"/>
      <c r="F9" s="83">
        <f>D9+E9</f>
        <v>0</v>
      </c>
      <c r="G9" s="384"/>
      <c r="H9" s="185"/>
      <c r="I9" s="186"/>
      <c r="J9" s="186"/>
      <c r="K9" s="187"/>
      <c r="L9" s="187"/>
      <c r="M9" s="83">
        <f>K9+L9</f>
        <v>0</v>
      </c>
      <c r="N9" s="84"/>
      <c r="O9" s="84"/>
    </row>
    <row r="10" spans="1:20" x14ac:dyDescent="0.8">
      <c r="A10" s="185"/>
      <c r="B10" s="186"/>
      <c r="C10" s="186"/>
      <c r="D10" s="187"/>
      <c r="E10" s="187"/>
      <c r="F10" s="83">
        <f>D10+E10</f>
        <v>0</v>
      </c>
      <c r="G10" s="384"/>
      <c r="H10" s="185"/>
      <c r="I10" s="186"/>
      <c r="J10" s="186"/>
      <c r="K10" s="187"/>
      <c r="L10" s="187"/>
      <c r="M10" s="83">
        <f>K10+L10</f>
        <v>0</v>
      </c>
      <c r="N10" s="84"/>
      <c r="O10" s="84"/>
    </row>
    <row r="11" spans="1:20" x14ac:dyDescent="0.8">
      <c r="A11" s="185"/>
      <c r="B11" s="186"/>
      <c r="C11" s="186"/>
      <c r="D11" s="187"/>
      <c r="E11" s="187"/>
      <c r="F11" s="83">
        <f>D11+E11</f>
        <v>0</v>
      </c>
      <c r="G11" s="384"/>
      <c r="H11" s="185"/>
      <c r="I11" s="186"/>
      <c r="J11" s="186"/>
      <c r="K11" s="187"/>
      <c r="L11" s="187"/>
      <c r="M11" s="83">
        <f>K11+L11</f>
        <v>0</v>
      </c>
      <c r="N11" s="84"/>
      <c r="O11" s="84"/>
    </row>
    <row r="12" spans="1:20" x14ac:dyDescent="0.8">
      <c r="A12" s="185"/>
      <c r="B12" s="186"/>
      <c r="C12" s="186"/>
      <c r="D12" s="187"/>
      <c r="E12" s="187"/>
      <c r="F12" s="83">
        <f>D12+E12</f>
        <v>0</v>
      </c>
      <c r="G12" s="384"/>
      <c r="H12" s="185"/>
      <c r="I12" s="186"/>
      <c r="J12" s="186"/>
      <c r="K12" s="187"/>
      <c r="L12" s="187"/>
      <c r="M12" s="83">
        <f>K12+L12</f>
        <v>0</v>
      </c>
      <c r="N12" s="84"/>
      <c r="O12" s="84"/>
    </row>
    <row r="13" spans="1:20" ht="16.75" thickBot="1" x14ac:dyDescent="0.95">
      <c r="A13" s="85"/>
      <c r="B13" s="86"/>
      <c r="C13" s="87" t="s">
        <v>69</v>
      </c>
      <c r="D13" s="88">
        <f t="shared" ref="D13:F13" si="0">SUM(D8:D12)</f>
        <v>0</v>
      </c>
      <c r="E13" s="88">
        <f t="shared" si="0"/>
        <v>0</v>
      </c>
      <c r="F13" s="89">
        <f t="shared" si="0"/>
        <v>0</v>
      </c>
      <c r="G13" s="384"/>
      <c r="H13" s="85"/>
      <c r="I13" s="86"/>
      <c r="J13" s="87" t="s">
        <v>69</v>
      </c>
      <c r="K13" s="88">
        <f t="shared" ref="K13:M13" si="1">SUM(K8:K12)</f>
        <v>0</v>
      </c>
      <c r="L13" s="88">
        <f t="shared" si="1"/>
        <v>0</v>
      </c>
      <c r="M13" s="89">
        <f t="shared" si="1"/>
        <v>0</v>
      </c>
      <c r="N13" s="84"/>
      <c r="O13" s="84"/>
    </row>
    <row r="14" spans="1:20" ht="40.15" customHeight="1" thickBot="1" x14ac:dyDescent="0.95">
      <c r="A14" s="90" t="s">
        <v>70</v>
      </c>
      <c r="B14" s="91"/>
      <c r="C14" s="91"/>
      <c r="D14" s="91"/>
      <c r="E14" s="91"/>
      <c r="F14" s="92"/>
      <c r="G14" s="384"/>
      <c r="H14" s="90" t="s">
        <v>70</v>
      </c>
      <c r="I14" s="91"/>
      <c r="J14" s="91"/>
      <c r="K14" s="91"/>
      <c r="L14" s="91"/>
      <c r="M14" s="92"/>
      <c r="N14" s="73"/>
      <c r="O14" s="73"/>
      <c r="P14" s="73"/>
      <c r="Q14" s="73"/>
      <c r="R14" s="73"/>
      <c r="S14" s="93"/>
    </row>
    <row r="15" spans="1:20" x14ac:dyDescent="0.8">
      <c r="A15" s="94" t="s">
        <v>62</v>
      </c>
      <c r="B15" s="95" t="s">
        <v>63</v>
      </c>
      <c r="C15" s="96" t="s">
        <v>176</v>
      </c>
      <c r="D15" s="79" t="s">
        <v>65</v>
      </c>
      <c r="E15" s="80" t="s">
        <v>66</v>
      </c>
      <c r="F15" s="81" t="s">
        <v>67</v>
      </c>
      <c r="G15" s="384"/>
      <c r="H15" s="94" t="s">
        <v>62</v>
      </c>
      <c r="I15" s="95" t="s">
        <v>63</v>
      </c>
      <c r="J15" s="96" t="s">
        <v>176</v>
      </c>
      <c r="K15" s="79" t="s">
        <v>65</v>
      </c>
      <c r="L15" s="80" t="s">
        <v>66</v>
      </c>
      <c r="M15" s="81" t="s">
        <v>68</v>
      </c>
      <c r="N15" s="63"/>
      <c r="O15" s="98"/>
    </row>
    <row r="16" spans="1:20" x14ac:dyDescent="0.8">
      <c r="A16" s="188"/>
      <c r="B16" s="189"/>
      <c r="C16" s="99"/>
      <c r="D16" s="187"/>
      <c r="E16" s="187"/>
      <c r="F16" s="83">
        <f t="shared" ref="F16:F20" si="2">D16+E16</f>
        <v>0</v>
      </c>
      <c r="G16" s="384"/>
      <c r="H16" s="188"/>
      <c r="I16" s="189"/>
      <c r="J16" s="99"/>
      <c r="K16" s="187"/>
      <c r="L16" s="187"/>
      <c r="M16" s="83">
        <f t="shared" ref="M16:M20" si="3">K16+L16</f>
        <v>0</v>
      </c>
      <c r="N16" s="84"/>
      <c r="O16" s="84"/>
    </row>
    <row r="17" spans="1:19" x14ac:dyDescent="0.8">
      <c r="A17" s="188"/>
      <c r="B17" s="189"/>
      <c r="C17" s="99"/>
      <c r="D17" s="187"/>
      <c r="E17" s="187"/>
      <c r="F17" s="83">
        <f t="shared" si="2"/>
        <v>0</v>
      </c>
      <c r="G17" s="384"/>
      <c r="H17" s="188"/>
      <c r="I17" s="189"/>
      <c r="J17" s="99"/>
      <c r="K17" s="187"/>
      <c r="L17" s="187"/>
      <c r="M17" s="83">
        <f t="shared" si="3"/>
        <v>0</v>
      </c>
      <c r="N17" s="84"/>
      <c r="O17" s="84"/>
    </row>
    <row r="18" spans="1:19" x14ac:dyDescent="0.8">
      <c r="A18" s="188"/>
      <c r="B18" s="189"/>
      <c r="C18" s="99"/>
      <c r="D18" s="187"/>
      <c r="E18" s="187"/>
      <c r="F18" s="83">
        <f t="shared" si="2"/>
        <v>0</v>
      </c>
      <c r="G18" s="384"/>
      <c r="H18" s="188"/>
      <c r="I18" s="189"/>
      <c r="J18" s="99"/>
      <c r="K18" s="187"/>
      <c r="L18" s="187"/>
      <c r="M18" s="83">
        <f t="shared" si="3"/>
        <v>0</v>
      </c>
      <c r="N18" s="84"/>
      <c r="O18" s="84"/>
    </row>
    <row r="19" spans="1:19" x14ac:dyDescent="0.8">
      <c r="A19" s="188"/>
      <c r="B19" s="189"/>
      <c r="C19" s="99"/>
      <c r="D19" s="187"/>
      <c r="E19" s="187"/>
      <c r="F19" s="83">
        <f t="shared" si="2"/>
        <v>0</v>
      </c>
      <c r="G19" s="384"/>
      <c r="H19" s="188"/>
      <c r="I19" s="189"/>
      <c r="J19" s="99"/>
      <c r="K19" s="187"/>
      <c r="L19" s="187"/>
      <c r="M19" s="83">
        <f t="shared" si="3"/>
        <v>0</v>
      </c>
      <c r="N19" s="84"/>
      <c r="O19" s="84"/>
    </row>
    <row r="20" spans="1:19" x14ac:dyDescent="0.8">
      <c r="A20" s="188"/>
      <c r="B20" s="189"/>
      <c r="C20" s="99"/>
      <c r="D20" s="187"/>
      <c r="E20" s="187"/>
      <c r="F20" s="83">
        <f t="shared" si="2"/>
        <v>0</v>
      </c>
      <c r="G20" s="384"/>
      <c r="H20" s="188"/>
      <c r="I20" s="189"/>
      <c r="J20" s="99"/>
      <c r="K20" s="187"/>
      <c r="L20" s="187"/>
      <c r="M20" s="83">
        <f t="shared" si="3"/>
        <v>0</v>
      </c>
      <c r="N20" s="84"/>
      <c r="O20" s="84"/>
    </row>
    <row r="21" spans="1:19" x14ac:dyDescent="0.8">
      <c r="A21" s="100"/>
      <c r="B21" s="101"/>
      <c r="C21" s="102" t="s">
        <v>72</v>
      </c>
      <c r="D21" s="103">
        <f t="shared" ref="D21:F21" si="4">SUM(D16:D20)</f>
        <v>0</v>
      </c>
      <c r="E21" s="103">
        <f t="shared" si="4"/>
        <v>0</v>
      </c>
      <c r="F21" s="83">
        <f t="shared" si="4"/>
        <v>0</v>
      </c>
      <c r="G21" s="384"/>
      <c r="H21" s="100"/>
      <c r="I21" s="101"/>
      <c r="J21" s="102" t="s">
        <v>72</v>
      </c>
      <c r="K21" s="103">
        <f t="shared" ref="K21:M21" si="5">SUM(K16:K20)</f>
        <v>0</v>
      </c>
      <c r="L21" s="103">
        <f t="shared" si="5"/>
        <v>0</v>
      </c>
      <c r="M21" s="83">
        <f t="shared" si="5"/>
        <v>0</v>
      </c>
      <c r="N21" s="84"/>
      <c r="O21" s="84"/>
    </row>
    <row r="22" spans="1:19" ht="16.75" thickBot="1" x14ac:dyDescent="0.95">
      <c r="A22" s="104"/>
      <c r="B22" s="105"/>
      <c r="C22" s="106"/>
      <c r="D22" s="106"/>
      <c r="E22" s="107" t="s">
        <v>73</v>
      </c>
      <c r="F22" s="108">
        <f>F13-F21</f>
        <v>0</v>
      </c>
      <c r="G22" s="384"/>
      <c r="H22" s="104"/>
      <c r="I22" s="105"/>
      <c r="J22" s="105"/>
      <c r="K22" s="110"/>
      <c r="L22" s="107" t="s">
        <v>74</v>
      </c>
      <c r="M22" s="108">
        <f>M13-M21</f>
        <v>0</v>
      </c>
      <c r="N22" s="93"/>
      <c r="O22" s="93"/>
      <c r="P22" s="93"/>
      <c r="Q22" s="93"/>
      <c r="R22" s="93"/>
      <c r="S22" s="93"/>
    </row>
    <row r="23" spans="1:19" ht="16.75" thickBot="1" x14ac:dyDescent="0.95">
      <c r="A23" s="378" t="s">
        <v>22</v>
      </c>
      <c r="B23" s="378"/>
      <c r="C23" s="378"/>
      <c r="D23" s="378"/>
      <c r="E23" s="378"/>
      <c r="F23" s="378"/>
      <c r="G23" s="384"/>
      <c r="H23" s="378" t="s">
        <v>22</v>
      </c>
      <c r="I23" s="378"/>
      <c r="J23" s="378"/>
      <c r="K23" s="378"/>
      <c r="L23" s="378"/>
      <c r="M23" s="378"/>
      <c r="N23" s="93"/>
      <c r="O23" s="93"/>
      <c r="P23" s="93"/>
      <c r="Q23" s="93"/>
      <c r="R23" s="93"/>
      <c r="S23" s="93"/>
    </row>
    <row r="24" spans="1:19" x14ac:dyDescent="0.8">
      <c r="A24" s="111" t="s">
        <v>105</v>
      </c>
      <c r="B24" s="112"/>
      <c r="C24" s="112"/>
      <c r="D24" s="62"/>
      <c r="E24" s="119"/>
      <c r="F24" s="119"/>
      <c r="G24" s="384"/>
      <c r="H24" s="111" t="s">
        <v>105</v>
      </c>
      <c r="I24" s="112"/>
      <c r="J24" s="112"/>
      <c r="K24" s="62"/>
      <c r="L24" s="119"/>
      <c r="M24" s="119"/>
      <c r="N24" s="118"/>
      <c r="O24" s="118"/>
      <c r="P24" s="118"/>
      <c r="Q24" s="118"/>
    </row>
    <row r="25" spans="1:19" x14ac:dyDescent="0.8">
      <c r="A25" s="120" t="s">
        <v>71</v>
      </c>
      <c r="B25" s="121" t="s">
        <v>77</v>
      </c>
      <c r="C25" s="122"/>
      <c r="D25" s="123"/>
      <c r="E25" s="122"/>
      <c r="F25" s="122"/>
      <c r="G25" s="384"/>
      <c r="H25" s="120" t="s">
        <v>71</v>
      </c>
      <c r="I25" s="121" t="s">
        <v>77</v>
      </c>
      <c r="J25" s="122"/>
      <c r="K25" s="123"/>
      <c r="L25" s="122"/>
      <c r="M25" s="122"/>
      <c r="N25" s="118"/>
      <c r="O25" s="118"/>
      <c r="P25" s="118"/>
      <c r="Q25" s="118"/>
    </row>
    <row r="26" spans="1:19" x14ac:dyDescent="0.8">
      <c r="A26" s="124" t="str">
        <f>CONCATENATE("SFY ",'2. Getting Started'!B6+7," Projected Child Count")</f>
        <v>SFY 2031 Projected Child Count</v>
      </c>
      <c r="B26" s="125" t="str">
        <f>IF('26. Year 8 Amounts'!B1="","",'26. Year 8 Amounts'!B1)</f>
        <v/>
      </c>
      <c r="C26" s="122"/>
      <c r="D26" s="123"/>
      <c r="E26" s="122"/>
      <c r="F26" s="122"/>
      <c r="G26" s="384"/>
      <c r="H26" s="124" t="str">
        <f>CONCATENATE("SFY ",'2. Getting Started'!B6+7," Child Count")</f>
        <v>SFY 2031 Child Count</v>
      </c>
      <c r="I26" s="125" t="str">
        <f>IF('26. Year 8 Amounts'!I1="","",'26. Year 8 Amounts'!I1)</f>
        <v/>
      </c>
      <c r="J26" s="122"/>
      <c r="K26" s="123"/>
      <c r="L26" s="122"/>
      <c r="M26" s="122"/>
      <c r="N26" s="118"/>
      <c r="O26" s="118"/>
      <c r="P26" s="118"/>
      <c r="Q26" s="118"/>
    </row>
    <row r="27" spans="1:19" x14ac:dyDescent="0.8">
      <c r="A27" s="124" t="str">
        <f>CONCATENATE("SFY ",'2. Getting Started'!B6+6," Projected Child Count")</f>
        <v>SFY 2030 Projected Child Count</v>
      </c>
      <c r="B27" s="125" t="str">
        <f>IF('23. Year 7 Amounts'!B1="","",'23. Year 7 Amounts'!B1)</f>
        <v/>
      </c>
      <c r="C27" s="118"/>
      <c r="D27" s="127"/>
      <c r="E27" s="118"/>
      <c r="F27" s="122"/>
      <c r="G27" s="384"/>
      <c r="H27" s="124" t="str">
        <f>CONCATENATE("SFY ",'2. Getting Started'!B6+6," Child Count")</f>
        <v>SFY 2030 Child Count</v>
      </c>
      <c r="I27" s="125" t="str">
        <f>IF('23. Year 7 Amounts'!I1="","",'23. Year 7 Amounts'!I1)</f>
        <v/>
      </c>
      <c r="J27" s="118"/>
      <c r="K27" s="127"/>
      <c r="L27" s="118"/>
      <c r="M27" s="122"/>
      <c r="N27" s="128"/>
      <c r="O27" s="128"/>
      <c r="P27" s="128"/>
      <c r="Q27" s="128"/>
    </row>
    <row r="28" spans="1:19" x14ac:dyDescent="0.8">
      <c r="A28" s="126" t="s">
        <v>78</v>
      </c>
      <c r="B28" s="129" t="str">
        <f>IF(B26="","",B26-B27)</f>
        <v/>
      </c>
      <c r="C28" s="122" t="str">
        <f>IF(B28="","",IF(B28&gt;=0,"Not eligible for this exception",""))</f>
        <v/>
      </c>
      <c r="D28" s="123"/>
      <c r="E28" s="122"/>
      <c r="F28" s="122"/>
      <c r="G28" s="384"/>
      <c r="H28" s="126" t="s">
        <v>78</v>
      </c>
      <c r="I28" s="129" t="str">
        <f>IF(I26="","",I26-I27)</f>
        <v/>
      </c>
      <c r="J28" s="122" t="str">
        <f>IF(I28="","",IF(I28&gt;=0,"Not eligible for this exception",""))</f>
        <v/>
      </c>
      <c r="K28" s="123"/>
      <c r="L28" s="122"/>
      <c r="M28" s="122"/>
      <c r="N28" s="131"/>
      <c r="O28" s="131"/>
      <c r="P28" s="131"/>
      <c r="Q28" s="131"/>
    </row>
    <row r="29" spans="1:19" x14ac:dyDescent="0.8">
      <c r="A29" s="132" t="s">
        <v>79</v>
      </c>
      <c r="B29" s="133" t="str">
        <f>IF(B26="","",IF(B28&lt;=0,ABS(B28/B27),""))</f>
        <v/>
      </c>
      <c r="C29" s="134"/>
      <c r="D29" s="135"/>
      <c r="E29" s="134"/>
      <c r="F29" s="10"/>
      <c r="G29" s="384"/>
      <c r="H29" s="132" t="s">
        <v>79</v>
      </c>
      <c r="I29" s="133" t="str">
        <f>IF(I26="","",IF(I28&lt;=0,ABS(I28/I27),""))</f>
        <v/>
      </c>
      <c r="J29" s="134"/>
      <c r="K29" s="135"/>
      <c r="L29" s="134"/>
      <c r="M29" s="10"/>
      <c r="N29" s="136"/>
      <c r="O29" s="136"/>
      <c r="P29" s="137"/>
      <c r="Q29" s="137"/>
    </row>
    <row r="30" spans="1:19" x14ac:dyDescent="0.8">
      <c r="A30" s="114" t="s">
        <v>71</v>
      </c>
      <c r="B30" s="115" t="s">
        <v>0</v>
      </c>
      <c r="C30" s="115" t="s">
        <v>2</v>
      </c>
      <c r="D30" s="10"/>
      <c r="E30" s="71"/>
      <c r="F30" s="71"/>
      <c r="G30" s="384"/>
      <c r="H30" s="114" t="s">
        <v>71</v>
      </c>
      <c r="I30" s="115" t="s">
        <v>75</v>
      </c>
      <c r="J30" s="115" t="s">
        <v>76</v>
      </c>
      <c r="K30" s="10"/>
      <c r="L30" s="71"/>
      <c r="M30" s="71"/>
      <c r="N30" s="137"/>
      <c r="O30" s="137"/>
    </row>
    <row r="31" spans="1:19" x14ac:dyDescent="0.8">
      <c r="A31" s="138" t="str">
        <f>CONCATENATE("SFY ",'2. Getting Started'!B6+6," Budget")</f>
        <v>SFY 2030 Budget</v>
      </c>
      <c r="B31" s="139" t="str">
        <f>IF('23. Year 7 Amounts'!D30="","",'23. Year 7 Amounts'!D30)</f>
        <v/>
      </c>
      <c r="C31" s="139" t="str">
        <f>IF('23. Year 7 Amounts'!F30="","",'23. Year 7 Amounts'!F30)</f>
        <v/>
      </c>
      <c r="D31" s="140"/>
      <c r="E31" s="73"/>
      <c r="F31" s="73"/>
      <c r="G31" s="384"/>
      <c r="H31" s="138" t="str">
        <f>CONCATENATE("SFY ",'2. Getting Started'!B6+6," Final Expenditures")</f>
        <v>SFY 2030 Final Expenditures</v>
      </c>
      <c r="I31" s="139" t="str">
        <f>IF('23. Year 7 Amounts'!K30="","",'23. Year 7 Amounts'!K30)</f>
        <v/>
      </c>
      <c r="J31" s="139" t="str">
        <f>IF('23. Year 7 Amounts'!M30="","",'23. Year 7 Amounts'!M30)</f>
        <v/>
      </c>
      <c r="K31" s="141"/>
      <c r="L31" s="73"/>
      <c r="M31" s="73"/>
    </row>
    <row r="32" spans="1:19" x14ac:dyDescent="0.8">
      <c r="A32" s="116" t="s">
        <v>80</v>
      </c>
      <c r="B32" s="142" t="str">
        <f>IF(OR($B26="",B29="",B31=""),"",($B29*B31))</f>
        <v/>
      </c>
      <c r="C32" s="142" t="str">
        <f>IF(OR($B26="",B29="",C31=""),"",($B29*C31))</f>
        <v/>
      </c>
      <c r="D32" s="141"/>
      <c r="E32" s="117"/>
      <c r="F32" s="117"/>
      <c r="G32" s="384"/>
      <c r="H32" s="116" t="s">
        <v>81</v>
      </c>
      <c r="I32" s="142" t="str">
        <f>IF(OR($I26="",I29="",I31=""),"",($I29*I31))</f>
        <v/>
      </c>
      <c r="J32" s="142" t="str">
        <f>IF(OR($I26="",I29="",J31=""),"",($I29*J31))</f>
        <v/>
      </c>
      <c r="K32" s="141"/>
      <c r="L32" s="117"/>
      <c r="M32" s="117"/>
    </row>
    <row r="33" spans="1:28" ht="16.75" thickBot="1" x14ac:dyDescent="0.95">
      <c r="A33" s="379" t="s">
        <v>22</v>
      </c>
      <c r="B33" s="379"/>
      <c r="C33" s="379"/>
      <c r="D33" s="122"/>
      <c r="E33" s="122"/>
      <c r="F33" s="122"/>
      <c r="G33" s="384"/>
      <c r="H33" s="379" t="s">
        <v>22</v>
      </c>
      <c r="I33" s="379"/>
      <c r="J33" s="379"/>
      <c r="K33" s="122"/>
      <c r="L33" s="122"/>
      <c r="M33" s="122"/>
      <c r="P33" s="117"/>
      <c r="Q33" s="117"/>
      <c r="R33" s="117"/>
      <c r="S33" s="117"/>
      <c r="T33" s="117"/>
      <c r="U33" s="73"/>
      <c r="V33" s="117"/>
      <c r="W33" s="117"/>
      <c r="X33" s="117"/>
      <c r="Y33" s="117"/>
      <c r="Z33" s="117"/>
      <c r="AA33" s="117"/>
    </row>
    <row r="34" spans="1:28" x14ac:dyDescent="0.8">
      <c r="A34" s="111" t="s">
        <v>82</v>
      </c>
      <c r="B34" s="144"/>
      <c r="C34" s="145"/>
      <c r="D34" s="146"/>
      <c r="E34" s="130"/>
      <c r="F34" s="130"/>
      <c r="G34" s="384"/>
      <c r="H34" s="111" t="s">
        <v>82</v>
      </c>
      <c r="I34" s="144"/>
      <c r="J34" s="145"/>
      <c r="K34" s="146"/>
      <c r="L34" s="130"/>
      <c r="M34" s="130"/>
      <c r="P34" s="117"/>
      <c r="Q34" s="117"/>
      <c r="R34" s="117"/>
      <c r="S34" s="117"/>
      <c r="T34" s="117"/>
      <c r="U34" s="117"/>
      <c r="V34" s="117"/>
      <c r="W34" s="117"/>
      <c r="X34" s="117"/>
      <c r="Y34" s="117"/>
      <c r="Z34" s="117"/>
      <c r="AA34" s="117"/>
    </row>
    <row r="35" spans="1:28" x14ac:dyDescent="0.8">
      <c r="A35" s="147" t="s">
        <v>83</v>
      </c>
      <c r="B35" s="71"/>
      <c r="C35" s="148"/>
      <c r="D35" s="149"/>
      <c r="E35" s="10"/>
      <c r="F35" s="10"/>
      <c r="G35" s="384"/>
      <c r="H35" s="147" t="s">
        <v>83</v>
      </c>
      <c r="I35" s="71"/>
      <c r="J35" s="148"/>
      <c r="K35" s="149"/>
      <c r="L35" s="10"/>
      <c r="M35" s="10"/>
      <c r="P35" s="73"/>
      <c r="Q35" s="73"/>
      <c r="R35" s="73"/>
      <c r="S35" s="73"/>
      <c r="T35" s="73"/>
      <c r="U35" s="73"/>
      <c r="V35" s="73"/>
      <c r="W35" s="73"/>
      <c r="X35" s="73"/>
      <c r="Y35" s="73"/>
      <c r="Z35" s="73"/>
      <c r="AA35" s="73"/>
    </row>
    <row r="36" spans="1:28" x14ac:dyDescent="0.8">
      <c r="A36" s="150" t="s">
        <v>84</v>
      </c>
      <c r="B36" s="71"/>
      <c r="C36" s="151"/>
      <c r="D36" s="149"/>
      <c r="E36" s="10"/>
      <c r="F36" s="10"/>
      <c r="G36" s="384"/>
      <c r="H36" s="150" t="s">
        <v>84</v>
      </c>
      <c r="I36" s="71"/>
      <c r="J36" s="151"/>
      <c r="K36" s="149"/>
      <c r="L36" s="10"/>
      <c r="M36" s="10"/>
      <c r="Q36" s="73"/>
      <c r="R36" s="73"/>
      <c r="S36" s="73"/>
      <c r="T36" s="73"/>
      <c r="U36" s="73"/>
      <c r="V36" s="73"/>
      <c r="W36" s="73"/>
      <c r="X36" s="73"/>
      <c r="Y36" s="73"/>
      <c r="Z36" s="73"/>
      <c r="AA36" s="73"/>
      <c r="AB36" s="73"/>
    </row>
    <row r="37" spans="1:28" x14ac:dyDescent="0.8">
      <c r="A37" s="152" t="s">
        <v>85</v>
      </c>
      <c r="B37" s="153" t="s">
        <v>86</v>
      </c>
      <c r="C37" s="154" t="s">
        <v>87</v>
      </c>
      <c r="D37" s="117"/>
      <c r="E37" s="143"/>
      <c r="F37" s="143"/>
      <c r="G37" s="384"/>
      <c r="H37" s="152" t="s">
        <v>85</v>
      </c>
      <c r="I37" s="153" t="s">
        <v>86</v>
      </c>
      <c r="J37" s="154" t="s">
        <v>88</v>
      </c>
      <c r="K37" s="117"/>
      <c r="L37" s="143"/>
      <c r="M37" s="143"/>
      <c r="P37" s="93"/>
      <c r="Q37" s="93"/>
      <c r="R37" s="93"/>
      <c r="S37" s="93"/>
      <c r="T37" s="93"/>
      <c r="U37" s="93"/>
      <c r="V37" s="93"/>
      <c r="W37" s="93"/>
      <c r="X37" s="93"/>
      <c r="Y37" s="93"/>
      <c r="Z37" s="93"/>
      <c r="AA37" s="93"/>
    </row>
    <row r="38" spans="1:28" x14ac:dyDescent="0.8">
      <c r="A38" s="190"/>
      <c r="B38" s="191"/>
      <c r="C38" s="192"/>
      <c r="D38" s="143"/>
      <c r="E38" s="143"/>
      <c r="F38" s="143"/>
      <c r="G38" s="384"/>
      <c r="H38" s="190"/>
      <c r="I38" s="191"/>
      <c r="J38" s="192"/>
      <c r="K38" s="143"/>
      <c r="L38" s="143"/>
      <c r="M38" s="143"/>
      <c r="P38" s="93"/>
      <c r="Q38" s="93"/>
      <c r="R38" s="93"/>
      <c r="S38" s="93"/>
      <c r="T38" s="93"/>
      <c r="U38" s="93"/>
      <c r="V38" s="93"/>
      <c r="W38" s="93"/>
      <c r="X38" s="93"/>
      <c r="Y38" s="93"/>
      <c r="Z38" s="93"/>
      <c r="AA38" s="93"/>
    </row>
    <row r="39" spans="1:28" x14ac:dyDescent="0.8">
      <c r="A39" s="190"/>
      <c r="B39" s="191"/>
      <c r="C39" s="192"/>
      <c r="D39" s="143"/>
      <c r="E39" s="71"/>
      <c r="F39" s="71"/>
      <c r="G39" s="384"/>
      <c r="H39" s="190"/>
      <c r="I39" s="191"/>
      <c r="J39" s="192"/>
      <c r="K39" s="143"/>
      <c r="L39" s="71"/>
      <c r="M39" s="71"/>
      <c r="P39" s="93"/>
      <c r="Q39" s="93"/>
      <c r="R39" s="93"/>
      <c r="S39" s="93"/>
      <c r="T39" s="93"/>
      <c r="U39" s="93"/>
      <c r="V39" s="93"/>
      <c r="W39" s="93"/>
      <c r="X39" s="93"/>
      <c r="Y39" s="93"/>
      <c r="Z39" s="93"/>
      <c r="AA39" s="93"/>
    </row>
    <row r="40" spans="1:28" x14ac:dyDescent="0.8">
      <c r="A40" s="190"/>
      <c r="B40" s="191"/>
      <c r="C40" s="192"/>
      <c r="D40" s="143"/>
      <c r="E40" s="71"/>
      <c r="F40" s="71"/>
      <c r="G40" s="384"/>
      <c r="H40" s="190"/>
      <c r="I40" s="191"/>
      <c r="J40" s="192"/>
      <c r="K40" s="143"/>
      <c r="L40" s="71"/>
      <c r="M40" s="71"/>
      <c r="P40" s="93"/>
      <c r="Q40" s="93"/>
      <c r="R40" s="93"/>
      <c r="S40" s="93"/>
      <c r="T40" s="93"/>
      <c r="U40" s="93"/>
      <c r="V40" s="93"/>
      <c r="W40" s="93"/>
      <c r="X40" s="93"/>
      <c r="Y40" s="93"/>
      <c r="Z40" s="93"/>
      <c r="AA40" s="93"/>
    </row>
    <row r="41" spans="1:28" x14ac:dyDescent="0.8">
      <c r="A41" s="190"/>
      <c r="B41" s="191"/>
      <c r="C41" s="192"/>
      <c r="D41" s="143"/>
      <c r="E41" s="119"/>
      <c r="F41" s="119"/>
      <c r="G41" s="384"/>
      <c r="H41" s="190"/>
      <c r="I41" s="191"/>
      <c r="J41" s="192"/>
      <c r="K41" s="143"/>
      <c r="L41" s="119"/>
      <c r="M41" s="119"/>
      <c r="P41" s="93"/>
      <c r="Q41" s="93"/>
      <c r="R41" s="93"/>
      <c r="S41" s="93"/>
      <c r="T41" s="93"/>
      <c r="U41" s="93"/>
      <c r="V41" s="93"/>
      <c r="W41" s="93"/>
      <c r="X41" s="93"/>
      <c r="Y41" s="93"/>
      <c r="Z41" s="93"/>
      <c r="AA41" s="93"/>
    </row>
    <row r="42" spans="1:28" x14ac:dyDescent="0.8">
      <c r="A42" s="190"/>
      <c r="B42" s="191"/>
      <c r="C42" s="192"/>
      <c r="D42" s="143"/>
      <c r="F42" s="10"/>
      <c r="G42" s="384"/>
      <c r="H42" s="190"/>
      <c r="I42" s="191"/>
      <c r="J42" s="192"/>
      <c r="K42" s="143"/>
      <c r="M42" s="10"/>
      <c r="P42" s="73"/>
      <c r="Q42" s="73"/>
      <c r="R42" s="73"/>
      <c r="S42" s="73"/>
      <c r="T42" s="73"/>
      <c r="U42" s="73"/>
      <c r="V42" s="73"/>
      <c r="W42" s="73"/>
      <c r="X42" s="73"/>
      <c r="Y42" s="73"/>
      <c r="Z42" s="73"/>
      <c r="AA42" s="73"/>
    </row>
    <row r="43" spans="1:28" x14ac:dyDescent="0.8">
      <c r="A43" s="156" t="s">
        <v>89</v>
      </c>
      <c r="B43" s="157"/>
      <c r="C43" s="158">
        <f>SUM(C38:C42)</f>
        <v>0</v>
      </c>
      <c r="D43" s="143"/>
      <c r="E43" s="73"/>
      <c r="F43" s="71"/>
      <c r="G43" s="384"/>
      <c r="H43" s="156" t="s">
        <v>90</v>
      </c>
      <c r="I43" s="157"/>
      <c r="J43" s="158">
        <f>SUM(J38:J42)</f>
        <v>0</v>
      </c>
      <c r="K43" s="143"/>
      <c r="L43" s="73"/>
      <c r="M43" s="71"/>
      <c r="P43" s="73"/>
      <c r="Q43" s="73"/>
      <c r="R43" s="73"/>
      <c r="S43" s="73"/>
      <c r="T43" s="73"/>
      <c r="U43" s="73"/>
      <c r="V43" s="73"/>
      <c r="W43" s="73"/>
      <c r="X43" s="73"/>
      <c r="Y43" s="73"/>
      <c r="Z43" s="73"/>
      <c r="AA43" s="73"/>
    </row>
    <row r="44" spans="1:28" ht="16.75" thickBot="1" x14ac:dyDescent="0.95">
      <c r="A44" s="381" t="s">
        <v>22</v>
      </c>
      <c r="B44" s="381"/>
      <c r="C44" s="381"/>
      <c r="D44" s="71"/>
      <c r="E44" s="71"/>
      <c r="F44" s="71"/>
      <c r="G44" s="384"/>
      <c r="H44" s="381" t="s">
        <v>22</v>
      </c>
      <c r="I44" s="381"/>
      <c r="J44" s="381"/>
      <c r="K44" s="71"/>
      <c r="L44" s="71"/>
      <c r="M44" s="71"/>
      <c r="P44" s="93"/>
      <c r="Q44" s="93"/>
      <c r="R44" s="93"/>
      <c r="S44" s="93"/>
      <c r="T44" s="93"/>
      <c r="U44" s="93"/>
      <c r="V44" s="93"/>
      <c r="W44" s="93"/>
      <c r="X44" s="93"/>
      <c r="Y44" s="93"/>
      <c r="Z44" s="93"/>
      <c r="AA44" s="93"/>
    </row>
    <row r="45" spans="1:28" x14ac:dyDescent="0.8">
      <c r="A45" s="111" t="s">
        <v>91</v>
      </c>
      <c r="B45" s="113"/>
      <c r="C45" s="119"/>
      <c r="D45" s="119"/>
      <c r="E45" s="119"/>
      <c r="F45" s="119"/>
      <c r="G45" s="384"/>
      <c r="H45" s="111" t="s">
        <v>91</v>
      </c>
      <c r="I45" s="113"/>
      <c r="J45" s="119"/>
      <c r="K45" s="119"/>
      <c r="L45" s="119"/>
      <c r="M45" s="119"/>
      <c r="O45" s="93"/>
      <c r="P45" s="93"/>
      <c r="Q45" s="93"/>
      <c r="R45" s="93"/>
      <c r="S45" s="93"/>
      <c r="T45" s="93"/>
      <c r="U45" s="93"/>
      <c r="V45" s="93"/>
      <c r="W45" s="93"/>
      <c r="X45" s="93"/>
      <c r="Y45" s="93"/>
      <c r="Z45" s="93"/>
    </row>
    <row r="46" spans="1:28" ht="26.65" customHeight="1" x14ac:dyDescent="0.8">
      <c r="A46" s="70" t="s">
        <v>92</v>
      </c>
      <c r="B46" s="151"/>
      <c r="C46" s="119"/>
      <c r="D46" s="71"/>
      <c r="E46" s="73"/>
      <c r="F46" s="73"/>
      <c r="G46" s="384"/>
      <c r="H46" s="70" t="s">
        <v>92</v>
      </c>
      <c r="I46" s="151"/>
      <c r="J46" s="119"/>
      <c r="K46" s="71"/>
      <c r="L46" s="73"/>
      <c r="M46" s="73"/>
      <c r="O46" s="93"/>
      <c r="P46" s="93"/>
      <c r="Q46" s="93"/>
      <c r="R46" s="93"/>
      <c r="S46" s="93"/>
      <c r="T46" s="93"/>
      <c r="U46" s="93"/>
      <c r="V46" s="93"/>
      <c r="W46" s="93"/>
      <c r="X46" s="93"/>
      <c r="Y46" s="93"/>
      <c r="Z46" s="93"/>
    </row>
    <row r="47" spans="1:28" x14ac:dyDescent="0.8">
      <c r="A47" s="159" t="s">
        <v>93</v>
      </c>
      <c r="B47" s="160" t="s">
        <v>94</v>
      </c>
      <c r="C47" s="117"/>
      <c r="D47" s="117"/>
      <c r="E47" s="143"/>
      <c r="F47" s="109"/>
      <c r="G47" s="384"/>
      <c r="H47" s="159" t="s">
        <v>93</v>
      </c>
      <c r="I47" s="160" t="s">
        <v>95</v>
      </c>
      <c r="J47" s="117"/>
      <c r="K47" s="117"/>
      <c r="L47" s="143"/>
      <c r="M47" s="109"/>
      <c r="O47" s="93"/>
      <c r="P47" s="93"/>
      <c r="Q47" s="93"/>
      <c r="R47" s="93"/>
      <c r="S47" s="93"/>
      <c r="T47" s="93"/>
      <c r="U47" s="93"/>
      <c r="V47" s="93"/>
      <c r="W47" s="93"/>
      <c r="X47" s="93"/>
      <c r="Y47" s="93"/>
      <c r="Z47" s="93"/>
    </row>
    <row r="48" spans="1:28" ht="60" customHeight="1" x14ac:dyDescent="0.8">
      <c r="A48" s="193"/>
      <c r="B48" s="194"/>
      <c r="C48" s="143"/>
      <c r="D48" s="143"/>
      <c r="E48" s="143"/>
      <c r="F48" s="71"/>
      <c r="G48" s="384"/>
      <c r="H48" s="193"/>
      <c r="I48" s="194"/>
      <c r="J48" s="143"/>
      <c r="K48" s="143"/>
      <c r="L48" s="143"/>
      <c r="M48" s="71"/>
      <c r="O48" s="93"/>
      <c r="P48" s="93"/>
      <c r="Q48" s="93"/>
      <c r="R48" s="93"/>
      <c r="S48" s="93"/>
      <c r="T48" s="93"/>
      <c r="U48" s="93"/>
      <c r="V48" s="93"/>
      <c r="W48" s="93"/>
      <c r="X48" s="93"/>
      <c r="Y48" s="93"/>
      <c r="Z48" s="93"/>
    </row>
    <row r="49" spans="1:26" ht="60" customHeight="1" x14ac:dyDescent="0.8">
      <c r="A49" s="193"/>
      <c r="B49" s="194"/>
      <c r="C49" s="143"/>
      <c r="D49" s="143"/>
      <c r="E49" s="155"/>
      <c r="F49" s="155"/>
      <c r="G49" s="384"/>
      <c r="H49" s="193"/>
      <c r="I49" s="194"/>
      <c r="J49" s="143"/>
      <c r="K49" s="143"/>
      <c r="L49" s="155"/>
      <c r="M49" s="155"/>
      <c r="O49" s="93"/>
      <c r="P49" s="93"/>
      <c r="Q49" s="93"/>
      <c r="R49" s="93"/>
      <c r="S49" s="93"/>
      <c r="T49" s="93"/>
      <c r="U49" s="93"/>
      <c r="V49" s="93"/>
      <c r="W49" s="93"/>
      <c r="X49" s="93"/>
      <c r="Y49" s="93"/>
      <c r="Z49" s="93"/>
    </row>
    <row r="50" spans="1:26" ht="60" customHeight="1" x14ac:dyDescent="0.8">
      <c r="A50" s="193"/>
      <c r="B50" s="194"/>
      <c r="C50" s="143"/>
      <c r="D50" s="143"/>
      <c r="E50" s="71"/>
      <c r="F50" s="71"/>
      <c r="G50" s="384"/>
      <c r="H50" s="193"/>
      <c r="I50" s="194"/>
      <c r="J50" s="143"/>
      <c r="K50" s="143"/>
      <c r="L50" s="71"/>
      <c r="M50" s="71"/>
    </row>
    <row r="51" spans="1:26" ht="60" customHeight="1" x14ac:dyDescent="0.8">
      <c r="A51" s="193"/>
      <c r="B51" s="194"/>
      <c r="C51" s="143"/>
      <c r="D51" s="143"/>
      <c r="E51" s="161"/>
      <c r="F51" s="161"/>
      <c r="G51" s="384"/>
      <c r="H51" s="193"/>
      <c r="I51" s="194"/>
      <c r="J51" s="143"/>
      <c r="K51" s="143"/>
      <c r="L51" s="161"/>
      <c r="M51" s="161"/>
    </row>
    <row r="52" spans="1:26" ht="60" customHeight="1" x14ac:dyDescent="0.8">
      <c r="A52" s="193"/>
      <c r="B52" s="194"/>
      <c r="C52" s="143"/>
      <c r="D52" s="143"/>
      <c r="E52" s="162"/>
      <c r="F52" s="162"/>
      <c r="G52" s="384"/>
      <c r="H52" s="193"/>
      <c r="I52" s="194"/>
      <c r="J52" s="143"/>
      <c r="K52" s="143"/>
      <c r="L52" s="162"/>
      <c r="M52" s="162"/>
    </row>
    <row r="53" spans="1:26" x14ac:dyDescent="0.8">
      <c r="A53" s="163" t="s">
        <v>89</v>
      </c>
      <c r="B53" s="164">
        <f>SUM(B48:B52)</f>
        <v>0</v>
      </c>
      <c r="C53" s="143"/>
      <c r="D53" s="143"/>
      <c r="E53" s="73"/>
      <c r="G53" s="384"/>
      <c r="H53" s="165" t="s">
        <v>90</v>
      </c>
      <c r="I53" s="164">
        <f>SUM(I48:I52)</f>
        <v>0</v>
      </c>
      <c r="J53" s="143"/>
      <c r="K53" s="143"/>
      <c r="L53" s="73"/>
    </row>
    <row r="54" spans="1:26" ht="16.75" thickBot="1" x14ac:dyDescent="0.95">
      <c r="A54" s="379" t="s">
        <v>22</v>
      </c>
      <c r="B54" s="379"/>
      <c r="C54" s="10"/>
      <c r="D54" s="71"/>
      <c r="E54" s="71"/>
      <c r="F54" s="71"/>
      <c r="G54" s="384"/>
      <c r="H54" s="379" t="s">
        <v>22</v>
      </c>
      <c r="I54" s="379"/>
      <c r="J54" s="10"/>
      <c r="K54" s="71"/>
      <c r="L54" s="71"/>
      <c r="M54" s="71"/>
    </row>
    <row r="55" spans="1:26" x14ac:dyDescent="0.8">
      <c r="A55" s="166" t="str">
        <f>IF('3b. High Cost Fund'!$B10="No","This exception is not valid in your state.","Exception (e) The assumption of cost by the high cost fund operated by the")</f>
        <v>This exception is not valid in your state.</v>
      </c>
      <c r="B55" s="145"/>
      <c r="C55" s="146"/>
      <c r="D55" s="130"/>
      <c r="E55" s="130"/>
      <c r="F55" s="143"/>
      <c r="G55" s="384"/>
      <c r="H55" s="166" t="str">
        <f>IF('3b. High Cost Fund'!$B10="No","This exception is not valid in your state.","Exception (e) The assumption of cost by the high cost fund operated by the")</f>
        <v>This exception is not valid in your state.</v>
      </c>
      <c r="I55" s="145"/>
      <c r="J55" s="146"/>
      <c r="K55" s="130"/>
      <c r="L55" s="130"/>
      <c r="M55" s="143"/>
    </row>
    <row r="56" spans="1:26" ht="28.15" customHeight="1" x14ac:dyDescent="0.8">
      <c r="A56" s="70" t="str">
        <f>IF('3b. High Cost Fund'!$B10="No","","SEA under §300.704. MUST be explicitly permitted by the SEA.")</f>
        <v/>
      </c>
      <c r="B56" s="167"/>
      <c r="C56" s="168"/>
      <c r="D56" s="169"/>
      <c r="E56" s="162"/>
      <c r="F56" s="143"/>
      <c r="G56" s="384"/>
      <c r="H56" s="70" t="str">
        <f>IF('3b. High Cost Fund'!$B10="No","","SEA under §300.704. MUST be explicitly permitted by the SEA.")</f>
        <v/>
      </c>
      <c r="I56" s="167"/>
      <c r="J56" s="146"/>
      <c r="K56" s="169"/>
      <c r="L56" s="162"/>
      <c r="M56" s="143"/>
    </row>
    <row r="57" spans="1:26" x14ac:dyDescent="0.8">
      <c r="A57" s="170" t="s">
        <v>85</v>
      </c>
      <c r="B57" s="171" t="s">
        <v>96</v>
      </c>
      <c r="C57" s="117"/>
      <c r="D57" s="143"/>
      <c r="E57" s="143"/>
      <c r="F57" s="10"/>
      <c r="G57" s="384"/>
      <c r="H57" s="170" t="s">
        <v>85</v>
      </c>
      <c r="I57" s="171" t="s">
        <v>97</v>
      </c>
      <c r="J57" s="117"/>
      <c r="K57" s="143"/>
      <c r="L57" s="143"/>
      <c r="M57" s="10"/>
    </row>
    <row r="58" spans="1:26" ht="15.4" customHeight="1" x14ac:dyDescent="0.8">
      <c r="A58" s="195"/>
      <c r="B58" s="196"/>
      <c r="C58" s="338" t="str">
        <f>IF(AND(B58&lt;&gt;"",'3b. High Cost Fund'!$B10="No"),"Invalid entry. This exception is valid only in states with high-cost funds. If your state has a high-cost fund, please indicate that on tab 3b.","")</f>
        <v/>
      </c>
      <c r="D58" s="143"/>
      <c r="E58" s="143"/>
      <c r="F58" s="10"/>
      <c r="G58" s="384"/>
      <c r="H58" s="195"/>
      <c r="I58" s="196"/>
      <c r="J58" s="338" t="str">
        <f>IF(AND(I58&lt;&gt;"",'3b. High Cost Fund'!$B10="No"),"Invalid entry. This exception is valid only in states with high-cost funds. If your state has a high-cost fund, please indicate that on tab 3b.","")</f>
        <v/>
      </c>
      <c r="K58" s="143"/>
      <c r="L58" s="143"/>
      <c r="M58" s="10"/>
    </row>
    <row r="59" spans="1:26" x14ac:dyDescent="0.8">
      <c r="A59" s="195"/>
      <c r="B59" s="196"/>
      <c r="C59" s="143"/>
      <c r="D59" s="10"/>
      <c r="E59" s="10"/>
      <c r="F59" s="10"/>
      <c r="G59" s="384"/>
      <c r="H59" s="195"/>
      <c r="I59" s="196"/>
      <c r="J59" s="143"/>
      <c r="K59" s="10"/>
      <c r="L59" s="10"/>
      <c r="M59" s="10"/>
    </row>
    <row r="60" spans="1:26" x14ac:dyDescent="0.8">
      <c r="A60" s="195"/>
      <c r="B60" s="196"/>
      <c r="C60" s="143"/>
      <c r="D60" s="10"/>
      <c r="E60" s="10"/>
      <c r="F60" s="10"/>
      <c r="G60" s="384"/>
      <c r="H60" s="195"/>
      <c r="I60" s="196"/>
      <c r="J60" s="143"/>
      <c r="K60" s="10"/>
      <c r="L60" s="10"/>
      <c r="M60" s="10"/>
    </row>
    <row r="61" spans="1:26" x14ac:dyDescent="0.8">
      <c r="A61" s="195"/>
      <c r="B61" s="196"/>
      <c r="C61" s="143"/>
      <c r="D61" s="10"/>
      <c r="E61" s="10"/>
      <c r="F61" s="10"/>
      <c r="G61" s="384"/>
      <c r="H61" s="195"/>
      <c r="I61" s="196"/>
      <c r="J61" s="143"/>
      <c r="K61" s="10"/>
      <c r="L61" s="10"/>
      <c r="M61" s="10"/>
    </row>
    <row r="62" spans="1:26" x14ac:dyDescent="0.8">
      <c r="A62" s="195"/>
      <c r="B62" s="196"/>
      <c r="C62" s="143"/>
      <c r="D62" s="10"/>
      <c r="E62" s="10"/>
      <c r="F62" s="10"/>
      <c r="G62" s="384"/>
      <c r="H62" s="195"/>
      <c r="I62" s="196"/>
      <c r="J62" s="143"/>
      <c r="K62" s="10"/>
      <c r="L62" s="10"/>
      <c r="M62" s="10"/>
    </row>
    <row r="63" spans="1:26" x14ac:dyDescent="0.8">
      <c r="A63" s="172" t="s">
        <v>89</v>
      </c>
      <c r="B63" s="173">
        <f>IF('3b. High Cost Fund'!$B10="No",0,SUM(B58:B62))</f>
        <v>0</v>
      </c>
      <c r="C63" s="143"/>
      <c r="D63" s="10"/>
      <c r="E63" s="10"/>
      <c r="F63" s="10"/>
      <c r="G63" s="384"/>
      <c r="H63" s="174" t="s">
        <v>90</v>
      </c>
      <c r="I63" s="173">
        <f>IF('3b. High Cost Fund'!$B10="No",0,SUM(I58:I62))</f>
        <v>0</v>
      </c>
      <c r="J63" s="143"/>
      <c r="K63" s="10"/>
      <c r="L63" s="10"/>
      <c r="M63" s="10"/>
    </row>
    <row r="64" spans="1:26" ht="16.75" thickBot="1" x14ac:dyDescent="0.95">
      <c r="A64" s="379" t="s">
        <v>22</v>
      </c>
      <c r="B64" s="379"/>
      <c r="C64" s="143"/>
      <c r="D64" s="10"/>
      <c r="E64" s="10"/>
      <c r="F64" s="10"/>
      <c r="G64" s="384"/>
      <c r="H64" s="379" t="s">
        <v>22</v>
      </c>
      <c r="I64" s="379"/>
      <c r="J64" s="143"/>
      <c r="K64" s="10"/>
      <c r="L64" s="10"/>
      <c r="M64" s="10"/>
    </row>
    <row r="65" spans="1:13" x14ac:dyDescent="0.8">
      <c r="A65" s="347" t="s">
        <v>107</v>
      </c>
      <c r="B65" s="348"/>
      <c r="C65" s="143"/>
      <c r="D65" s="10"/>
      <c r="E65" s="10"/>
      <c r="F65" s="10"/>
      <c r="G65" s="384"/>
      <c r="H65" s="347" t="s">
        <v>106</v>
      </c>
      <c r="I65" s="348"/>
      <c r="J65" s="143"/>
      <c r="K65" s="10"/>
      <c r="L65" s="10"/>
      <c r="M65" s="10"/>
    </row>
    <row r="66" spans="1:13" x14ac:dyDescent="0.8">
      <c r="A66" s="242" t="s">
        <v>123</v>
      </c>
      <c r="B66" s="265" t="s">
        <v>124</v>
      </c>
      <c r="C66" s="143"/>
      <c r="D66" s="10"/>
      <c r="E66" s="10"/>
      <c r="F66" s="10"/>
      <c r="G66" s="384"/>
      <c r="H66" s="269" t="s">
        <v>123</v>
      </c>
      <c r="I66" s="270" t="s">
        <v>124</v>
      </c>
      <c r="J66" s="143"/>
      <c r="K66" s="10"/>
      <c r="L66" s="10"/>
      <c r="M66" s="10"/>
    </row>
    <row r="67" spans="1:13" x14ac:dyDescent="0.8">
      <c r="A67" s="102" t="s">
        <v>0</v>
      </c>
      <c r="B67" s="240">
        <f>IF(B$28&gt;=0,(F$22+C$43+B$53+B$63),(F$22+C$43+B$53+B$63+B$32))</f>
        <v>0</v>
      </c>
      <c r="C67" s="143"/>
      <c r="D67" s="10"/>
      <c r="E67" s="10"/>
      <c r="F67" s="10"/>
      <c r="G67" s="384"/>
      <c r="H67" s="102" t="s">
        <v>0</v>
      </c>
      <c r="I67" s="240">
        <f>IF(I$28&gt;=0,(M$22+J$43+I$53+I$63),(M$22+J$43+I$53+I$63+I$32))</f>
        <v>0</v>
      </c>
      <c r="J67" s="143"/>
      <c r="K67" s="10"/>
      <c r="L67" s="10"/>
      <c r="M67" s="10"/>
    </row>
    <row r="68" spans="1:13" x14ac:dyDescent="0.8">
      <c r="A68" s="241" t="s">
        <v>2</v>
      </c>
      <c r="B68" s="173">
        <f>IF(B$28&gt;=0,(F$22+C$43+B$53+B$63),(F$22+C$43+B$53+B$63+C$32))</f>
        <v>0</v>
      </c>
      <c r="C68" s="143"/>
      <c r="D68" s="10"/>
      <c r="E68" s="10"/>
      <c r="F68" s="10"/>
      <c r="G68" s="384"/>
      <c r="H68" s="241" t="s">
        <v>2</v>
      </c>
      <c r="I68" s="173">
        <f>IF(I$28&gt;=0,(M$22+J$43+I$53+I$63),(M$22+J$43+I$53+I$63+J$32))</f>
        <v>0</v>
      </c>
      <c r="J68" s="143"/>
      <c r="K68" s="10"/>
      <c r="L68" s="10"/>
      <c r="M68" s="10"/>
    </row>
    <row r="69" spans="1:13" ht="16.75" thickBot="1" x14ac:dyDescent="0.95">
      <c r="A69" s="382" t="s">
        <v>22</v>
      </c>
      <c r="B69" s="382"/>
      <c r="C69" s="10"/>
      <c r="D69" s="10"/>
      <c r="E69" s="10"/>
      <c r="F69" s="10"/>
      <c r="G69" s="384"/>
      <c r="H69" s="382" t="s">
        <v>22</v>
      </c>
      <c r="I69" s="382"/>
      <c r="J69" s="10"/>
      <c r="K69" s="10"/>
      <c r="L69" s="10"/>
      <c r="M69" s="10"/>
    </row>
    <row r="70" spans="1:13" ht="31.15" customHeight="1" x14ac:dyDescent="0.8">
      <c r="A70" s="337" t="s">
        <v>98</v>
      </c>
      <c r="B70" s="176"/>
      <c r="C70" s="11"/>
      <c r="D70" s="177"/>
      <c r="E70" s="10"/>
      <c r="F70" s="10"/>
      <c r="G70" s="384"/>
      <c r="H70" s="337" t="s">
        <v>98</v>
      </c>
      <c r="I70" s="176"/>
      <c r="J70" s="11"/>
      <c r="K70" s="177"/>
      <c r="L70" s="10"/>
      <c r="M70" s="10"/>
    </row>
    <row r="71" spans="1:13" x14ac:dyDescent="0.8">
      <c r="A71" s="178" t="s">
        <v>71</v>
      </c>
      <c r="B71" s="179" t="s">
        <v>99</v>
      </c>
      <c r="C71" s="11" t="s">
        <v>100</v>
      </c>
      <c r="E71" s="10"/>
      <c r="F71" s="10"/>
      <c r="G71" s="384"/>
      <c r="H71" s="178" t="s">
        <v>71</v>
      </c>
      <c r="I71" s="179" t="s">
        <v>101</v>
      </c>
      <c r="J71" s="11" t="s">
        <v>100</v>
      </c>
      <c r="K71" s="10"/>
      <c r="L71" s="10"/>
      <c r="M71" s="10"/>
    </row>
    <row r="72" spans="1:13" x14ac:dyDescent="0.8">
      <c r="A72" s="180" t="s">
        <v>102</v>
      </c>
      <c r="B72" s="197">
        <v>0</v>
      </c>
      <c r="C72" s="181" t="s">
        <v>103</v>
      </c>
      <c r="D72" s="10"/>
      <c r="E72" s="10"/>
      <c r="F72" s="10"/>
      <c r="G72" s="384"/>
      <c r="H72" s="180" t="s">
        <v>104</v>
      </c>
      <c r="I72" s="197">
        <v>0</v>
      </c>
      <c r="J72" s="181" t="s">
        <v>103</v>
      </c>
      <c r="K72" s="10"/>
      <c r="L72" s="10"/>
      <c r="M72" s="10"/>
    </row>
    <row r="73" spans="1:13" ht="30" customHeight="1" x14ac:dyDescent="0.8">
      <c r="A73" s="345" t="s">
        <v>183</v>
      </c>
      <c r="B73" s="182"/>
      <c r="C73" s="182"/>
      <c r="D73" s="182"/>
      <c r="E73" s="182"/>
      <c r="F73" s="182"/>
      <c r="G73" s="384"/>
      <c r="H73" s="182"/>
      <c r="I73" s="182"/>
      <c r="J73" s="182"/>
      <c r="K73" s="182"/>
      <c r="L73" s="182"/>
      <c r="M73" s="182"/>
    </row>
    <row r="74" spans="1:13" s="184" customFormat="1" x14ac:dyDescent="0.8">
      <c r="A74" s="358" t="s">
        <v>182</v>
      </c>
      <c r="B74" s="183"/>
      <c r="C74" s="183"/>
      <c r="D74" s="183"/>
      <c r="E74" s="183"/>
      <c r="F74" s="183"/>
      <c r="G74" s="384"/>
      <c r="H74" s="183"/>
      <c r="I74" s="183"/>
      <c r="J74" s="183"/>
      <c r="K74" s="183"/>
      <c r="L74" s="183"/>
      <c r="M74" s="183"/>
    </row>
    <row r="75" spans="1:13" x14ac:dyDescent="0.8">
      <c r="A75" s="380" t="s">
        <v>24</v>
      </c>
      <c r="B75" s="380"/>
      <c r="C75" s="380"/>
      <c r="D75" s="380"/>
      <c r="E75" s="380"/>
      <c r="F75" s="380"/>
      <c r="G75" s="380"/>
      <c r="H75" s="380"/>
      <c r="I75" s="380"/>
      <c r="J75" s="380"/>
      <c r="K75" s="380"/>
      <c r="L75" s="380"/>
      <c r="M75" s="380"/>
    </row>
  </sheetData>
  <sheetProtection algorithmName="SHA-512" hashValue="ltb1IcdiScXB8pMJa3FlDUegkqHgZtdjv9LwSw+XuYA1nYmXVL/IbHWElr3KYsz+MV8U7EiVPMwidsx+0XhYwg==" saltValue="cAA90Bsp42ePEO1RqJsqww==" spinCount="100000" sheet="1" formatColumns="0" formatRows="0"/>
  <mergeCells count="14">
    <mergeCell ref="A54:B54"/>
    <mergeCell ref="H54:I54"/>
    <mergeCell ref="A69:B69"/>
    <mergeCell ref="H69:I69"/>
    <mergeCell ref="A75:M75"/>
    <mergeCell ref="A64:B64"/>
    <mergeCell ref="H64:I64"/>
    <mergeCell ref="G1:G74"/>
    <mergeCell ref="A23:F23"/>
    <mergeCell ref="H23:M23"/>
    <mergeCell ref="A33:C33"/>
    <mergeCell ref="H33:J33"/>
    <mergeCell ref="A44:C44"/>
    <mergeCell ref="H44:J44"/>
  </mergeCells>
  <conditionalFormatting sqref="A55">
    <cfRule type="containsText" dxfId="180" priority="2" operator="containsText" text="not valid">
      <formula>NOT(ISERROR(SEARCH("not valid",A55)))</formula>
    </cfRule>
  </conditionalFormatting>
  <conditionalFormatting sqref="H55">
    <cfRule type="containsText" dxfId="179" priority="1" operator="containsText" text="not valid">
      <formula>NOT(ISERROR(SEARCH("not valid",H55)))</formula>
    </cfRule>
  </conditionalFormatting>
  <dataValidations count="1">
    <dataValidation type="list" allowBlank="1" showInputMessage="1" showErrorMessage="1" sqref="B38:B42 I38:I42" xr:uid="{00000000-0002-0000-1B00-000000000000}">
      <formula1>Exception_c</formula1>
    </dataValidation>
  </dataValidations>
  <hyperlinks>
    <hyperlink ref="C72" r:id="rId1" xr:uid="{00000000-0004-0000-1B00-000000000000}"/>
    <hyperlink ref="J72" r:id="rId2" xr:uid="{00000000-0004-0000-1B00-000001000000}"/>
    <hyperlink ref="A74" r:id="rId3" xr:uid="{E7C7EF2B-A77E-489C-B164-8E2F5BD0E795}"/>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0070C0"/>
  </sheetPr>
  <dimension ref="A1:F43"/>
  <sheetViews>
    <sheetView showGridLines="0" workbookViewId="0">
      <selection activeCell="A32" sqref="A32:A33"/>
    </sheetView>
  </sheetViews>
  <sheetFormatPr defaultColWidth="0" defaultRowHeight="14.75" zeroHeight="1" x14ac:dyDescent="0.75"/>
  <cols>
    <col min="1" max="1" width="43.40625" bestFit="1" customWidth="1"/>
    <col min="2" max="5" width="33.7265625" customWidth="1"/>
    <col min="6" max="6" width="0.86328125" customWidth="1"/>
    <col min="7" max="16384" width="9.1328125" hidden="1"/>
  </cols>
  <sheetData>
    <row r="1" spans="1:5" ht="21" x14ac:dyDescent="1">
      <c r="A1" s="302" t="str">
        <f>CONCATENATE("Summary of Year 8: State Fiscal Year ",'2. Getting Started'!B6+7)</f>
        <v>Summary of Year 8: State Fiscal Year 2031</v>
      </c>
      <c r="B1" s="300"/>
      <c r="C1" s="300"/>
      <c r="D1" s="21" t="s">
        <v>14</v>
      </c>
      <c r="E1" s="20" t="str">
        <f>IF('2. Getting Started'!B2="","",'2. Getting Started'!B2)</f>
        <v/>
      </c>
    </row>
    <row r="2" spans="1:5" ht="18.5" x14ac:dyDescent="0.9">
      <c r="A2" s="2" t="str">
        <f>CONCATENATE("State fiscal year ",'2. Getting Started'!B6+7," covers the period ",'2. Getting Started'!B4,", ",'2. Getting Started'!B6+6," through ",'2. Getting Started'!B5,", ",'2. Getting Started'!B6+7)</f>
        <v>State fiscal year 2031 covers the period July 1, 2030 through June 30, 2031</v>
      </c>
      <c r="B2" s="300"/>
      <c r="C2" s="300"/>
      <c r="D2" s="301"/>
      <c r="E2" s="300"/>
    </row>
    <row r="3" spans="1:5" ht="18.5" x14ac:dyDescent="0.9">
      <c r="A3" s="8"/>
      <c r="B3" s="18"/>
      <c r="C3" s="18"/>
      <c r="D3" s="201"/>
      <c r="E3" s="18"/>
    </row>
    <row r="4" spans="1:5" ht="16" x14ac:dyDescent="0.8">
      <c r="A4" s="5" t="s">
        <v>7</v>
      </c>
      <c r="B4" s="4"/>
      <c r="C4" s="4"/>
      <c r="D4" s="4"/>
      <c r="E4" s="4"/>
    </row>
    <row r="5" spans="1:5" x14ac:dyDescent="0.75">
      <c r="A5" s="260" t="s">
        <v>125</v>
      </c>
      <c r="B5" s="244" t="s">
        <v>0</v>
      </c>
      <c r="C5" s="244" t="s">
        <v>2</v>
      </c>
      <c r="D5" s="244" t="s">
        <v>3</v>
      </c>
      <c r="E5" s="245" t="s">
        <v>4</v>
      </c>
    </row>
    <row r="6" spans="1:5" x14ac:dyDescent="0.75">
      <c r="A6" s="243" t="s">
        <v>44</v>
      </c>
      <c r="B6" s="3" t="str">
        <f>IF('2. Getting Started'!B10="","",IF('38. Total Local Funds'!F54="Met",'2. Getting Started'!$B$6+5,IF('38. Total Local Funds'!F46="Met",'2. Getting Started'!$B$6+4,IF('38. Total Local Funds'!F38="Met",'2. Getting Started'!$B$6+3,IF('38. Total Local Funds'!F30="Met",'2. Getting Started'!$B$6+2,IF('38. Total Local Funds'!$F22="Met",'2. Getting Started'!$B$6+1,IF('38. Total Local Funds'!$F14="Met",'2. Getting Started'!$B$6,'2. Getting Started'!$B10)))))))</f>
        <v/>
      </c>
      <c r="C6" s="3" t="str">
        <f>IF('2. Getting Started'!B11="","",IF('39. Total State &amp; Local Funds'!F54="Met",'2. Getting Started'!$B$6+5,IF('39.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6" s="3" t="str">
        <f>IF('2. Getting Started'!B12="","",IF('40. Local Funds Per Capita'!F55="Met",'2. Getting Started'!$B$6+5,IF('40.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6" s="257" t="str">
        <f>IF('2. Getting Started'!B13="","",IF('41. State &amp; Local Funds Per Cap'!F55="Met",'2. Getting Started'!$B$6+5,IF('41.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7" spans="1:5" x14ac:dyDescent="0.75">
      <c r="A7" s="243" t="s">
        <v>45</v>
      </c>
      <c r="B7" s="204" t="str">
        <f>IF(B6="","",IF(B6='2. Getting Started'!$B$6+5,'20. Year 6 Amounts'!K30,IF(B6='2. Getting Started'!$B$6+4,'17. Year 5 Amounts'!K30,IF(B6='2. Getting Started'!$B$6+3,'14. Year 4 Amounts'!K30,IF(B6='2. Getting Started'!$B$6+2,'11. Year 3 Amounts'!K30,IF(B6='2. Getting Started'!$B$6+1,'8. Year 2 Amounts'!K30,IF(B6='2. Getting Started'!$B$6,'5. Year 1 Amounts'!K30,'2. Getting Started'!$C10)))))))</f>
        <v/>
      </c>
      <c r="C7" s="204" t="str">
        <f>IF(C6="","",IF(C6='2. Getting Started'!$B$6+5,'20. Year 6 Amounts'!M30,IF(C6='2. Getting Started'!$B$6+4,'17. Year 5 Amounts'!M30,IF(C6='2. Getting Started'!$B$6+3,'14. Year 4 Amounts'!M30,IF(C6='2. Getting Started'!$B$6+2,'11. Year 3 Amounts'!M30,IF(C6='2. Getting Started'!$B$6+1,'8. Year 2 Amounts'!M30,IF(C6='2. Getting Started'!$B$6,'5. Year 1 Amounts'!M30,'2. Getting Started'!$C11)))))))</f>
        <v/>
      </c>
      <c r="D7" s="204" t="str">
        <f>IF(D6="","",IF(D6='2. Getting Started'!$B$6+5,'20. Year 6 Amounts'!K31,IF(D6='2. Getting Started'!$B$6+4,'17. Year 5 Amounts'!K31,IF(D6='2. Getting Started'!$B$6+3,'14. Year 4 Amounts'!K31,IF(D6='2. Getting Started'!$B$6+2,'11. Year 3 Amounts'!K31,IF(D6='2. Getting Started'!$B$6+1,'8. Year 2 Amounts'!K31,IF(D6='2. Getting Started'!$B$6,'5. Year 1 Amounts'!K31,'2. Getting Started'!$C12)))))))</f>
        <v/>
      </c>
      <c r="E7" s="267" t="str">
        <f>IF(E6="","",IF(E6='2. Getting Started'!$B$6+5,'20. Year 6 Amounts'!M31,IF(E6='2. Getting Started'!$B$6+4,'17. Year 5 Amounts'!M31,IF(E6='2. Getting Started'!$B$6+3,'14. Year 4 Amounts'!M31,IF(E6='2. Getting Started'!$B$6+2,'11. Year 3 Amounts'!M31,IF(E6='2. Getting Started'!$B$6+1,'8. Year 2 Amounts'!M31,IF(E6='2. Getting Started'!$B$6,'5. Year 1 Amounts'!M31,'2. Getting Started'!$C13)))))))</f>
        <v/>
      </c>
    </row>
    <row r="8" spans="1:5" x14ac:dyDescent="0.75">
      <c r="A8" s="243" t="s">
        <v>9</v>
      </c>
      <c r="B8" s="204" t="str">
        <f>'26. Year 8 Amounts'!D30</f>
        <v/>
      </c>
      <c r="C8" s="204" t="str">
        <f>'26. Year 8 Amounts'!F30</f>
        <v/>
      </c>
      <c r="D8" s="204" t="str">
        <f>'26. Year 8 Amounts'!D31</f>
        <v/>
      </c>
      <c r="E8" s="267" t="str">
        <f>'26. Year 8 Amounts'!F31</f>
        <v/>
      </c>
    </row>
    <row r="9" spans="1:5" x14ac:dyDescent="0.75">
      <c r="A9" s="243" t="s">
        <v>117</v>
      </c>
      <c r="B9" s="200" t="str">
        <f>IF(B8="","",IF(B8&gt;=B7,"Met",IF(AND(B8&lt;B7,'38. Total Local Funds'!$B70="Met"),"Met with Exceptions &amp; Adjustments","Did Not Meet")))</f>
        <v/>
      </c>
      <c r="C9" s="200" t="str">
        <f>IF(C8="","",IF(C8&gt;=C7,"Met",IF(AND(C8&lt;C7,'39. Total State &amp; Local Funds'!$B70="Met"),"Met with Exceptions &amp; Adjustments","Did Not Meet")))</f>
        <v/>
      </c>
      <c r="D9" s="200" t="str">
        <f>IF(D8="","",IF(D8&gt;=D7,"Met",IF(AND(D8&lt;D7,'40. Local Funds Per Capita'!$B71="Met"),"Met with Exceptions &amp; Adjustments","Did Not Meet")))</f>
        <v/>
      </c>
      <c r="E9" s="259" t="str">
        <f>IF(E8="","",IF(E8&gt;=E7,"Met",IF(AND(E8&lt;E7,'41. State &amp; Local Funds Per Cap'!$B71="Met"),"Met with Exceptions &amp; Adjustments","Did Not Meet")))</f>
        <v/>
      </c>
    </row>
    <row r="10" spans="1:5" x14ac:dyDescent="0.75">
      <c r="A10" s="246" t="s">
        <v>46</v>
      </c>
      <c r="B10" s="256" t="str">
        <f>IF(B9="","",IF(B9="Did Not Meet",'38. Total Local Funds'!$B68-'38. Total Local Funds'!$B69,0))</f>
        <v/>
      </c>
      <c r="C10" s="256" t="str">
        <f>IF(C9="","",IF(C9="Did Not Meet",'39. Total State &amp; Local Funds'!$B68-'39. Total State &amp; Local Funds'!$B69,0))</f>
        <v/>
      </c>
      <c r="D10" s="256" t="str">
        <f>IF(D9="","",IF(D9="Did Not Meet",(('40. Local Funds Per Capita'!$B69-'40. Local Funds Per Capita'!$B70)*'26. Year 8 Amounts'!B1),0))</f>
        <v/>
      </c>
      <c r="E10" s="261" t="str">
        <f>IF(E9="","",IF(E9="Did Not Meet",(('41. State &amp; Local Funds Per Cap'!$B69-'41. State &amp; Local Funds Per Cap'!$B70)*'26. Year 8 Amounts'!B1),0))</f>
        <v/>
      </c>
    </row>
    <row r="11" spans="1:5" x14ac:dyDescent="0.75">
      <c r="A11" s="373" t="s">
        <v>175</v>
      </c>
      <c r="B11" s="373"/>
      <c r="C11" s="373"/>
      <c r="D11" s="373"/>
      <c r="E11" s="373"/>
    </row>
    <row r="12" spans="1:5" ht="16" x14ac:dyDescent="0.8">
      <c r="A12" s="5" t="s">
        <v>10</v>
      </c>
      <c r="B12" s="5"/>
      <c r="C12" s="5"/>
      <c r="D12" s="5"/>
      <c r="E12" s="5"/>
    </row>
    <row r="13" spans="1:5" x14ac:dyDescent="0.75">
      <c r="A13" s="260" t="s">
        <v>125</v>
      </c>
      <c r="B13" s="244" t="s">
        <v>0</v>
      </c>
      <c r="C13" s="244" t="s">
        <v>2</v>
      </c>
      <c r="D13" s="244" t="s">
        <v>3</v>
      </c>
      <c r="E13" s="245" t="s">
        <v>4</v>
      </c>
    </row>
    <row r="14" spans="1:5" x14ac:dyDescent="0.75">
      <c r="A14" s="243" t="s">
        <v>44</v>
      </c>
      <c r="B14" s="3" t="str">
        <f>IF('2. Getting Started'!B10="","",IF('38. Total Local Funds'!F62="Met",'2. Getting Started'!B6+6,IF('38. Total Local Funds'!F54="Met",'2. Getting Started'!B6+5,IF('38. Total Local Funds'!F46="Met",'2. Getting Started'!B6+4,IF('38. Total Local Funds'!F38="Met",'2. Getting Started'!$B$6+3,IF('38. Total Local Funds'!F30="Met",'2. Getting Started'!$B$6+2,IF('38. Total Local Funds'!F22="Met",'2. Getting Started'!$B$6+1,IF('38. Total Local Funds'!$F14="Met",'2. Getting Started'!$B$6,'2. Getting Started'!$B10))))))))</f>
        <v/>
      </c>
      <c r="C14" s="3" t="str">
        <f>IF('2. Getting Started'!B11="","",IF('39. Total State &amp; Local Funds'!F62="Met",'2. Getting Started'!B6+6,IF('39. Total State &amp; Local Funds'!F54="Met",'2. Getting Started'!B6+5,IF('39.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14" s="3" t="str">
        <f>IF('2. Getting Started'!B12="","",IF('40. Local Funds Per Capita'!F63="Met",'2. Getting Started'!B6+6,IF('40. Local Funds Per Capita'!F55="Met",'2. Getting Started'!B6+5,IF('40.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14" s="257" t="str">
        <f>IF('2. Getting Started'!B13="","",IF('41. State &amp; Local Funds Per Cap'!F63="Met",'2. Getting Started'!B6+6,IF('41. State &amp; Local Funds Per Cap'!F55="Met",'2. Getting Started'!B6+5,IF('41.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15" spans="1:5" x14ac:dyDescent="0.75">
      <c r="A15" s="243" t="s">
        <v>45</v>
      </c>
      <c r="B15" s="17" t="str">
        <f>IF(B14="","",IF(B14='2. Getting Started'!B6+6,'23. Year 7 Amounts'!K30,IF(B14='2. Getting Started'!B6+5,'20. Year 6 Amounts'!K30,IF(B14='2. Getting Started'!B6+4,'17. Year 5 Amounts'!K30,IF(B14='2. Getting Started'!$B$6+3,'14. Year 4 Amounts'!K30,IF(B14='2. Getting Started'!$B$6+2,'11. Year 3 Amounts'!K30,IF(B14='2. Getting Started'!$B$6+1,'8. Year 2 Amounts'!K30,IF(B14='2. Getting Started'!$B$6,'5. Year 1 Amounts'!K30,'2. Getting Started'!$C10))))))))</f>
        <v/>
      </c>
      <c r="C15" s="17" t="str">
        <f>IF(C14="","",IF(C14='2. Getting Started'!B6+6,'23. Year 7 Amounts'!M30,IF(C14='2. Getting Started'!B6+5,'20. Year 6 Amounts'!M30,IF(C14='2. Getting Started'!B6+4,'17. Year 5 Amounts'!M30,IF(C14='2. Getting Started'!$B$6+3,'14. Year 4 Amounts'!M30,IF(C14='2. Getting Started'!$B$6+2,'11. Year 3 Amounts'!M30,IF(C14='2. Getting Started'!$B$6+1,'8. Year 2 Amounts'!M30,IF(C14='2. Getting Started'!$B$6,'5. Year 1 Amounts'!M30,'2. Getting Started'!$C11))))))))</f>
        <v/>
      </c>
      <c r="D15" s="17" t="str">
        <f>IF(D14="","",IF(D14='2. Getting Started'!B6+6,'23. Year 7 Amounts'!K31,IF(D14='2. Getting Started'!B6+5,'20. Year 6 Amounts'!K31,IF(D14='2. Getting Started'!B6+4,'17. Year 5 Amounts'!K31,IF(D14='2. Getting Started'!$B$6+3,'14. Year 4 Amounts'!K31,IF(D14='2. Getting Started'!$B$6+2,'11. Year 3 Amounts'!K31,IF(D14='2. Getting Started'!$B$6+1,'8. Year 2 Amounts'!K31,IF(D14='2. Getting Started'!$B$6,'5. Year 1 Amounts'!K31,'2. Getting Started'!$C12))))))))</f>
        <v/>
      </c>
      <c r="E15" s="258" t="str">
        <f>IF(E14="","",IF(E14='2. Getting Started'!B6+6,'23. Year 7 Amounts'!M31,IF(E14='2. Getting Started'!B6+5,'20. Year 6 Amounts'!M31,IF(E14='2. Getting Started'!B6+4,'17. Year 5 Amounts'!M31,IF(E14='2. Getting Started'!$B$6+3,'14. Year 4 Amounts'!M31,IF(E14='2. Getting Started'!$B$6+2,'11. Year 3 Amounts'!M31,IF(E14='2. Getting Started'!$B$6+1,'8. Year 2 Amounts'!M31,IF(E14='2. Getting Started'!$B$6,'5. Year 1 Amounts'!M31,'2. Getting Started'!$C13))))))))</f>
        <v/>
      </c>
    </row>
    <row r="16" spans="1:5" x14ac:dyDescent="0.75">
      <c r="A16" s="243" t="s">
        <v>11</v>
      </c>
      <c r="B16" s="17" t="str">
        <f>'26. Year 8 Amounts'!K30</f>
        <v/>
      </c>
      <c r="C16" s="17" t="str">
        <f>'26. Year 8 Amounts'!M30</f>
        <v/>
      </c>
      <c r="D16" s="17" t="str">
        <f>'26. Year 8 Amounts'!K31</f>
        <v/>
      </c>
      <c r="E16" s="258" t="str">
        <f>'26. Year 8 Amounts'!M31</f>
        <v/>
      </c>
    </row>
    <row r="17" spans="1:5" x14ac:dyDescent="0.75">
      <c r="A17" s="243" t="s">
        <v>117</v>
      </c>
      <c r="B17" s="200" t="str">
        <f>IF(B16="","",IF(B16&gt;=B15,"Met",IF(AND(B16&lt;B15,'38. Total Local Funds'!F70="Met"),"Met with Exceptions &amp; Adjustments","Did Not Meet")))</f>
        <v/>
      </c>
      <c r="C17" s="200" t="str">
        <f>IF(C16="","",IF(C16&gt;=C15,"Met",IF(AND(C16&lt;C15,'39. Total State &amp; Local Funds'!F70="Met"),"Met with Exceptions &amp; Adjustments","Did Not Meet")))</f>
        <v/>
      </c>
      <c r="D17" s="200" t="str">
        <f>IF(D16="","",IF(D16&gt;=D15,"Met",IF(AND(D16&lt;D15,'40. Local Funds Per Capita'!F71="Met"),"Met with Exceptions &amp; Adjustments","Did Not Meet")))</f>
        <v/>
      </c>
      <c r="E17" s="259" t="str">
        <f>IF(E16="","",IF(E16&gt;=E15,"Met",IF(AND(E16&lt;E15,'41. State &amp; Local Funds Per Cap'!F71="Met"),"Met with Exceptions &amp; Adjustments","Did Not Meet")))</f>
        <v/>
      </c>
    </row>
    <row r="18" spans="1:5" x14ac:dyDescent="0.75">
      <c r="A18" s="246" t="s">
        <v>46</v>
      </c>
      <c r="B18" s="256" t="str">
        <f>IF(B17="","",IF(B17="Did Not Meet",'38. Total Local Funds'!F68-'38. Total Local Funds'!F69,0))</f>
        <v/>
      </c>
      <c r="C18" s="256" t="str">
        <f>IF(C17="","",IF(C17="Did Not Meet",'39. Total State &amp; Local Funds'!F68-'39. Total State &amp; Local Funds'!F69,0))</f>
        <v/>
      </c>
      <c r="D18" s="256" t="str">
        <f>IF(D17="","",IF(D17="Did Not Meet",(('40. Local Funds Per Capita'!F69-'40. Local Funds Per Capita'!F70)*'26. Year 8 Amounts'!I1),0))</f>
        <v/>
      </c>
      <c r="E18" s="261" t="str">
        <f>IF(E17="","",IF(E17="Did Not Meet",(('41. State &amp; Local Funds Per Cap'!F69-'41. State &amp; Local Funds Per Cap'!F70)*'26. Year 8 Amounts'!I1),0))</f>
        <v/>
      </c>
    </row>
    <row r="19" spans="1:5" x14ac:dyDescent="0.75">
      <c r="A19" s="373" t="s">
        <v>175</v>
      </c>
      <c r="B19" s="373"/>
      <c r="C19" s="373"/>
      <c r="D19" s="373"/>
      <c r="E19" s="373"/>
    </row>
    <row r="20" spans="1:5" ht="16" x14ac:dyDescent="0.8">
      <c r="A20" s="198"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9"/>
    </row>
    <row r="21" spans="1:5" x14ac:dyDescent="0.75">
      <c r="A21" s="260" t="s">
        <v>126</v>
      </c>
      <c r="B21" s="271" t="s">
        <v>134</v>
      </c>
    </row>
    <row r="22" spans="1:5" x14ac:dyDescent="0.75">
      <c r="A22" s="243" t="s">
        <v>110</v>
      </c>
      <c r="B22" s="272"/>
    </row>
    <row r="23" spans="1:5" x14ac:dyDescent="0.75">
      <c r="A23" s="243" t="s">
        <v>111</v>
      </c>
      <c r="B23" s="272"/>
    </row>
    <row r="24" spans="1:5" x14ac:dyDescent="0.75">
      <c r="A24" s="243" t="s">
        <v>112</v>
      </c>
      <c r="B24" s="258">
        <f>B22+B23</f>
        <v>0</v>
      </c>
    </row>
    <row r="25" spans="1:5" x14ac:dyDescent="0.75">
      <c r="A25" s="243" t="s">
        <v>113</v>
      </c>
      <c r="B25" s="258">
        <f>MIN(B24,B18,C18,D18,E18)</f>
        <v>0</v>
      </c>
    </row>
    <row r="26" spans="1:5" x14ac:dyDescent="0.75">
      <c r="A26" s="243" t="s">
        <v>114</v>
      </c>
      <c r="B26" s="263"/>
    </row>
    <row r="27" spans="1:5" x14ac:dyDescent="0.75">
      <c r="A27" s="246" t="s">
        <v>115</v>
      </c>
      <c r="B27" s="264"/>
    </row>
    <row r="28" spans="1:5" x14ac:dyDescent="0.75">
      <c r="A28" s="373" t="s">
        <v>175</v>
      </c>
      <c r="B28" s="373"/>
      <c r="C28" s="373"/>
      <c r="D28" s="373"/>
      <c r="E28" s="373"/>
    </row>
    <row r="29" spans="1:5" ht="16" x14ac:dyDescent="0.8">
      <c r="A29" s="322" t="s">
        <v>149</v>
      </c>
    </row>
    <row r="30" spans="1:5" x14ac:dyDescent="0.75">
      <c r="A30" s="373" t="s">
        <v>175</v>
      </c>
      <c r="B30" s="373"/>
      <c r="C30" s="373"/>
      <c r="D30" s="373"/>
      <c r="E30" s="373"/>
    </row>
    <row r="31" spans="1:5" x14ac:dyDescent="0.75">
      <c r="A31" s="2" t="str">
        <f>CONCATENATE("Exceptions and Adjustment Claimed for State Fiscal Year ",'2. Getting Started'!B6+7)</f>
        <v>Exceptions and Adjustment Claimed for State Fiscal Year 2031</v>
      </c>
    </row>
    <row r="32" spans="1:5" x14ac:dyDescent="0.75">
      <c r="A32" s="2"/>
      <c r="B32" s="323" t="s">
        <v>148</v>
      </c>
      <c r="C32" s="4"/>
      <c r="D32" s="323" t="s">
        <v>152</v>
      </c>
      <c r="E32" s="4"/>
    </row>
    <row r="33" spans="1:5" x14ac:dyDescent="0.75">
      <c r="A33" s="217" t="s">
        <v>151</v>
      </c>
      <c r="B33" s="324" t="s">
        <v>155</v>
      </c>
      <c r="C33" s="325" t="s">
        <v>156</v>
      </c>
      <c r="D33" s="326" t="s">
        <v>153</v>
      </c>
      <c r="E33" s="325" t="s">
        <v>154</v>
      </c>
    </row>
    <row r="34" spans="1:5" x14ac:dyDescent="0.75">
      <c r="A34" s="223" t="s">
        <v>140</v>
      </c>
      <c r="B34" s="17">
        <f>'27. Year 8 Exc &amp; Adj'!F22</f>
        <v>0</v>
      </c>
      <c r="C34" s="258">
        <f>'27. Year 8 Exc &amp; Adj'!F22</f>
        <v>0</v>
      </c>
      <c r="D34" s="327">
        <f>'27. Year 8 Exc &amp; Adj'!M22</f>
        <v>0</v>
      </c>
      <c r="E34" s="17">
        <f>'27. Year 8 Exc &amp; Adj'!M22</f>
        <v>0</v>
      </c>
    </row>
    <row r="35" spans="1:5" x14ac:dyDescent="0.75">
      <c r="A35" s="223" t="s">
        <v>141</v>
      </c>
      <c r="B35" s="17" t="str">
        <f>'27. Year 8 Exc &amp; Adj'!B32</f>
        <v/>
      </c>
      <c r="C35" s="258" t="str">
        <f>'27. Year 8 Exc &amp; Adj'!C32</f>
        <v/>
      </c>
      <c r="D35" s="327" t="str">
        <f>'27. Year 8 Exc &amp; Adj'!I32</f>
        <v/>
      </c>
      <c r="E35" s="258" t="str">
        <f>'27. Year 8 Exc &amp; Adj'!J32</f>
        <v/>
      </c>
    </row>
    <row r="36" spans="1:5" x14ac:dyDescent="0.75">
      <c r="A36" s="223" t="s">
        <v>142</v>
      </c>
      <c r="B36" s="17">
        <f>'27. Year 8 Exc &amp; Adj'!C43</f>
        <v>0</v>
      </c>
      <c r="C36" s="258">
        <f>'27. Year 8 Exc &amp; Adj'!C43</f>
        <v>0</v>
      </c>
      <c r="D36" s="327">
        <f>'27. Year 8 Exc &amp; Adj'!J43</f>
        <v>0</v>
      </c>
      <c r="E36" s="17">
        <f>'27. Year 8 Exc &amp; Adj'!J43</f>
        <v>0</v>
      </c>
    </row>
    <row r="37" spans="1:5" x14ac:dyDescent="0.75">
      <c r="A37" s="223" t="s">
        <v>143</v>
      </c>
      <c r="B37" s="17">
        <f>'27. Year 8 Exc &amp; Adj'!B53</f>
        <v>0</v>
      </c>
      <c r="C37" s="258">
        <f>'27. Year 8 Exc &amp; Adj'!B53</f>
        <v>0</v>
      </c>
      <c r="D37" s="327">
        <f>'27. Year 8 Exc &amp; Adj'!I53</f>
        <v>0</v>
      </c>
      <c r="E37" s="17">
        <f>'27. Year 8 Exc &amp; Adj'!I53</f>
        <v>0</v>
      </c>
    </row>
    <row r="38" spans="1:5" x14ac:dyDescent="0.75">
      <c r="A38" s="223" t="str">
        <f>IF('3b. High Cost Fund'!$B10="No","This exception is not valid for your state.","Exception (e)")</f>
        <v>This exception is not valid for your state.</v>
      </c>
      <c r="B38" s="332" t="str">
        <f>IF('3b. High Cost Fund'!$B10="No","",'27. Year 8 Exc &amp; Adj'!B63)</f>
        <v/>
      </c>
      <c r="C38" s="333" t="str">
        <f>IF('3b. High Cost Fund'!$B10="No","",'27. Year 8 Exc &amp; Adj'!B63)</f>
        <v/>
      </c>
      <c r="D38" s="327" t="str">
        <f>IF('3b. High Cost Fund'!$B10="No","",'27. Year 8 Exc &amp; Adj'!I63)</f>
        <v/>
      </c>
      <c r="E38" s="332" t="str">
        <f>IF('3b. High Cost Fund'!$B10="No","",'27. Year 8 Exc &amp; Adj'!I63)</f>
        <v/>
      </c>
    </row>
    <row r="39" spans="1:5" x14ac:dyDescent="0.75">
      <c r="A39" s="223" t="s">
        <v>144</v>
      </c>
      <c r="B39" s="17">
        <f>AdjDataYear8Budget[Projected Adjustment]</f>
        <v>0</v>
      </c>
      <c r="C39" s="17">
        <f>AdjDataYear8Budget[Projected Adjustment]</f>
        <v>0</v>
      </c>
      <c r="D39" s="328">
        <f>AdjDataYear8Expenditures[[Adjustment ]]</f>
        <v>0</v>
      </c>
      <c r="E39" s="17">
        <f>AdjDataYear8Expenditures[[Adjustment ]]</f>
        <v>0</v>
      </c>
    </row>
    <row r="40" spans="1:5" x14ac:dyDescent="0.75">
      <c r="A40" s="246" t="s">
        <v>124</v>
      </c>
      <c r="B40" s="329">
        <f>SUM(B34:B39)</f>
        <v>0</v>
      </c>
      <c r="C40" s="330">
        <f>SUM(C34:C39)</f>
        <v>0</v>
      </c>
      <c r="D40" s="331">
        <f>SUM(D34:D39)</f>
        <v>0</v>
      </c>
      <c r="E40" s="330">
        <f>SUM(E34:E39)</f>
        <v>0</v>
      </c>
    </row>
    <row r="41" spans="1:5" ht="27" customHeight="1" x14ac:dyDescent="0.75">
      <c r="A41" s="345" t="s">
        <v>183</v>
      </c>
      <c r="B41" s="346"/>
      <c r="C41" s="346"/>
      <c r="D41" s="346"/>
      <c r="E41" s="346"/>
    </row>
    <row r="42" spans="1:5" ht="16" x14ac:dyDescent="0.8">
      <c r="A42" s="358" t="s">
        <v>182</v>
      </c>
    </row>
    <row r="43" spans="1:5" x14ac:dyDescent="0.75">
      <c r="A43" s="373" t="s">
        <v>24</v>
      </c>
      <c r="B43" s="373"/>
      <c r="C43" s="373"/>
      <c r="D43" s="373"/>
      <c r="E43" s="373"/>
    </row>
  </sheetData>
  <sheetProtection algorithmName="SHA-512" hashValue="p2uVU7WOvpkuTNbCd5sCOdUPT4ayuMH7WV3GviTGM5p82RN19EZPHeGHyy1m4OJIsTVfAVDa6noBgLHlcTfNWg==" saltValue="HqHnLv92Nd04W04aYUhV1Q==" spinCount="100000" sheet="1" objects="1" scenarios="1" formatColumns="0" formatRows="0"/>
  <mergeCells count="5">
    <mergeCell ref="A11:E11"/>
    <mergeCell ref="A19:E19"/>
    <mergeCell ref="A28:E28"/>
    <mergeCell ref="A30:E30"/>
    <mergeCell ref="A43:E43"/>
  </mergeCells>
  <conditionalFormatting sqref="B9:E9">
    <cfRule type="containsText" dxfId="178" priority="3" operator="containsText" text="Did Not Meet">
      <formula>NOT(ISERROR(SEARCH("Did Not Meet",B9)))</formula>
    </cfRule>
    <cfRule type="containsText" dxfId="177" priority="4" operator="containsText" text="Met">
      <formula>NOT(ISERROR(SEARCH("Met",B9)))</formula>
    </cfRule>
  </conditionalFormatting>
  <conditionalFormatting sqref="B17:E17">
    <cfRule type="containsText" dxfId="176" priority="1" operator="containsText" text="Did Not Meet">
      <formula>NOT(ISERROR(SEARCH("Did Not Meet",B17)))</formula>
    </cfRule>
    <cfRule type="containsText" dxfId="175" priority="2" operator="containsText" text="Met">
      <formula>NOT(ISERROR(SEARCH("Met",B17)))</formula>
    </cfRule>
  </conditionalFormatting>
  <hyperlinks>
    <hyperlink ref="A29" location="'4. Multi-Year MOE Summary'!A11" display="Go to the Multi-Year MOE Summary" xr:uid="{00000000-0004-0000-1C00-000000000000}"/>
    <hyperlink ref="A42" r:id="rId1" xr:uid="{ADF68F90-095E-41DE-A9C3-D09F173A50E8}"/>
  </hyperlinks>
  <pageMargins left="0.7" right="0.7" top="0.75" bottom="0.75" header="0.3" footer="0.3"/>
  <pageSetup orientation="landscape" verticalDpi="300"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sheetPr>
  <dimension ref="A1:K26"/>
  <sheetViews>
    <sheetView showGridLines="0" workbookViewId="0"/>
  </sheetViews>
  <sheetFormatPr defaultColWidth="0" defaultRowHeight="14.75" zeroHeight="1" x14ac:dyDescent="0.75"/>
  <cols>
    <col min="1" max="4" width="22.7265625" customWidth="1"/>
    <col min="5" max="7" width="22.7265625" hidden="1" customWidth="1"/>
    <col min="8" max="8" width="25.86328125" hidden="1" customWidth="1"/>
    <col min="9" max="9" width="18.1328125" hidden="1" customWidth="1"/>
    <col min="10" max="10" width="15.1328125" hidden="1" customWidth="1"/>
    <col min="11" max="11" width="12.54296875" hidden="1" customWidth="1"/>
    <col min="12" max="16384" width="9.1328125" hidden="1"/>
  </cols>
  <sheetData>
    <row r="1" spans="1:11" x14ac:dyDescent="0.75">
      <c r="A1" s="2" t="s">
        <v>162</v>
      </c>
      <c r="H1" s="2" t="s">
        <v>108</v>
      </c>
    </row>
    <row r="2" spans="1:11" x14ac:dyDescent="0.75">
      <c r="A2" s="2" t="s">
        <v>161</v>
      </c>
      <c r="H2" s="2"/>
    </row>
    <row r="3" spans="1:11" ht="44.25" x14ac:dyDescent="0.75">
      <c r="A3" s="2" t="s">
        <v>122</v>
      </c>
      <c r="B3" s="6" t="s">
        <v>159</v>
      </c>
      <c r="C3" s="6" t="s">
        <v>160</v>
      </c>
      <c r="I3" t="s">
        <v>43</v>
      </c>
      <c r="J3" t="s">
        <v>137</v>
      </c>
      <c r="K3" t="s">
        <v>8</v>
      </c>
    </row>
    <row r="4" spans="1:11" x14ac:dyDescent="0.75">
      <c r="A4" s="3">
        <f>IF(MIN('2. Getting Started'!B$10:B$13)&lt;=('2. Getting Started'!B$6-2),'2. Getting Started'!B$6-1,"")</f>
        <v>2023</v>
      </c>
      <c r="B4" s="234"/>
      <c r="C4" s="234"/>
      <c r="I4">
        <v>2</v>
      </c>
      <c r="J4" s="9">
        <f>B4</f>
        <v>0</v>
      </c>
      <c r="K4" s="9">
        <f>C4</f>
        <v>0</v>
      </c>
    </row>
    <row r="5" spans="1:11" x14ac:dyDescent="0.75">
      <c r="A5" s="3">
        <f>IF(MIN('2. Getting Started'!B$10:B$13)&lt;=('2. Getting Started'!B$6-3),'2. Getting Started'!B$6-2,"")</f>
        <v>2022</v>
      </c>
      <c r="B5" s="234"/>
      <c r="C5" s="234"/>
      <c r="I5">
        <v>3</v>
      </c>
      <c r="J5" s="9">
        <f>SUM(B$4:B5)</f>
        <v>0</v>
      </c>
      <c r="K5" s="9">
        <f>SUM(C$4:C5)</f>
        <v>0</v>
      </c>
    </row>
    <row r="6" spans="1:11" x14ac:dyDescent="0.75">
      <c r="A6" s="3">
        <f>IF(MIN('2. Getting Started'!B$10:B$13)&lt;=('2. Getting Started'!B$6-4),'2. Getting Started'!B$6-3,"")</f>
        <v>2021</v>
      </c>
      <c r="B6" s="234"/>
      <c r="C6" s="234"/>
      <c r="I6">
        <v>4</v>
      </c>
      <c r="J6" s="9">
        <f>SUM(B$4:B6)</f>
        <v>0</v>
      </c>
      <c r="K6" s="9">
        <f>SUM(C$4:C6)</f>
        <v>0</v>
      </c>
    </row>
    <row r="7" spans="1:11" x14ac:dyDescent="0.75">
      <c r="A7" s="3">
        <f>IF(MIN('2. Getting Started'!B$10:B$13)&lt;=('2. Getting Started'!B$6-5),'2. Getting Started'!B$6-4,"")</f>
        <v>2020</v>
      </c>
      <c r="B7" s="234"/>
      <c r="C7" s="234"/>
      <c r="I7">
        <v>5</v>
      </c>
      <c r="J7" s="9">
        <f>SUM(B$4:B7)</f>
        <v>0</v>
      </c>
      <c r="K7" s="9">
        <f>SUM(C$4:C7)</f>
        <v>0</v>
      </c>
    </row>
    <row r="8" spans="1:11" x14ac:dyDescent="0.75">
      <c r="A8" s="3">
        <f>IF(MIN('2. Getting Started'!B$10:B$13)&lt;=('2. Getting Started'!B$6-6),'2. Getting Started'!B$6-5,"")</f>
        <v>2019</v>
      </c>
      <c r="B8" s="234"/>
      <c r="C8" s="234"/>
      <c r="I8">
        <v>6</v>
      </c>
      <c r="J8" s="9">
        <f>SUM(B$4:B8)</f>
        <v>0</v>
      </c>
      <c r="K8" s="9">
        <f>SUM(C$4:C8)</f>
        <v>0</v>
      </c>
    </row>
    <row r="9" spans="1:11" x14ac:dyDescent="0.75">
      <c r="A9" s="3">
        <f>IF(MIN('2. Getting Started'!B$10:B$13)&lt;=('2. Getting Started'!B$6-7),'2. Getting Started'!B$6-6,"")</f>
        <v>2018</v>
      </c>
      <c r="B9" s="234"/>
      <c r="C9" s="234"/>
      <c r="I9">
        <v>7</v>
      </c>
      <c r="J9" s="9">
        <f>SUM(B$4:B9)</f>
        <v>0</v>
      </c>
      <c r="K9" s="9">
        <f>SUM(C$4:C9)</f>
        <v>0</v>
      </c>
    </row>
    <row r="10" spans="1:11" x14ac:dyDescent="0.75">
      <c r="A10" s="3">
        <f>IF(MIN('2. Getting Started'!B$10:B$13)&lt;=('2. Getting Started'!B$6-8),'2. Getting Started'!B$6-7,"")</f>
        <v>2017</v>
      </c>
      <c r="B10" s="234"/>
      <c r="C10" s="234"/>
      <c r="I10">
        <v>8</v>
      </c>
      <c r="J10" s="9">
        <f>SUM(B$4:B10)</f>
        <v>0</v>
      </c>
      <c r="K10" s="9">
        <f>SUM(C$4:C10)</f>
        <v>0</v>
      </c>
    </row>
    <row r="11" spans="1:11" x14ac:dyDescent="0.75">
      <c r="A11" s="3">
        <f>IF(MIN('2. Getting Started'!B$10:B$13)&lt;=('2. Getting Started'!B$6-9),'2. Getting Started'!B$6-8,"")</f>
        <v>2016</v>
      </c>
      <c r="B11" s="234"/>
      <c r="C11" s="234"/>
      <c r="I11">
        <v>9</v>
      </c>
      <c r="J11" s="9">
        <f>SUM(B$4:B11)</f>
        <v>0</v>
      </c>
      <c r="K11" s="9">
        <f>SUM(C$4:C11)</f>
        <v>0</v>
      </c>
    </row>
    <row r="12" spans="1:11" x14ac:dyDescent="0.75">
      <c r="A12" s="3">
        <f>IF(MIN('2. Getting Started'!B$10:B$13)&lt;=('2. Getting Started'!B$6-10),'2. Getting Started'!B$6-9,"")</f>
        <v>2015</v>
      </c>
      <c r="B12" s="234"/>
      <c r="C12" s="234"/>
      <c r="I12">
        <v>10</v>
      </c>
      <c r="J12" s="9">
        <f>SUM(B$4:B12)</f>
        <v>0</v>
      </c>
      <c r="K12" s="9">
        <f>SUM(C$4:C12)</f>
        <v>0</v>
      </c>
    </row>
    <row r="13" spans="1:11" x14ac:dyDescent="0.75">
      <c r="A13" s="3">
        <f>IF(MIN('2. Getting Started'!B$10:B$13)&lt;=('2. Getting Started'!B$6-11),'2. Getting Started'!B$6-10,"")</f>
        <v>2014</v>
      </c>
      <c r="B13" s="234"/>
      <c r="C13" s="234"/>
      <c r="I13">
        <v>11</v>
      </c>
      <c r="J13" s="9">
        <f>SUM(B$4:B13)</f>
        <v>0</v>
      </c>
      <c r="K13" s="9">
        <f>SUM(C$4:C13)</f>
        <v>0</v>
      </c>
    </row>
    <row r="14" spans="1:11" x14ac:dyDescent="0.75">
      <c r="A14" s="3">
        <f>IF(MIN('2. Getting Started'!B$10:B$13)&lt;=('2. Getting Started'!B$6-12),'2. Getting Started'!B$6-11,"")</f>
        <v>2013</v>
      </c>
      <c r="B14" s="234"/>
      <c r="C14" s="234"/>
      <c r="I14">
        <v>12</v>
      </c>
      <c r="J14" s="9">
        <f>SUM(B$4:B14)</f>
        <v>0</v>
      </c>
      <c r="K14" s="9">
        <f>SUM(C$4:C14)</f>
        <v>0</v>
      </c>
    </row>
    <row r="15" spans="1:11" x14ac:dyDescent="0.75">
      <c r="A15" s="3">
        <f>IF(MIN('2. Getting Started'!B$10:B$13)&lt;=('2. Getting Started'!B$6-13),'2. Getting Started'!B$6-12,"")</f>
        <v>2012</v>
      </c>
      <c r="B15" s="234"/>
      <c r="C15" s="234"/>
      <c r="I15">
        <v>13</v>
      </c>
      <c r="J15" s="9">
        <f>SUM(B$4:B15)</f>
        <v>0</v>
      </c>
      <c r="K15" s="9">
        <f>SUM(C$4:C15)</f>
        <v>0</v>
      </c>
    </row>
    <row r="16" spans="1:11" x14ac:dyDescent="0.75">
      <c r="A16" s="3">
        <f>IF(MIN('2. Getting Started'!B$10:B$13)&lt;=('2. Getting Started'!B$6-14),'2. Getting Started'!B$6-13,"")</f>
        <v>2011</v>
      </c>
      <c r="B16" s="234"/>
      <c r="C16" s="234"/>
      <c r="I16">
        <v>14</v>
      </c>
      <c r="J16" s="9">
        <f>SUM(B$4:B16)</f>
        <v>0</v>
      </c>
      <c r="K16" s="9">
        <f>SUM(C$4:C16)</f>
        <v>0</v>
      </c>
    </row>
    <row r="17" spans="1:11" x14ac:dyDescent="0.75">
      <c r="A17" s="3">
        <f>IF(MIN('2. Getting Started'!B$10:B$13)&lt;=('2. Getting Started'!B$6-15),'2. Getting Started'!B$6-14,"")</f>
        <v>2010</v>
      </c>
      <c r="B17" s="234"/>
      <c r="C17" s="234"/>
      <c r="I17">
        <v>15</v>
      </c>
      <c r="J17" s="9">
        <f>SUM(B$4:B17)</f>
        <v>0</v>
      </c>
      <c r="K17" s="9">
        <f>SUM(C$4:C17)</f>
        <v>0</v>
      </c>
    </row>
    <row r="18" spans="1:11" x14ac:dyDescent="0.75">
      <c r="A18" s="3">
        <f>IF(MIN('2. Getting Started'!B$10:B$13)&lt;=('2. Getting Started'!B$6-16),'2. Getting Started'!B$6-15,"")</f>
        <v>2009</v>
      </c>
      <c r="B18" s="234"/>
      <c r="C18" s="234"/>
      <c r="I18">
        <v>16</v>
      </c>
      <c r="J18" s="9">
        <f>SUM(B$4:B18)</f>
        <v>0</v>
      </c>
      <c r="K18" s="9">
        <f>SUM(C$4:C18)</f>
        <v>0</v>
      </c>
    </row>
    <row r="19" spans="1:11" x14ac:dyDescent="0.75">
      <c r="A19" s="3">
        <f>IF(MIN('2. Getting Started'!B$10:B$13)&lt;=('2. Getting Started'!B$6-17),'2. Getting Started'!B$6-16,"")</f>
        <v>2008</v>
      </c>
      <c r="B19" s="234"/>
      <c r="C19" s="234"/>
      <c r="I19">
        <v>17</v>
      </c>
      <c r="J19" s="9">
        <f>SUM(B$4:B19)</f>
        <v>0</v>
      </c>
      <c r="K19" s="9">
        <f>SUM(C$4:C19)</f>
        <v>0</v>
      </c>
    </row>
    <row r="20" spans="1:11" x14ac:dyDescent="0.75">
      <c r="A20" s="3">
        <f>IF(MIN('2. Getting Started'!B$10:B$13)&lt;=('2. Getting Started'!B$6-18),'2. Getting Started'!B$6-17,"")</f>
        <v>2007</v>
      </c>
      <c r="B20" s="234"/>
      <c r="C20" s="234"/>
      <c r="I20">
        <v>18</v>
      </c>
      <c r="J20" s="9">
        <f>SUM(B$4:B20)</f>
        <v>0</v>
      </c>
      <c r="K20" s="9">
        <f>SUM(C$4:C20)</f>
        <v>0</v>
      </c>
    </row>
    <row r="21" spans="1:11" x14ac:dyDescent="0.75">
      <c r="A21" s="3">
        <f>IF(MIN('2. Getting Started'!B$10:B$13)&lt;=('2. Getting Started'!B$6-19),'2. Getting Started'!B$6-18,"")</f>
        <v>2006</v>
      </c>
      <c r="B21" s="234"/>
      <c r="C21" s="234"/>
      <c r="I21">
        <v>19</v>
      </c>
      <c r="J21" s="9">
        <f>SUM(B$4:B21)</f>
        <v>0</v>
      </c>
      <c r="K21" s="9">
        <f>SUM(C$4:C21)</f>
        <v>0</v>
      </c>
    </row>
    <row r="22" spans="1:11" x14ac:dyDescent="0.75">
      <c r="A22" s="3">
        <f>IF(MIN('2. Getting Started'!B$10:B$13)&lt;=('2. Getting Started'!B$6-20),'2. Getting Started'!B$6-19,"")</f>
        <v>2005</v>
      </c>
      <c r="B22" s="234"/>
      <c r="C22" s="234"/>
      <c r="I22">
        <v>20</v>
      </c>
      <c r="J22" s="9">
        <f>SUM(B$4:B22)</f>
        <v>0</v>
      </c>
      <c r="K22" s="9">
        <f>SUM(C$4:C22)</f>
        <v>0</v>
      </c>
    </row>
    <row r="23" spans="1:11" x14ac:dyDescent="0.75">
      <c r="A23" s="237">
        <f>IF(MIN('2. Getting Started'!B$10:B$13)&lt;=('2. Getting Started'!B$6-21),'2. Getting Started'!B$6-20,"")</f>
        <v>2004</v>
      </c>
      <c r="B23" s="238"/>
      <c r="C23" s="238"/>
      <c r="I23">
        <v>21</v>
      </c>
      <c r="J23" s="9">
        <f>SUM(B$4:B23)</f>
        <v>0</v>
      </c>
      <c r="K23" s="9">
        <f>SUM(C$4:C23)</f>
        <v>0</v>
      </c>
    </row>
    <row r="24" spans="1:11" ht="24.75" customHeight="1" x14ac:dyDescent="0.75">
      <c r="A24" s="341" t="s">
        <v>183</v>
      </c>
      <c r="B24" s="343"/>
      <c r="C24" s="343"/>
      <c r="D24" s="343"/>
    </row>
    <row r="25" spans="1:11" ht="16" x14ac:dyDescent="0.8">
      <c r="A25" s="358" t="s">
        <v>182</v>
      </c>
    </row>
    <row r="26" spans="1:11" x14ac:dyDescent="0.75">
      <c r="A26" s="373" t="s">
        <v>24</v>
      </c>
      <c r="B26" s="373"/>
      <c r="C26" s="373"/>
      <c r="D26" s="373"/>
    </row>
  </sheetData>
  <sheetProtection algorithmName="SHA-512" hashValue="Gxf2vswB1+Q2ct6WGaQX1UaFnbiJ+UuxrxnyFmWeONcCcjKeXODG8lPdZ2ndqgEQ0RAUbMy1ld5aLdEDVsBURg==" saltValue="2dNi4a2aggeTbSj6yWPG8A==" spinCount="100000" sheet="1" objects="1" scenarios="1" formatColumns="0" formatRows="0"/>
  <mergeCells count="1">
    <mergeCell ref="A26:D26"/>
  </mergeCells>
  <phoneticPr fontId="29" type="noConversion"/>
  <hyperlinks>
    <hyperlink ref="A25" r:id="rId1" xr:uid="{7BE7F717-41BE-4435-8FB9-D4723948E40F}"/>
  </hyperlinks>
  <pageMargins left="0.7" right="0.7" top="0.75" bottom="0.75" header="0.3" footer="0.3"/>
  <pageSetup orientation="portrait" verticalDpi="300"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FF0000"/>
    <pageSetUpPr autoPageBreaks="0"/>
  </sheetPr>
  <dimension ref="A1:N35"/>
  <sheetViews>
    <sheetView showGridLines="0" workbookViewId="0">
      <pane ySplit="4" topLeftCell="A5" activePane="bottomLeft" state="frozen"/>
      <selection activeCell="A5" sqref="A5"/>
      <selection pane="bottomLeft" activeCell="A5" sqref="A5"/>
    </sheetView>
  </sheetViews>
  <sheetFormatPr defaultColWidth="0" defaultRowHeight="0" customHeight="1" zeroHeight="1" x14ac:dyDescent="0.75"/>
  <cols>
    <col min="1" max="1" width="39.40625" style="20" bestFit="1" customWidth="1"/>
    <col min="2" max="3" width="12.86328125" style="20" customWidth="1"/>
    <col min="4" max="6" width="23.7265625" style="20" customWidth="1"/>
    <col min="7" max="7" width="5.40625" style="20" customWidth="1"/>
    <col min="8" max="8" width="39.40625" style="20" customWidth="1"/>
    <col min="9" max="10" width="12.86328125" style="20" customWidth="1"/>
    <col min="11" max="13" width="23.7265625" style="20" customWidth="1"/>
    <col min="14" max="14" width="0.86328125" style="20" customWidth="1"/>
    <col min="15" max="16384" width="10.54296875" style="20" hidden="1"/>
  </cols>
  <sheetData>
    <row r="1" spans="1:13" ht="16.75" thickBot="1" x14ac:dyDescent="0.9">
      <c r="A1" s="19" t="s">
        <v>48</v>
      </c>
      <c r="B1" s="48"/>
      <c r="D1" s="21" t="s">
        <v>14</v>
      </c>
      <c r="E1" s="20" t="str">
        <f>IF('2. Getting Started'!B2="","",'2. Getting Started'!B2)</f>
        <v/>
      </c>
      <c r="G1" s="376" t="s">
        <v>22</v>
      </c>
      <c r="H1" s="19" t="s">
        <v>49</v>
      </c>
      <c r="I1" s="48"/>
      <c r="K1" s="21" t="s">
        <v>14</v>
      </c>
      <c r="L1" s="20" t="str">
        <f>IF('2. Getting Started'!B2="","",'2. Getting Started'!B2)</f>
        <v/>
      </c>
    </row>
    <row r="2" spans="1:13" s="25" customFormat="1" ht="37.9" customHeight="1" thickBot="1" x14ac:dyDescent="0.9">
      <c r="A2" s="22" t="str">
        <f>CONCATENATE("Eligibility Standard - State Fiscal Year ",'2. Getting Started'!B6+8," -  LEA Effort - Budgeted Amounts")</f>
        <v>Eligibility Standard - State Fiscal Year 2032 -  LEA Effort - Budgeted Amounts</v>
      </c>
      <c r="B2" s="23"/>
      <c r="C2" s="23"/>
      <c r="D2" s="23"/>
      <c r="E2" s="23"/>
      <c r="F2" s="24"/>
      <c r="G2" s="376"/>
      <c r="H2" s="22" t="str">
        <f>CONCATENATE("Compliance Standard - State Fiscal Year ",'2. Getting Started'!B6+8," - LEA Effort - Final Expenditures")</f>
        <v>Compliance Standard - State Fiscal Year 2032 - LEA Effort - Final Expenditures</v>
      </c>
      <c r="I2" s="23"/>
      <c r="J2" s="23"/>
      <c r="K2" s="23"/>
      <c r="L2" s="23"/>
      <c r="M2" s="24"/>
    </row>
    <row r="3" spans="1:13" s="25" customFormat="1" ht="24" customHeight="1" x14ac:dyDescent="0.75">
      <c r="A3" s="26"/>
      <c r="B3" s="27"/>
      <c r="D3" s="28" t="str">
        <f>CONCATENATE("SFY ",'2. Getting Started'!$B6+8," Budget")</f>
        <v>SFY 2032 Budget</v>
      </c>
      <c r="E3" s="29"/>
      <c r="F3" s="30"/>
      <c r="G3" s="376"/>
      <c r="H3" s="26"/>
      <c r="I3" s="27"/>
      <c r="J3" s="31"/>
      <c r="K3" s="28" t="str">
        <f>CONCATENATE("SFY ",'2. Getting Started'!$B6+8," Final Expenditures")</f>
        <v>SFY 2032 Final Expenditures</v>
      </c>
      <c r="L3" s="29"/>
      <c r="M3" s="32"/>
    </row>
    <row r="4" spans="1:13" s="37" customFormat="1" ht="18.5" x14ac:dyDescent="0.9">
      <c r="A4" s="33" t="s">
        <v>50</v>
      </c>
      <c r="B4" s="34" t="s">
        <v>51</v>
      </c>
      <c r="C4" s="35" t="s">
        <v>52</v>
      </c>
      <c r="D4" s="36" t="s">
        <v>53</v>
      </c>
      <c r="E4" s="36" t="s">
        <v>54</v>
      </c>
      <c r="F4" s="36" t="s">
        <v>8</v>
      </c>
      <c r="G4" s="376"/>
      <c r="H4" s="33" t="s">
        <v>50</v>
      </c>
      <c r="I4" s="34" t="s">
        <v>55</v>
      </c>
      <c r="J4" s="35" t="s">
        <v>52</v>
      </c>
      <c r="K4" s="36" t="s">
        <v>53</v>
      </c>
      <c r="L4" s="36" t="s">
        <v>54</v>
      </c>
      <c r="M4" s="36" t="s">
        <v>8</v>
      </c>
    </row>
    <row r="5" spans="1:13" ht="16" x14ac:dyDescent="0.75">
      <c r="A5" s="49"/>
      <c r="B5" s="50"/>
      <c r="C5" s="51"/>
      <c r="D5" s="52"/>
      <c r="E5" s="52"/>
      <c r="F5" s="38" t="str">
        <f>IF(AND(D5="",E5=""),"",SUM(D5:E5))</f>
        <v/>
      </c>
      <c r="G5" s="376"/>
      <c r="H5" s="49"/>
      <c r="I5" s="50"/>
      <c r="J5" s="51"/>
      <c r="K5" s="52"/>
      <c r="L5" s="52"/>
      <c r="M5" s="38" t="str">
        <f>IF(AND(K5="",L5=""),"",SUM(K5:L5))</f>
        <v/>
      </c>
    </row>
    <row r="6" spans="1:13" ht="16" x14ac:dyDescent="0.75">
      <c r="A6" s="49"/>
      <c r="B6" s="50"/>
      <c r="C6" s="51"/>
      <c r="D6" s="52"/>
      <c r="E6" s="52"/>
      <c r="F6" s="38" t="str">
        <f t="shared" ref="F6:F29" si="0">IF(AND(D6="",E6=""),"",SUM(D6:E6))</f>
        <v/>
      </c>
      <c r="G6" s="376"/>
      <c r="H6" s="49"/>
      <c r="I6" s="50"/>
      <c r="J6" s="51"/>
      <c r="K6" s="52"/>
      <c r="L6" s="52"/>
      <c r="M6" s="38" t="str">
        <f t="shared" ref="M6:M29" si="1">IF(AND(K6="",L6=""),"",SUM(K6:L6))</f>
        <v/>
      </c>
    </row>
    <row r="7" spans="1:13" ht="16" x14ac:dyDescent="0.75">
      <c r="A7" s="49"/>
      <c r="B7" s="50"/>
      <c r="C7" s="51"/>
      <c r="D7" s="52"/>
      <c r="E7" s="52"/>
      <c r="F7" s="38" t="str">
        <f t="shared" si="0"/>
        <v/>
      </c>
      <c r="G7" s="376"/>
      <c r="H7" s="49"/>
      <c r="I7" s="50"/>
      <c r="J7" s="51"/>
      <c r="K7" s="52"/>
      <c r="L7" s="52"/>
      <c r="M7" s="38" t="str">
        <f t="shared" si="1"/>
        <v/>
      </c>
    </row>
    <row r="8" spans="1:13" ht="16" x14ac:dyDescent="0.75">
      <c r="A8" s="49"/>
      <c r="B8" s="50"/>
      <c r="C8" s="51"/>
      <c r="D8" s="52"/>
      <c r="E8" s="52"/>
      <c r="F8" s="38" t="str">
        <f t="shared" si="0"/>
        <v/>
      </c>
      <c r="G8" s="376"/>
      <c r="H8" s="49"/>
      <c r="I8" s="50"/>
      <c r="J8" s="51"/>
      <c r="K8" s="52"/>
      <c r="L8" s="52"/>
      <c r="M8" s="38" t="str">
        <f t="shared" si="1"/>
        <v/>
      </c>
    </row>
    <row r="9" spans="1:13" ht="16" x14ac:dyDescent="0.75">
      <c r="A9" s="49"/>
      <c r="B9" s="50"/>
      <c r="C9" s="51"/>
      <c r="D9" s="52"/>
      <c r="E9" s="52"/>
      <c r="F9" s="38" t="str">
        <f t="shared" si="0"/>
        <v/>
      </c>
      <c r="G9" s="376"/>
      <c r="H9" s="49"/>
      <c r="I9" s="50"/>
      <c r="J9" s="51"/>
      <c r="K9" s="52"/>
      <c r="L9" s="52"/>
      <c r="M9" s="38" t="str">
        <f t="shared" si="1"/>
        <v/>
      </c>
    </row>
    <row r="10" spans="1:13" ht="16" x14ac:dyDescent="0.75">
      <c r="A10" s="49"/>
      <c r="B10" s="50"/>
      <c r="C10" s="51"/>
      <c r="D10" s="52"/>
      <c r="E10" s="52"/>
      <c r="F10" s="38" t="str">
        <f t="shared" si="0"/>
        <v/>
      </c>
      <c r="G10" s="376"/>
      <c r="H10" s="49"/>
      <c r="I10" s="50"/>
      <c r="J10" s="51"/>
      <c r="K10" s="52"/>
      <c r="L10" s="52"/>
      <c r="M10" s="38" t="str">
        <f t="shared" si="1"/>
        <v/>
      </c>
    </row>
    <row r="11" spans="1:13" ht="16" x14ac:dyDescent="0.75">
      <c r="A11" s="49"/>
      <c r="B11" s="50"/>
      <c r="C11" s="51"/>
      <c r="D11" s="52"/>
      <c r="E11" s="52"/>
      <c r="F11" s="38" t="str">
        <f t="shared" si="0"/>
        <v/>
      </c>
      <c r="G11" s="376"/>
      <c r="H11" s="49"/>
      <c r="I11" s="50"/>
      <c r="J11" s="51"/>
      <c r="K11" s="52"/>
      <c r="L11" s="52"/>
      <c r="M11" s="38" t="str">
        <f t="shared" si="1"/>
        <v/>
      </c>
    </row>
    <row r="12" spans="1:13" ht="16" x14ac:dyDescent="0.75">
      <c r="A12" s="49"/>
      <c r="B12" s="50"/>
      <c r="C12" s="51"/>
      <c r="D12" s="52"/>
      <c r="E12" s="52"/>
      <c r="F12" s="38" t="str">
        <f t="shared" si="0"/>
        <v/>
      </c>
      <c r="G12" s="376"/>
      <c r="H12" s="49"/>
      <c r="I12" s="50"/>
      <c r="J12" s="51"/>
      <c r="K12" s="52"/>
      <c r="L12" s="52"/>
      <c r="M12" s="38" t="str">
        <f t="shared" si="1"/>
        <v/>
      </c>
    </row>
    <row r="13" spans="1:13" ht="16" x14ac:dyDescent="0.75">
      <c r="A13" s="49"/>
      <c r="B13" s="50"/>
      <c r="C13" s="51"/>
      <c r="D13" s="52"/>
      <c r="E13" s="52"/>
      <c r="F13" s="38" t="str">
        <f t="shared" si="0"/>
        <v/>
      </c>
      <c r="G13" s="376"/>
      <c r="H13" s="49"/>
      <c r="I13" s="50"/>
      <c r="J13" s="51"/>
      <c r="K13" s="52"/>
      <c r="L13" s="52"/>
      <c r="M13" s="38" t="str">
        <f t="shared" si="1"/>
        <v/>
      </c>
    </row>
    <row r="14" spans="1:13" ht="16" x14ac:dyDescent="0.75">
      <c r="A14" s="49"/>
      <c r="B14" s="50"/>
      <c r="C14" s="51"/>
      <c r="D14" s="52"/>
      <c r="E14" s="52"/>
      <c r="F14" s="38" t="str">
        <f t="shared" si="0"/>
        <v/>
      </c>
      <c r="G14" s="376"/>
      <c r="H14" s="49"/>
      <c r="I14" s="50"/>
      <c r="J14" s="51"/>
      <c r="K14" s="52"/>
      <c r="L14" s="52"/>
      <c r="M14" s="38" t="str">
        <f t="shared" si="1"/>
        <v/>
      </c>
    </row>
    <row r="15" spans="1:13" ht="16" x14ac:dyDescent="0.75">
      <c r="A15" s="49"/>
      <c r="B15" s="50"/>
      <c r="C15" s="51"/>
      <c r="D15" s="52"/>
      <c r="E15" s="52"/>
      <c r="F15" s="38" t="str">
        <f t="shared" si="0"/>
        <v/>
      </c>
      <c r="G15" s="376"/>
      <c r="H15" s="49"/>
      <c r="I15" s="50"/>
      <c r="J15" s="51"/>
      <c r="K15" s="52"/>
      <c r="L15" s="52"/>
      <c r="M15" s="38" t="str">
        <f t="shared" si="1"/>
        <v/>
      </c>
    </row>
    <row r="16" spans="1:13" ht="16" x14ac:dyDescent="0.75">
      <c r="A16" s="49"/>
      <c r="B16" s="50"/>
      <c r="C16" s="51"/>
      <c r="D16" s="52"/>
      <c r="E16" s="52"/>
      <c r="F16" s="38" t="str">
        <f t="shared" si="0"/>
        <v/>
      </c>
      <c r="G16" s="376"/>
      <c r="H16" s="49"/>
      <c r="I16" s="50"/>
      <c r="J16" s="51"/>
      <c r="K16" s="52"/>
      <c r="L16" s="52"/>
      <c r="M16" s="38" t="str">
        <f t="shared" si="1"/>
        <v/>
      </c>
    </row>
    <row r="17" spans="1:13" ht="16" x14ac:dyDescent="0.75">
      <c r="A17" s="49"/>
      <c r="B17" s="50"/>
      <c r="C17" s="51"/>
      <c r="D17" s="52"/>
      <c r="E17" s="52"/>
      <c r="F17" s="38" t="str">
        <f t="shared" si="0"/>
        <v/>
      </c>
      <c r="G17" s="376"/>
      <c r="H17" s="49"/>
      <c r="I17" s="50"/>
      <c r="J17" s="51"/>
      <c r="K17" s="52"/>
      <c r="L17" s="52"/>
      <c r="M17" s="38" t="str">
        <f t="shared" si="1"/>
        <v/>
      </c>
    </row>
    <row r="18" spans="1:13" ht="16" x14ac:dyDescent="0.75">
      <c r="A18" s="49"/>
      <c r="B18" s="50"/>
      <c r="C18" s="51"/>
      <c r="D18" s="52"/>
      <c r="E18" s="52"/>
      <c r="F18" s="38" t="str">
        <f t="shared" si="0"/>
        <v/>
      </c>
      <c r="G18" s="376"/>
      <c r="H18" s="49"/>
      <c r="I18" s="50"/>
      <c r="J18" s="51"/>
      <c r="K18" s="52"/>
      <c r="L18" s="52"/>
      <c r="M18" s="38" t="str">
        <f t="shared" si="1"/>
        <v/>
      </c>
    </row>
    <row r="19" spans="1:13" ht="16" x14ac:dyDescent="0.75">
      <c r="A19" s="49"/>
      <c r="B19" s="50"/>
      <c r="C19" s="51"/>
      <c r="D19" s="52"/>
      <c r="E19" s="52"/>
      <c r="F19" s="38" t="str">
        <f t="shared" si="0"/>
        <v/>
      </c>
      <c r="G19" s="376"/>
      <c r="H19" s="49"/>
      <c r="I19" s="50"/>
      <c r="J19" s="51"/>
      <c r="K19" s="52"/>
      <c r="L19" s="52"/>
      <c r="M19" s="38" t="str">
        <f t="shared" si="1"/>
        <v/>
      </c>
    </row>
    <row r="20" spans="1:13" ht="16" x14ac:dyDescent="0.75">
      <c r="A20" s="49"/>
      <c r="B20" s="50"/>
      <c r="C20" s="51"/>
      <c r="D20" s="52"/>
      <c r="E20" s="52"/>
      <c r="F20" s="38" t="str">
        <f t="shared" si="0"/>
        <v/>
      </c>
      <c r="G20" s="376"/>
      <c r="H20" s="49"/>
      <c r="I20" s="50"/>
      <c r="J20" s="51"/>
      <c r="K20" s="52"/>
      <c r="L20" s="52"/>
      <c r="M20" s="38" t="str">
        <f t="shared" si="1"/>
        <v/>
      </c>
    </row>
    <row r="21" spans="1:13" ht="16" x14ac:dyDescent="0.75">
      <c r="A21" s="49"/>
      <c r="B21" s="50"/>
      <c r="C21" s="51"/>
      <c r="D21" s="52"/>
      <c r="E21" s="52"/>
      <c r="F21" s="38" t="str">
        <f t="shared" si="0"/>
        <v/>
      </c>
      <c r="G21" s="376"/>
      <c r="H21" s="49"/>
      <c r="I21" s="50"/>
      <c r="J21" s="51"/>
      <c r="K21" s="52"/>
      <c r="L21" s="52"/>
      <c r="M21" s="38" t="str">
        <f t="shared" si="1"/>
        <v/>
      </c>
    </row>
    <row r="22" spans="1:13" ht="16" x14ac:dyDescent="0.75">
      <c r="A22" s="49"/>
      <c r="B22" s="50"/>
      <c r="C22" s="51"/>
      <c r="D22" s="52"/>
      <c r="E22" s="52"/>
      <c r="F22" s="38" t="str">
        <f t="shared" si="0"/>
        <v/>
      </c>
      <c r="G22" s="376"/>
      <c r="H22" s="49"/>
      <c r="I22" s="50"/>
      <c r="J22" s="51"/>
      <c r="K22" s="52"/>
      <c r="L22" s="52"/>
      <c r="M22" s="38" t="str">
        <f t="shared" si="1"/>
        <v/>
      </c>
    </row>
    <row r="23" spans="1:13" ht="16" x14ac:dyDescent="0.75">
      <c r="A23" s="49"/>
      <c r="B23" s="50"/>
      <c r="C23" s="51"/>
      <c r="D23" s="52"/>
      <c r="E23" s="52"/>
      <c r="F23" s="38" t="str">
        <f t="shared" si="0"/>
        <v/>
      </c>
      <c r="G23" s="376"/>
      <c r="H23" s="49"/>
      <c r="I23" s="50"/>
      <c r="J23" s="51"/>
      <c r="K23" s="52"/>
      <c r="L23" s="52"/>
      <c r="M23" s="38" t="str">
        <f t="shared" si="1"/>
        <v/>
      </c>
    </row>
    <row r="24" spans="1:13" ht="16" x14ac:dyDescent="0.75">
      <c r="A24" s="49"/>
      <c r="B24" s="50"/>
      <c r="C24" s="51"/>
      <c r="D24" s="52"/>
      <c r="E24" s="52"/>
      <c r="F24" s="38" t="str">
        <f t="shared" si="0"/>
        <v/>
      </c>
      <c r="G24" s="376"/>
      <c r="H24" s="49"/>
      <c r="I24" s="50"/>
      <c r="J24" s="51"/>
      <c r="K24" s="52"/>
      <c r="L24" s="52"/>
      <c r="M24" s="38" t="str">
        <f t="shared" si="1"/>
        <v/>
      </c>
    </row>
    <row r="25" spans="1:13" ht="16" x14ac:dyDescent="0.75">
      <c r="A25" s="49"/>
      <c r="B25" s="50"/>
      <c r="C25" s="51"/>
      <c r="D25" s="52"/>
      <c r="E25" s="52"/>
      <c r="F25" s="38" t="str">
        <f t="shared" si="0"/>
        <v/>
      </c>
      <c r="G25" s="376"/>
      <c r="H25" s="49"/>
      <c r="I25" s="50"/>
      <c r="J25" s="51"/>
      <c r="K25" s="52"/>
      <c r="L25" s="52"/>
      <c r="M25" s="38" t="str">
        <f t="shared" si="1"/>
        <v/>
      </c>
    </row>
    <row r="26" spans="1:13" ht="16" x14ac:dyDescent="0.75">
      <c r="A26" s="49"/>
      <c r="B26" s="50"/>
      <c r="C26" s="51"/>
      <c r="D26" s="52"/>
      <c r="E26" s="52"/>
      <c r="F26" s="38" t="str">
        <f t="shared" si="0"/>
        <v/>
      </c>
      <c r="G26" s="376"/>
      <c r="H26" s="49"/>
      <c r="I26" s="50"/>
      <c r="J26" s="51"/>
      <c r="K26" s="52"/>
      <c r="L26" s="52"/>
      <c r="M26" s="38" t="str">
        <f t="shared" si="1"/>
        <v/>
      </c>
    </row>
    <row r="27" spans="1:13" ht="16" x14ac:dyDescent="0.75">
      <c r="A27" s="49"/>
      <c r="B27" s="50"/>
      <c r="C27" s="51"/>
      <c r="D27" s="52"/>
      <c r="E27" s="52"/>
      <c r="F27" s="38" t="str">
        <f t="shared" si="0"/>
        <v/>
      </c>
      <c r="G27" s="376"/>
      <c r="H27" s="49"/>
      <c r="I27" s="50"/>
      <c r="J27" s="51"/>
      <c r="K27" s="52"/>
      <c r="L27" s="52"/>
      <c r="M27" s="38" t="str">
        <f t="shared" si="1"/>
        <v/>
      </c>
    </row>
    <row r="28" spans="1:13" ht="16" x14ac:dyDescent="0.75">
      <c r="A28" s="49"/>
      <c r="B28" s="50"/>
      <c r="C28" s="51"/>
      <c r="D28" s="52"/>
      <c r="E28" s="52"/>
      <c r="F28" s="38" t="str">
        <f t="shared" si="0"/>
        <v/>
      </c>
      <c r="G28" s="376"/>
      <c r="H28" s="49"/>
      <c r="I28" s="50"/>
      <c r="J28" s="51"/>
      <c r="K28" s="52"/>
      <c r="L28" s="52"/>
      <c r="M28" s="38" t="str">
        <f t="shared" si="1"/>
        <v/>
      </c>
    </row>
    <row r="29" spans="1:13" ht="16.75" thickBot="1" x14ac:dyDescent="0.9">
      <c r="A29" s="53"/>
      <c r="B29" s="54"/>
      <c r="C29" s="55"/>
      <c r="D29" s="56"/>
      <c r="E29" s="56"/>
      <c r="F29" s="38" t="str">
        <f t="shared" si="0"/>
        <v/>
      </c>
      <c r="G29" s="376"/>
      <c r="H29" s="53"/>
      <c r="I29" s="54"/>
      <c r="J29" s="55"/>
      <c r="K29" s="56"/>
      <c r="L29" s="56"/>
      <c r="M29" s="38" t="str">
        <f t="shared" si="1"/>
        <v/>
      </c>
    </row>
    <row r="30" spans="1:13" ht="19.25" thickBot="1" x14ac:dyDescent="0.9">
      <c r="A30" s="39"/>
      <c r="B30" s="40"/>
      <c r="C30" s="41" t="s">
        <v>56</v>
      </c>
      <c r="D30" s="42" t="str">
        <f>IF(AND(D5="",D6="",D7="",D8="",D9="",D10="",D11="",D12="",D13="",D14="",D15="",D16="",D17="",D18="",D19="",D20="",D21="",D22="",D23="",D24="",D25="",D26="",D27="",D28="",D29=""),"",SUM(D5:D29))</f>
        <v/>
      </c>
      <c r="E30" s="43"/>
      <c r="F30" s="42" t="str">
        <f>IF(AND(F5="",F6="",F7="",F8="",F9="",F10="",F11="",F12="",F13="",F14="",F15="",F16="",F17="",F18="",F19="",F20="",F21="",F22="",F23="",F24="",F25="",F26="",F27="",F28="",F29=""),"",SUM(F5:F29))</f>
        <v/>
      </c>
      <c r="G30" s="376"/>
      <c r="H30" s="39"/>
      <c r="I30" s="40"/>
      <c r="J30" s="41" t="s">
        <v>56</v>
      </c>
      <c r="K30" s="42" t="str">
        <f>IF(AND(K5="",K6="",K7="",K8="",K9="",K10="",K11="",K12="",K13="",K14="",K15="",K16="",K17="",K18="",K19="",K20="",K21="",K22="",K23="",K24="",K25="",K26="",K27="",K28="",K29=""),"",SUM(K5:K29))</f>
        <v/>
      </c>
      <c r="L30" s="43"/>
      <c r="M30" s="42" t="str">
        <f>IF(AND(M5="",M6="",M7="",M8="",M9="",M10="",M11="",M12="",M13="",M14="",M15="",M16="",M17="",M18="",M19="",M20="",M21="",M22="",M23="",M24="",M25="",M26="",M27="",M28="",M29=""),"",SUM(M5:M29))</f>
        <v/>
      </c>
    </row>
    <row r="31" spans="1:13" ht="19.25" thickBot="1" x14ac:dyDescent="0.9">
      <c r="A31" s="39"/>
      <c r="B31" s="39"/>
      <c r="C31" s="44" t="s">
        <v>57</v>
      </c>
      <c r="D31" s="42" t="str">
        <f>IF(OR($B1="",D30=""),"",(D30/$B1))</f>
        <v/>
      </c>
      <c r="E31" s="39"/>
      <c r="F31" s="42" t="str">
        <f>IF(OR($B1="",F30=""),"",(F30/$B1))</f>
        <v/>
      </c>
      <c r="G31" s="376"/>
      <c r="H31" s="39"/>
      <c r="I31" s="39"/>
      <c r="J31" s="44" t="s">
        <v>57</v>
      </c>
      <c r="K31" s="42" t="str">
        <f>IF(OR($I1="",K30=""),"",(K30/$I1))</f>
        <v/>
      </c>
      <c r="L31" s="39"/>
      <c r="M31" s="42" t="str">
        <f>IF(OR($I1="",M30=""),"",(M30/$I1))</f>
        <v/>
      </c>
    </row>
    <row r="32" spans="1:13" s="25" customFormat="1" ht="18.5" x14ac:dyDescent="0.65">
      <c r="A32" s="345" t="s">
        <v>183</v>
      </c>
      <c r="B32" s="45"/>
      <c r="C32" s="45"/>
      <c r="D32" s="45"/>
      <c r="E32" s="45"/>
      <c r="F32" s="45"/>
      <c r="G32" s="45"/>
      <c r="H32" s="45"/>
      <c r="I32" s="45"/>
      <c r="J32" s="45"/>
      <c r="K32" s="45"/>
      <c r="L32" s="45"/>
      <c r="M32" s="45"/>
    </row>
    <row r="33" spans="1:13" s="47" customFormat="1" ht="16" x14ac:dyDescent="0.8">
      <c r="A33" s="358" t="s">
        <v>182</v>
      </c>
      <c r="B33" s="46"/>
      <c r="C33" s="46"/>
      <c r="D33" s="46"/>
      <c r="E33" s="46"/>
      <c r="F33" s="46"/>
      <c r="G33" s="46"/>
      <c r="H33" s="46"/>
      <c r="I33" s="46"/>
      <c r="J33" s="46"/>
      <c r="K33" s="46"/>
      <c r="L33" s="46"/>
      <c r="M33" s="46"/>
    </row>
    <row r="34" spans="1:13" s="25" customFormat="1" ht="18.5" x14ac:dyDescent="0.75">
      <c r="A34" s="377" t="s">
        <v>24</v>
      </c>
      <c r="B34" s="377"/>
      <c r="C34" s="377"/>
      <c r="D34" s="377"/>
      <c r="E34" s="377"/>
      <c r="F34" s="377"/>
      <c r="G34" s="377"/>
      <c r="H34" s="377"/>
      <c r="I34" s="377"/>
      <c r="J34" s="377"/>
      <c r="K34" s="377"/>
      <c r="L34" s="377"/>
      <c r="M34" s="377"/>
    </row>
    <row r="35" spans="1:13" ht="16" hidden="1" x14ac:dyDescent="0.75"/>
  </sheetData>
  <sheetProtection algorithmName="SHA-512" hashValue="w8l/59NHISTVlaGAXQzLa7ks5I8prlxgAeK+PIBbdzZlosLQj4YzsernhrBTX2Sddu1+nIDdwRQ7/8WQrBvrpA==" saltValue="aD/0Ay/Mdie4L/2I1Cthbg=="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1D00-000000000000}"/>
    <dataValidation allowBlank="1" showInputMessage="1" showErrorMessage="1" prompt="Don't forget to enter Child Count in Cell I1." sqref="H5" xr:uid="{00000000-0002-0000-1D00-000001000000}"/>
  </dataValidations>
  <hyperlinks>
    <hyperlink ref="A33" r:id="rId1" xr:uid="{7A8859DB-75C5-467A-B34D-BECCB0B01FA7}"/>
  </hyperlinks>
  <pageMargins left="0.75" right="0.75" top="1" bottom="1" header="0.5" footer="0.5"/>
  <pageSetup orientation="portrait" horizontalDpi="4294967292" verticalDpi="4294967292" r:id="rId2"/>
  <tableParts count="2">
    <tablePart r:id="rId3"/>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theme="5"/>
    <pageSetUpPr autoPageBreaks="0"/>
  </sheetPr>
  <dimension ref="A1:AB79"/>
  <sheetViews>
    <sheetView showGridLines="0" zoomScale="90" zoomScaleNormal="90" zoomScalePageLayoutView="90" workbookViewId="0">
      <pane ySplit="3" topLeftCell="A4" activePane="bottomLeft" state="frozen"/>
      <selection activeCell="A5" sqref="A5"/>
      <selection pane="bottomLeft" activeCell="H2" activeCellId="1" sqref="A2 H2"/>
    </sheetView>
  </sheetViews>
  <sheetFormatPr defaultColWidth="0" defaultRowHeight="15.65" customHeight="1" zeroHeight="1" x14ac:dyDescent="0.8"/>
  <cols>
    <col min="1" max="1" width="40.26953125" style="57" customWidth="1"/>
    <col min="2" max="2" width="32.86328125" style="57" bestFit="1" customWidth="1"/>
    <col min="3" max="3" width="28" style="57" customWidth="1"/>
    <col min="4" max="5" width="28.26953125" style="57" customWidth="1"/>
    <col min="6" max="6" width="34" style="57" bestFit="1" customWidth="1"/>
    <col min="7" max="7" width="28.26953125" style="57" customWidth="1"/>
    <col min="8" max="8" width="40.26953125" style="57" customWidth="1"/>
    <col min="9" max="9" width="32.86328125" style="57" bestFit="1" customWidth="1"/>
    <col min="10" max="12" width="28.26953125" style="57" customWidth="1"/>
    <col min="13" max="13" width="34" style="57" bestFit="1" customWidth="1"/>
    <col min="14" max="14" width="0.86328125" style="57" customWidth="1"/>
    <col min="15" max="18" width="12.26953125" style="57" hidden="1" customWidth="1"/>
    <col min="19" max="19" width="13.7265625" style="57" hidden="1" customWidth="1"/>
    <col min="20" max="16384" width="12.26953125" style="57" hidden="1"/>
  </cols>
  <sheetData>
    <row r="1" spans="1:20" ht="25.9" customHeight="1" x14ac:dyDescent="0.8">
      <c r="A1" s="368" t="s">
        <v>58</v>
      </c>
      <c r="D1" s="58" t="s">
        <v>14</v>
      </c>
      <c r="E1" s="10" t="str">
        <f>IF('2. Getting Started'!$B2="","",'2. Getting Started'!$B2)</f>
        <v/>
      </c>
      <c r="G1" s="384" t="s">
        <v>177</v>
      </c>
      <c r="K1" s="58" t="s">
        <v>14</v>
      </c>
      <c r="L1" s="10" t="str">
        <f>IF('2. Getting Started'!$B2="","",'2. Getting Started'!$B2)</f>
        <v/>
      </c>
    </row>
    <row r="2" spans="1:20" ht="25.9" customHeight="1" thickBot="1" x14ac:dyDescent="0.95">
      <c r="A2" s="369" t="s">
        <v>171</v>
      </c>
      <c r="D2" s="58"/>
      <c r="E2" s="10"/>
      <c r="G2" s="384"/>
      <c r="H2" s="369" t="s">
        <v>171</v>
      </c>
      <c r="K2" s="58"/>
      <c r="L2" s="10"/>
    </row>
    <row r="3" spans="1:20" ht="25.9" customHeight="1" thickBot="1" x14ac:dyDescent="0.95">
      <c r="A3" s="59" t="str">
        <f>CONCATENATE("Eligibility Standard -- Exceptions to MOE as Permitted by 34 CFR §300.204 and Adjustment to MOE as Permitted by 34 CFR §300.205 -- Projections for State Fiscal Year ",'2. Getting Started'!B6+8," Budget")</f>
        <v>Eligibility Standard -- Exceptions to MOE as Permitted by 34 CFR §300.204 and Adjustment to MOE as Permitted by 34 CFR §300.205 -- Projections for State Fiscal Year 2032 Budget</v>
      </c>
      <c r="B3" s="60"/>
      <c r="C3" s="60"/>
      <c r="D3" s="60"/>
      <c r="E3" s="60"/>
      <c r="F3" s="61"/>
      <c r="G3" s="384"/>
      <c r="H3" s="59" t="str">
        <f>CONCATENATE("Compliance Standard -- Exceptions to MOE as Permitted by 34 CFR §300.204 and Adjustment to MOE as Permitted by 34 CFR §300.205 -- Final Expenditures for  State Fiscal Year ",'2. Getting Started'!B6+8)</f>
        <v>Compliance Standard -- Exceptions to MOE as Permitted by 34 CFR §300.204 and Adjustment to MOE as Permitted by 34 CFR §300.205 -- Final Expenditures for  State Fiscal Year 2032</v>
      </c>
      <c r="I3" s="60"/>
      <c r="J3" s="60"/>
      <c r="K3" s="60"/>
      <c r="L3" s="60"/>
      <c r="M3" s="61"/>
      <c r="O3" s="63"/>
      <c r="P3" s="63"/>
      <c r="Q3" s="63"/>
      <c r="R3" s="63"/>
      <c r="S3" s="63"/>
      <c r="T3" s="63"/>
    </row>
    <row r="4" spans="1:20" ht="16" x14ac:dyDescent="0.8">
      <c r="A4" s="64" t="s">
        <v>59</v>
      </c>
      <c r="B4" s="65"/>
      <c r="C4" s="66"/>
      <c r="D4" s="66"/>
      <c r="E4" s="66"/>
      <c r="F4" s="67"/>
      <c r="G4" s="384"/>
      <c r="H4" s="64" t="s">
        <v>59</v>
      </c>
      <c r="I4" s="65"/>
      <c r="J4" s="66"/>
      <c r="K4" s="66"/>
      <c r="L4" s="66"/>
      <c r="M4" s="67"/>
      <c r="N4" s="69"/>
      <c r="O4" s="69"/>
      <c r="P4" s="69"/>
      <c r="Q4" s="69"/>
      <c r="R4" s="69"/>
      <c r="S4" s="69"/>
    </row>
    <row r="5" spans="1:20" ht="16" x14ac:dyDescent="0.8">
      <c r="A5" s="70" t="s">
        <v>60</v>
      </c>
      <c r="B5" s="71"/>
      <c r="C5" s="68"/>
      <c r="D5" s="68"/>
      <c r="E5" s="68"/>
      <c r="F5" s="72"/>
      <c r="G5" s="384"/>
      <c r="H5" s="70" t="s">
        <v>60</v>
      </c>
      <c r="I5" s="71"/>
      <c r="J5" s="68"/>
      <c r="K5" s="68"/>
      <c r="L5" s="68"/>
      <c r="M5" s="72"/>
      <c r="N5" s="73"/>
      <c r="O5" s="73"/>
      <c r="P5" s="73"/>
      <c r="Q5" s="73"/>
      <c r="R5" s="73"/>
    </row>
    <row r="6" spans="1:20" ht="35.65" customHeight="1" thickBot="1" x14ac:dyDescent="0.95">
      <c r="A6" s="74" t="s">
        <v>61</v>
      </c>
      <c r="B6" s="75"/>
      <c r="C6" s="75"/>
      <c r="D6" s="75"/>
      <c r="E6" s="75"/>
      <c r="F6" s="76"/>
      <c r="G6" s="384"/>
      <c r="H6" s="74" t="s">
        <v>61</v>
      </c>
      <c r="I6" s="75"/>
      <c r="J6" s="75"/>
      <c r="K6" s="75"/>
      <c r="L6" s="75"/>
      <c r="M6" s="76"/>
      <c r="N6" s="73"/>
      <c r="O6" s="73"/>
      <c r="P6" s="73"/>
      <c r="Q6" s="73"/>
      <c r="R6" s="73"/>
      <c r="S6" s="73"/>
    </row>
    <row r="7" spans="1:20" ht="16" x14ac:dyDescent="0.8">
      <c r="A7" s="77" t="s">
        <v>62</v>
      </c>
      <c r="B7" s="78" t="s">
        <v>63</v>
      </c>
      <c r="C7" s="79" t="s">
        <v>64</v>
      </c>
      <c r="D7" s="79" t="s">
        <v>65</v>
      </c>
      <c r="E7" s="80" t="s">
        <v>66</v>
      </c>
      <c r="F7" s="81" t="s">
        <v>67</v>
      </c>
      <c r="G7" s="384"/>
      <c r="H7" s="77" t="s">
        <v>62</v>
      </c>
      <c r="I7" s="78" t="s">
        <v>63</v>
      </c>
      <c r="J7" s="79" t="s">
        <v>64</v>
      </c>
      <c r="K7" s="79" t="s">
        <v>65</v>
      </c>
      <c r="L7" s="80" t="s">
        <v>66</v>
      </c>
      <c r="M7" s="81" t="s">
        <v>68</v>
      </c>
      <c r="N7" s="73"/>
      <c r="O7" s="73"/>
    </row>
    <row r="8" spans="1:20" ht="16" x14ac:dyDescent="0.8">
      <c r="A8" s="185"/>
      <c r="B8" s="186"/>
      <c r="C8" s="186"/>
      <c r="D8" s="187"/>
      <c r="E8" s="187"/>
      <c r="F8" s="83">
        <f>D8+E8</f>
        <v>0</v>
      </c>
      <c r="G8" s="384"/>
      <c r="H8" s="185"/>
      <c r="I8" s="186"/>
      <c r="J8" s="186"/>
      <c r="K8" s="187"/>
      <c r="L8" s="187"/>
      <c r="M8" s="83">
        <f>K8+L8</f>
        <v>0</v>
      </c>
      <c r="N8" s="84"/>
      <c r="O8" s="84"/>
    </row>
    <row r="9" spans="1:20" ht="16" x14ac:dyDescent="0.8">
      <c r="A9" s="185"/>
      <c r="B9" s="186"/>
      <c r="C9" s="186"/>
      <c r="D9" s="187"/>
      <c r="E9" s="187"/>
      <c r="F9" s="83">
        <f>D9+E9</f>
        <v>0</v>
      </c>
      <c r="G9" s="384"/>
      <c r="H9" s="185"/>
      <c r="I9" s="186"/>
      <c r="J9" s="186"/>
      <c r="K9" s="187"/>
      <c r="L9" s="187"/>
      <c r="M9" s="83">
        <f>K9+L9</f>
        <v>0</v>
      </c>
      <c r="N9" s="84"/>
      <c r="O9" s="84"/>
    </row>
    <row r="10" spans="1:20" ht="16" x14ac:dyDescent="0.8">
      <c r="A10" s="185"/>
      <c r="B10" s="186"/>
      <c r="C10" s="186"/>
      <c r="D10" s="187"/>
      <c r="E10" s="187"/>
      <c r="F10" s="83">
        <f>D10+E10</f>
        <v>0</v>
      </c>
      <c r="G10" s="384"/>
      <c r="H10" s="185"/>
      <c r="I10" s="186"/>
      <c r="J10" s="186"/>
      <c r="K10" s="187"/>
      <c r="L10" s="187"/>
      <c r="M10" s="83">
        <f>K10+L10</f>
        <v>0</v>
      </c>
      <c r="N10" s="84"/>
      <c r="O10" s="84"/>
    </row>
    <row r="11" spans="1:20" ht="16" x14ac:dyDescent="0.8">
      <c r="A11" s="185"/>
      <c r="B11" s="186"/>
      <c r="C11" s="186"/>
      <c r="D11" s="187"/>
      <c r="E11" s="187"/>
      <c r="F11" s="83">
        <f>D11+E11</f>
        <v>0</v>
      </c>
      <c r="G11" s="384"/>
      <c r="H11" s="185"/>
      <c r="I11" s="186"/>
      <c r="J11" s="186"/>
      <c r="K11" s="187"/>
      <c r="L11" s="187"/>
      <c r="M11" s="83">
        <f>K11+L11</f>
        <v>0</v>
      </c>
      <c r="N11" s="84"/>
      <c r="O11" s="84"/>
    </row>
    <row r="12" spans="1:20" ht="16" x14ac:dyDescent="0.8">
      <c r="A12" s="185"/>
      <c r="B12" s="186"/>
      <c r="C12" s="186"/>
      <c r="D12" s="187"/>
      <c r="E12" s="187"/>
      <c r="F12" s="83">
        <f>D12+E12</f>
        <v>0</v>
      </c>
      <c r="G12" s="384"/>
      <c r="H12" s="185"/>
      <c r="I12" s="186"/>
      <c r="J12" s="186"/>
      <c r="K12" s="187"/>
      <c r="L12" s="187"/>
      <c r="M12" s="83">
        <f>K12+L12</f>
        <v>0</v>
      </c>
      <c r="N12" s="84"/>
      <c r="O12" s="84"/>
    </row>
    <row r="13" spans="1:20" ht="16.75" thickBot="1" x14ac:dyDescent="0.95">
      <c r="A13" s="85"/>
      <c r="B13" s="86"/>
      <c r="C13" s="87" t="s">
        <v>69</v>
      </c>
      <c r="D13" s="88">
        <f t="shared" ref="D13:F13" si="0">SUM(D8:D12)</f>
        <v>0</v>
      </c>
      <c r="E13" s="88">
        <f t="shared" si="0"/>
        <v>0</v>
      </c>
      <c r="F13" s="89">
        <f t="shared" si="0"/>
        <v>0</v>
      </c>
      <c r="G13" s="384"/>
      <c r="H13" s="85"/>
      <c r="I13" s="86"/>
      <c r="J13" s="87" t="s">
        <v>69</v>
      </c>
      <c r="K13" s="88">
        <f t="shared" ref="K13:M13" si="1">SUM(K8:K12)</f>
        <v>0</v>
      </c>
      <c r="L13" s="88">
        <f t="shared" si="1"/>
        <v>0</v>
      </c>
      <c r="M13" s="89">
        <f t="shared" si="1"/>
        <v>0</v>
      </c>
      <c r="N13" s="84"/>
      <c r="O13" s="84"/>
    </row>
    <row r="14" spans="1:20" ht="40.15" customHeight="1" thickBot="1" x14ac:dyDescent="0.95">
      <c r="A14" s="90" t="s">
        <v>70</v>
      </c>
      <c r="B14" s="91"/>
      <c r="C14" s="91"/>
      <c r="D14" s="91"/>
      <c r="E14" s="91"/>
      <c r="F14" s="92"/>
      <c r="G14" s="384"/>
      <c r="H14" s="90" t="s">
        <v>70</v>
      </c>
      <c r="I14" s="91"/>
      <c r="J14" s="91"/>
      <c r="K14" s="91"/>
      <c r="L14" s="91"/>
      <c r="M14" s="92"/>
      <c r="N14" s="73"/>
      <c r="O14" s="73"/>
      <c r="P14" s="73"/>
      <c r="Q14" s="73"/>
      <c r="R14" s="73"/>
      <c r="S14" s="93"/>
    </row>
    <row r="15" spans="1:20" ht="16" x14ac:dyDescent="0.8">
      <c r="A15" s="94" t="s">
        <v>62</v>
      </c>
      <c r="B15" s="95" t="s">
        <v>63</v>
      </c>
      <c r="C15" s="96" t="s">
        <v>176</v>
      </c>
      <c r="D15" s="79" t="s">
        <v>65</v>
      </c>
      <c r="E15" s="80" t="s">
        <v>66</v>
      </c>
      <c r="F15" s="81" t="s">
        <v>67</v>
      </c>
      <c r="G15" s="384"/>
      <c r="H15" s="94" t="s">
        <v>62</v>
      </c>
      <c r="I15" s="95" t="s">
        <v>63</v>
      </c>
      <c r="J15" s="96" t="s">
        <v>176</v>
      </c>
      <c r="K15" s="79" t="s">
        <v>65</v>
      </c>
      <c r="L15" s="80" t="s">
        <v>66</v>
      </c>
      <c r="M15" s="81" t="s">
        <v>68</v>
      </c>
      <c r="N15" s="63"/>
      <c r="O15" s="98"/>
    </row>
    <row r="16" spans="1:20" ht="16" x14ac:dyDescent="0.8">
      <c r="A16" s="188"/>
      <c r="B16" s="189"/>
      <c r="C16" s="99"/>
      <c r="D16" s="187"/>
      <c r="E16" s="187"/>
      <c r="F16" s="83">
        <f t="shared" ref="F16:F20" si="2">D16+E16</f>
        <v>0</v>
      </c>
      <c r="G16" s="384"/>
      <c r="H16" s="188"/>
      <c r="I16" s="189"/>
      <c r="J16" s="99"/>
      <c r="K16" s="187"/>
      <c r="L16" s="187"/>
      <c r="M16" s="83">
        <f t="shared" ref="M16:M20" si="3">K16+L16</f>
        <v>0</v>
      </c>
      <c r="N16" s="84"/>
      <c r="O16" s="84"/>
    </row>
    <row r="17" spans="1:19" ht="16" x14ac:dyDescent="0.8">
      <c r="A17" s="188"/>
      <c r="B17" s="189"/>
      <c r="C17" s="99"/>
      <c r="D17" s="187"/>
      <c r="E17" s="187"/>
      <c r="F17" s="83">
        <f t="shared" si="2"/>
        <v>0</v>
      </c>
      <c r="G17" s="384"/>
      <c r="H17" s="188"/>
      <c r="I17" s="189"/>
      <c r="J17" s="99"/>
      <c r="K17" s="187"/>
      <c r="L17" s="187"/>
      <c r="M17" s="83">
        <f t="shared" si="3"/>
        <v>0</v>
      </c>
      <c r="N17" s="84"/>
      <c r="O17" s="84"/>
    </row>
    <row r="18" spans="1:19" ht="16" x14ac:dyDescent="0.8">
      <c r="A18" s="188"/>
      <c r="B18" s="189"/>
      <c r="C18" s="99"/>
      <c r="D18" s="187"/>
      <c r="E18" s="187"/>
      <c r="F18" s="83">
        <f t="shared" si="2"/>
        <v>0</v>
      </c>
      <c r="G18" s="384"/>
      <c r="H18" s="188"/>
      <c r="I18" s="189"/>
      <c r="J18" s="99"/>
      <c r="K18" s="187"/>
      <c r="L18" s="187"/>
      <c r="M18" s="83">
        <f t="shared" si="3"/>
        <v>0</v>
      </c>
      <c r="N18" s="84"/>
      <c r="O18" s="84"/>
    </row>
    <row r="19" spans="1:19" ht="16" x14ac:dyDescent="0.8">
      <c r="A19" s="188"/>
      <c r="B19" s="189"/>
      <c r="C19" s="99"/>
      <c r="D19" s="187"/>
      <c r="E19" s="187"/>
      <c r="F19" s="83">
        <f t="shared" si="2"/>
        <v>0</v>
      </c>
      <c r="G19" s="384"/>
      <c r="H19" s="188"/>
      <c r="I19" s="189"/>
      <c r="J19" s="99"/>
      <c r="K19" s="187"/>
      <c r="L19" s="187"/>
      <c r="M19" s="83">
        <f t="shared" si="3"/>
        <v>0</v>
      </c>
      <c r="N19" s="84"/>
      <c r="O19" s="84"/>
    </row>
    <row r="20" spans="1:19" ht="16" x14ac:dyDescent="0.8">
      <c r="A20" s="188"/>
      <c r="B20" s="189"/>
      <c r="C20" s="99"/>
      <c r="D20" s="187"/>
      <c r="E20" s="187"/>
      <c r="F20" s="83">
        <f t="shared" si="2"/>
        <v>0</v>
      </c>
      <c r="G20" s="384"/>
      <c r="H20" s="188"/>
      <c r="I20" s="189"/>
      <c r="J20" s="99"/>
      <c r="K20" s="187"/>
      <c r="L20" s="187"/>
      <c r="M20" s="83">
        <f t="shared" si="3"/>
        <v>0</v>
      </c>
      <c r="N20" s="84"/>
      <c r="O20" s="84"/>
    </row>
    <row r="21" spans="1:19" ht="16" x14ac:dyDescent="0.8">
      <c r="A21" s="100"/>
      <c r="B21" s="101"/>
      <c r="C21" s="102" t="s">
        <v>72</v>
      </c>
      <c r="D21" s="103">
        <f t="shared" ref="D21:F21" si="4">SUM(D16:D20)</f>
        <v>0</v>
      </c>
      <c r="E21" s="103">
        <f t="shared" si="4"/>
        <v>0</v>
      </c>
      <c r="F21" s="83">
        <f t="shared" si="4"/>
        <v>0</v>
      </c>
      <c r="G21" s="384"/>
      <c r="H21" s="100"/>
      <c r="I21" s="101"/>
      <c r="J21" s="102" t="s">
        <v>72</v>
      </c>
      <c r="K21" s="103">
        <f t="shared" ref="K21:M21" si="5">SUM(K16:K20)</f>
        <v>0</v>
      </c>
      <c r="L21" s="103">
        <f t="shared" si="5"/>
        <v>0</v>
      </c>
      <c r="M21" s="83">
        <f t="shared" si="5"/>
        <v>0</v>
      </c>
      <c r="N21" s="84"/>
      <c r="O21" s="84"/>
    </row>
    <row r="22" spans="1:19" ht="16.75" thickBot="1" x14ac:dyDescent="0.95">
      <c r="A22" s="104"/>
      <c r="B22" s="105"/>
      <c r="C22" s="106"/>
      <c r="D22" s="106"/>
      <c r="E22" s="107" t="s">
        <v>73</v>
      </c>
      <c r="F22" s="108">
        <f>F13-F21</f>
        <v>0</v>
      </c>
      <c r="G22" s="384"/>
      <c r="H22" s="104"/>
      <c r="I22" s="105"/>
      <c r="J22" s="105"/>
      <c r="K22" s="110"/>
      <c r="L22" s="107" t="s">
        <v>74</v>
      </c>
      <c r="M22" s="108">
        <f>M13-M21</f>
        <v>0</v>
      </c>
      <c r="N22" s="93"/>
      <c r="O22" s="93"/>
      <c r="P22" s="93"/>
      <c r="Q22" s="93"/>
      <c r="R22" s="93"/>
      <c r="S22" s="93"/>
    </row>
    <row r="23" spans="1:19" ht="16.75" thickBot="1" x14ac:dyDescent="0.95">
      <c r="A23" s="378" t="s">
        <v>22</v>
      </c>
      <c r="B23" s="378"/>
      <c r="C23" s="378"/>
      <c r="D23" s="378"/>
      <c r="E23" s="378"/>
      <c r="F23" s="378"/>
      <c r="G23" s="384"/>
      <c r="H23" s="378" t="s">
        <v>22</v>
      </c>
      <c r="I23" s="378"/>
      <c r="J23" s="378"/>
      <c r="K23" s="378"/>
      <c r="L23" s="378"/>
      <c r="M23" s="378"/>
      <c r="N23" s="93"/>
      <c r="O23" s="93"/>
      <c r="P23" s="93"/>
      <c r="Q23" s="93"/>
      <c r="R23" s="93"/>
      <c r="S23" s="93"/>
    </row>
    <row r="24" spans="1:19" ht="16" x14ac:dyDescent="0.8">
      <c r="A24" s="111" t="s">
        <v>105</v>
      </c>
      <c r="B24" s="112"/>
      <c r="C24" s="112"/>
      <c r="D24" s="62"/>
      <c r="E24" s="119"/>
      <c r="F24" s="119"/>
      <c r="G24" s="384"/>
      <c r="H24" s="111" t="s">
        <v>105</v>
      </c>
      <c r="I24" s="112"/>
      <c r="J24" s="112"/>
      <c r="K24" s="62"/>
      <c r="L24" s="119"/>
      <c r="M24" s="119"/>
      <c r="N24" s="118"/>
      <c r="O24" s="118"/>
      <c r="P24" s="118"/>
      <c r="Q24" s="118"/>
    </row>
    <row r="25" spans="1:19" ht="16" x14ac:dyDescent="0.8">
      <c r="A25" s="120" t="s">
        <v>71</v>
      </c>
      <c r="B25" s="121" t="s">
        <v>77</v>
      </c>
      <c r="C25" s="122"/>
      <c r="D25" s="123"/>
      <c r="E25" s="122"/>
      <c r="F25" s="122"/>
      <c r="G25" s="384"/>
      <c r="H25" s="120" t="s">
        <v>71</v>
      </c>
      <c r="I25" s="121" t="s">
        <v>77</v>
      </c>
      <c r="J25" s="122"/>
      <c r="K25" s="123"/>
      <c r="L25" s="122"/>
      <c r="M25" s="122"/>
      <c r="N25" s="118"/>
      <c r="O25" s="118"/>
      <c r="P25" s="118"/>
      <c r="Q25" s="118"/>
    </row>
    <row r="26" spans="1:19" ht="16" x14ac:dyDescent="0.8">
      <c r="A26" s="124" t="str">
        <f>CONCATENATE("SFY ",'2. Getting Started'!B6+8," Projected Child Count")</f>
        <v>SFY 2032 Projected Child Count</v>
      </c>
      <c r="B26" s="125" t="str">
        <f>IF('29. Year 9 Amounts'!B1="","",'29. Year 9 Amounts'!B1)</f>
        <v/>
      </c>
      <c r="C26" s="122"/>
      <c r="D26" s="123"/>
      <c r="E26" s="122"/>
      <c r="F26" s="122"/>
      <c r="G26" s="384"/>
      <c r="H26" s="124" t="str">
        <f>CONCATENATE("SFY ",'2. Getting Started'!B6+8," Child Count")</f>
        <v>SFY 2032 Child Count</v>
      </c>
      <c r="I26" s="125" t="str">
        <f>IF('29. Year 9 Amounts'!I1="","",'29. Year 9 Amounts'!I1)</f>
        <v/>
      </c>
      <c r="J26" s="122"/>
      <c r="K26" s="123"/>
      <c r="L26" s="122"/>
      <c r="M26" s="122"/>
      <c r="N26" s="118"/>
      <c r="O26" s="118"/>
      <c r="P26" s="118"/>
      <c r="Q26" s="118"/>
    </row>
    <row r="27" spans="1:19" ht="16" x14ac:dyDescent="0.8">
      <c r="A27" s="124" t="str">
        <f>CONCATENATE("SFY ",'2. Getting Started'!B6+7," Projected Child Count")</f>
        <v>SFY 2031 Projected Child Count</v>
      </c>
      <c r="B27" s="125" t="str">
        <f>IF('26. Year 8 Amounts'!B1="","",'26. Year 8 Amounts'!B1)</f>
        <v/>
      </c>
      <c r="C27" s="118"/>
      <c r="D27" s="127"/>
      <c r="E27" s="118"/>
      <c r="F27" s="122"/>
      <c r="G27" s="384"/>
      <c r="H27" s="124" t="str">
        <f>CONCATENATE("SFY ",'2. Getting Started'!B6+7," Child Count")</f>
        <v>SFY 2031 Child Count</v>
      </c>
      <c r="I27" s="125" t="str">
        <f>IF('26. Year 8 Amounts'!I1="","",'26. Year 8 Amounts'!I1)</f>
        <v/>
      </c>
      <c r="J27" s="118"/>
      <c r="K27" s="127"/>
      <c r="L27" s="118"/>
      <c r="M27" s="122"/>
      <c r="N27" s="128"/>
      <c r="O27" s="128"/>
      <c r="P27" s="128"/>
      <c r="Q27" s="128"/>
    </row>
    <row r="28" spans="1:19" ht="16" x14ac:dyDescent="0.8">
      <c r="A28" s="126" t="s">
        <v>78</v>
      </c>
      <c r="B28" s="129" t="str">
        <f>IF(B26="","",B26-B27)</f>
        <v/>
      </c>
      <c r="C28" s="122" t="str">
        <f>IF(B28="","",IF(B28&gt;=0,"Not eligible for this exception",""))</f>
        <v/>
      </c>
      <c r="D28" s="123"/>
      <c r="E28" s="122"/>
      <c r="F28" s="122"/>
      <c r="G28" s="384"/>
      <c r="H28" s="126" t="s">
        <v>78</v>
      </c>
      <c r="I28" s="129" t="str">
        <f>IF(I26="","",I26-I27)</f>
        <v/>
      </c>
      <c r="J28" s="122" t="str">
        <f>IF(I28="","",IF(I28&gt;=0,"Not eligible for this exception",""))</f>
        <v/>
      </c>
      <c r="K28" s="123"/>
      <c r="L28" s="122"/>
      <c r="M28" s="122"/>
      <c r="N28" s="131"/>
      <c r="O28" s="131"/>
      <c r="P28" s="131"/>
      <c r="Q28" s="131"/>
    </row>
    <row r="29" spans="1:19" ht="16" x14ac:dyDescent="0.8">
      <c r="A29" s="132" t="s">
        <v>79</v>
      </c>
      <c r="B29" s="133" t="str">
        <f>IF(B26="","",IF(B28&lt;=0,ABS(B28/B27),""))</f>
        <v/>
      </c>
      <c r="C29" s="134"/>
      <c r="D29" s="135"/>
      <c r="E29" s="134"/>
      <c r="F29" s="10"/>
      <c r="G29" s="384"/>
      <c r="H29" s="132" t="s">
        <v>79</v>
      </c>
      <c r="I29" s="133" t="str">
        <f>IF(I26="","",IF(I28&lt;=0,ABS(I28/I27),""))</f>
        <v/>
      </c>
      <c r="J29" s="134"/>
      <c r="K29" s="135"/>
      <c r="L29" s="134"/>
      <c r="M29" s="10"/>
      <c r="N29" s="136"/>
      <c r="O29" s="136"/>
      <c r="P29" s="137"/>
      <c r="Q29" s="137"/>
    </row>
    <row r="30" spans="1:19" ht="16" x14ac:dyDescent="0.8">
      <c r="A30" s="114" t="s">
        <v>71</v>
      </c>
      <c r="B30" s="115" t="s">
        <v>0</v>
      </c>
      <c r="C30" s="115" t="s">
        <v>2</v>
      </c>
      <c r="D30" s="10"/>
      <c r="E30" s="71"/>
      <c r="F30" s="71"/>
      <c r="G30" s="384"/>
      <c r="H30" s="114" t="s">
        <v>71</v>
      </c>
      <c r="I30" s="115" t="s">
        <v>75</v>
      </c>
      <c r="J30" s="115" t="s">
        <v>76</v>
      </c>
      <c r="K30" s="10"/>
      <c r="L30" s="71"/>
      <c r="M30" s="71"/>
      <c r="N30" s="137"/>
      <c r="O30" s="137"/>
    </row>
    <row r="31" spans="1:19" ht="16" x14ac:dyDescent="0.8">
      <c r="A31" s="138" t="str">
        <f>CONCATENATE("SFY ",'2. Getting Started'!B6+7," Budget")</f>
        <v>SFY 2031 Budget</v>
      </c>
      <c r="B31" s="139" t="str">
        <f>IF('26. Year 8 Amounts'!D30="","",'26. Year 8 Amounts'!D30)</f>
        <v/>
      </c>
      <c r="C31" s="139" t="str">
        <f>IF('26. Year 8 Amounts'!F30="","",'26. Year 8 Amounts'!F30)</f>
        <v/>
      </c>
      <c r="D31" s="140"/>
      <c r="E31" s="73"/>
      <c r="F31" s="73"/>
      <c r="G31" s="384"/>
      <c r="H31" s="138" t="str">
        <f>CONCATENATE("SFY ",'2. Getting Started'!B6+7," Final Expenditures")</f>
        <v>SFY 2031 Final Expenditures</v>
      </c>
      <c r="I31" s="139" t="str">
        <f>IF('26. Year 8 Amounts'!K30="","",'26. Year 8 Amounts'!K30)</f>
        <v/>
      </c>
      <c r="J31" s="139" t="str">
        <f>IF('26. Year 8 Amounts'!M30="","",'26. Year 8 Amounts'!M30)</f>
        <v/>
      </c>
      <c r="K31" s="141"/>
      <c r="L31" s="73"/>
      <c r="M31" s="73"/>
    </row>
    <row r="32" spans="1:19" ht="16" x14ac:dyDescent="0.8">
      <c r="A32" s="116" t="s">
        <v>80</v>
      </c>
      <c r="B32" s="142" t="str">
        <f>IF(OR($B26="",B29="",B31=""),"",($B29*B31))</f>
        <v/>
      </c>
      <c r="C32" s="142" t="str">
        <f>IF(OR($B26="",B29="",C31=""),"",($B29*C31))</f>
        <v/>
      </c>
      <c r="D32" s="141"/>
      <c r="E32" s="117"/>
      <c r="F32" s="117"/>
      <c r="G32" s="384"/>
      <c r="H32" s="116" t="s">
        <v>81</v>
      </c>
      <c r="I32" s="142" t="str">
        <f>IF(OR($I26="",I29="",I31=""),"",($I29*I31))</f>
        <v/>
      </c>
      <c r="J32" s="142" t="str">
        <f>IF(OR($I26="",I29="",J31=""),"",($I29*J31))</f>
        <v/>
      </c>
      <c r="K32" s="141"/>
      <c r="L32" s="117"/>
      <c r="M32" s="117"/>
    </row>
    <row r="33" spans="1:28" ht="16.75" thickBot="1" x14ac:dyDescent="0.95">
      <c r="A33" s="379" t="s">
        <v>22</v>
      </c>
      <c r="B33" s="379"/>
      <c r="C33" s="379"/>
      <c r="D33" s="122"/>
      <c r="E33" s="122"/>
      <c r="F33" s="122"/>
      <c r="G33" s="384"/>
      <c r="H33" s="379" t="s">
        <v>22</v>
      </c>
      <c r="I33" s="379"/>
      <c r="J33" s="379"/>
      <c r="K33" s="122"/>
      <c r="L33" s="122"/>
      <c r="M33" s="122"/>
      <c r="P33" s="117"/>
      <c r="Q33" s="117"/>
      <c r="R33" s="117"/>
      <c r="S33" s="117"/>
      <c r="T33" s="117"/>
      <c r="U33" s="73"/>
      <c r="V33" s="117"/>
      <c r="W33" s="117"/>
      <c r="X33" s="117"/>
      <c r="Y33" s="117"/>
      <c r="Z33" s="117"/>
      <c r="AA33" s="117"/>
    </row>
    <row r="34" spans="1:28" ht="16" x14ac:dyDescent="0.8">
      <c r="A34" s="111" t="s">
        <v>82</v>
      </c>
      <c r="B34" s="144"/>
      <c r="C34" s="145"/>
      <c r="D34" s="146"/>
      <c r="E34" s="130"/>
      <c r="F34" s="130"/>
      <c r="G34" s="384"/>
      <c r="H34" s="111" t="s">
        <v>82</v>
      </c>
      <c r="I34" s="144"/>
      <c r="J34" s="145"/>
      <c r="K34" s="146"/>
      <c r="L34" s="130"/>
      <c r="M34" s="130"/>
      <c r="P34" s="117"/>
      <c r="Q34" s="117"/>
      <c r="R34" s="117"/>
      <c r="S34" s="117"/>
      <c r="T34" s="117"/>
      <c r="U34" s="117"/>
      <c r="V34" s="117"/>
      <c r="W34" s="117"/>
      <c r="X34" s="117"/>
      <c r="Y34" s="117"/>
      <c r="Z34" s="117"/>
      <c r="AA34" s="117"/>
    </row>
    <row r="35" spans="1:28" ht="16" x14ac:dyDescent="0.8">
      <c r="A35" s="147" t="s">
        <v>83</v>
      </c>
      <c r="B35" s="71"/>
      <c r="C35" s="148"/>
      <c r="D35" s="149"/>
      <c r="E35" s="10"/>
      <c r="F35" s="10"/>
      <c r="G35" s="384"/>
      <c r="H35" s="147" t="s">
        <v>83</v>
      </c>
      <c r="I35" s="71"/>
      <c r="J35" s="148"/>
      <c r="K35" s="149"/>
      <c r="L35" s="10"/>
      <c r="M35" s="10"/>
      <c r="P35" s="73"/>
      <c r="Q35" s="73"/>
      <c r="R35" s="73"/>
      <c r="S35" s="73"/>
      <c r="T35" s="73"/>
      <c r="U35" s="73"/>
      <c r="V35" s="73"/>
      <c r="W35" s="73"/>
      <c r="X35" s="73"/>
      <c r="Y35" s="73"/>
      <c r="Z35" s="73"/>
      <c r="AA35" s="73"/>
    </row>
    <row r="36" spans="1:28" ht="16" x14ac:dyDescent="0.8">
      <c r="A36" s="150" t="s">
        <v>84</v>
      </c>
      <c r="B36" s="71"/>
      <c r="C36" s="151"/>
      <c r="D36" s="149"/>
      <c r="E36" s="10"/>
      <c r="F36" s="10"/>
      <c r="G36" s="384"/>
      <c r="H36" s="150" t="s">
        <v>84</v>
      </c>
      <c r="I36" s="71"/>
      <c r="J36" s="151"/>
      <c r="K36" s="149"/>
      <c r="L36" s="10"/>
      <c r="M36" s="10"/>
      <c r="Q36" s="73"/>
      <c r="R36" s="73"/>
      <c r="S36" s="73"/>
      <c r="T36" s="73"/>
      <c r="U36" s="73"/>
      <c r="V36" s="73"/>
      <c r="W36" s="73"/>
      <c r="X36" s="73"/>
      <c r="Y36" s="73"/>
      <c r="Z36" s="73"/>
      <c r="AA36" s="73"/>
      <c r="AB36" s="73"/>
    </row>
    <row r="37" spans="1:28" ht="16" x14ac:dyDescent="0.8">
      <c r="A37" s="152" t="s">
        <v>85</v>
      </c>
      <c r="B37" s="153" t="s">
        <v>86</v>
      </c>
      <c r="C37" s="154" t="s">
        <v>87</v>
      </c>
      <c r="D37" s="117"/>
      <c r="E37" s="143"/>
      <c r="F37" s="143"/>
      <c r="G37" s="384"/>
      <c r="H37" s="152" t="s">
        <v>85</v>
      </c>
      <c r="I37" s="153" t="s">
        <v>86</v>
      </c>
      <c r="J37" s="154" t="s">
        <v>88</v>
      </c>
      <c r="K37" s="117"/>
      <c r="L37" s="143"/>
      <c r="M37" s="143"/>
      <c r="P37" s="93"/>
      <c r="Q37" s="93"/>
      <c r="R37" s="93"/>
      <c r="S37" s="93"/>
      <c r="T37" s="93"/>
      <c r="U37" s="93"/>
      <c r="V37" s="93"/>
      <c r="W37" s="93"/>
      <c r="X37" s="93"/>
      <c r="Y37" s="93"/>
      <c r="Z37" s="93"/>
      <c r="AA37" s="93"/>
    </row>
    <row r="38" spans="1:28" ht="16" x14ac:dyDescent="0.8">
      <c r="A38" s="190"/>
      <c r="B38" s="191"/>
      <c r="C38" s="192"/>
      <c r="D38" s="143"/>
      <c r="E38" s="143"/>
      <c r="F38" s="143"/>
      <c r="G38" s="384"/>
      <c r="H38" s="190"/>
      <c r="I38" s="191"/>
      <c r="J38" s="192"/>
      <c r="K38" s="143"/>
      <c r="L38" s="143"/>
      <c r="M38" s="143"/>
      <c r="P38" s="93"/>
      <c r="Q38" s="93"/>
      <c r="R38" s="93"/>
      <c r="S38" s="93"/>
      <c r="T38" s="93"/>
      <c r="U38" s="93"/>
      <c r="V38" s="93"/>
      <c r="W38" s="93"/>
      <c r="X38" s="93"/>
      <c r="Y38" s="93"/>
      <c r="Z38" s="93"/>
      <c r="AA38" s="93"/>
    </row>
    <row r="39" spans="1:28" ht="16" x14ac:dyDescent="0.8">
      <c r="A39" s="190"/>
      <c r="B39" s="191"/>
      <c r="C39" s="192"/>
      <c r="D39" s="143"/>
      <c r="E39" s="71"/>
      <c r="F39" s="71"/>
      <c r="G39" s="384"/>
      <c r="H39" s="190"/>
      <c r="I39" s="191"/>
      <c r="J39" s="192"/>
      <c r="K39" s="143"/>
      <c r="L39" s="71"/>
      <c r="M39" s="71"/>
      <c r="P39" s="93"/>
      <c r="Q39" s="93"/>
      <c r="R39" s="93"/>
      <c r="S39" s="93"/>
      <c r="T39" s="93"/>
      <c r="U39" s="93"/>
      <c r="V39" s="93"/>
      <c r="W39" s="93"/>
      <c r="X39" s="93"/>
      <c r="Y39" s="93"/>
      <c r="Z39" s="93"/>
      <c r="AA39" s="93"/>
    </row>
    <row r="40" spans="1:28" ht="16" x14ac:dyDescent="0.8">
      <c r="A40" s="190"/>
      <c r="B40" s="191"/>
      <c r="C40" s="192"/>
      <c r="D40" s="143"/>
      <c r="E40" s="71"/>
      <c r="F40" s="71"/>
      <c r="G40" s="384"/>
      <c r="H40" s="190"/>
      <c r="I40" s="191"/>
      <c r="J40" s="192"/>
      <c r="K40" s="143"/>
      <c r="L40" s="71"/>
      <c r="M40" s="71"/>
      <c r="P40" s="93"/>
      <c r="Q40" s="93"/>
      <c r="R40" s="93"/>
      <c r="S40" s="93"/>
      <c r="T40" s="93"/>
      <c r="U40" s="93"/>
      <c r="V40" s="93"/>
      <c r="W40" s="93"/>
      <c r="X40" s="93"/>
      <c r="Y40" s="93"/>
      <c r="Z40" s="93"/>
      <c r="AA40" s="93"/>
    </row>
    <row r="41" spans="1:28" ht="16" x14ac:dyDescent="0.8">
      <c r="A41" s="190"/>
      <c r="B41" s="191"/>
      <c r="C41" s="192"/>
      <c r="D41" s="143"/>
      <c r="E41" s="119"/>
      <c r="F41" s="119"/>
      <c r="G41" s="384"/>
      <c r="H41" s="190"/>
      <c r="I41" s="191"/>
      <c r="J41" s="192"/>
      <c r="K41" s="143"/>
      <c r="L41" s="119"/>
      <c r="M41" s="119"/>
      <c r="P41" s="93"/>
      <c r="Q41" s="93"/>
      <c r="R41" s="93"/>
      <c r="S41" s="93"/>
      <c r="T41" s="93"/>
      <c r="U41" s="93"/>
      <c r="V41" s="93"/>
      <c r="W41" s="93"/>
      <c r="X41" s="93"/>
      <c r="Y41" s="93"/>
      <c r="Z41" s="93"/>
      <c r="AA41" s="93"/>
    </row>
    <row r="42" spans="1:28" ht="16" x14ac:dyDescent="0.8">
      <c r="A42" s="190"/>
      <c r="B42" s="191"/>
      <c r="C42" s="192"/>
      <c r="D42" s="143"/>
      <c r="F42" s="10"/>
      <c r="G42" s="384"/>
      <c r="H42" s="190"/>
      <c r="I42" s="191"/>
      <c r="J42" s="192"/>
      <c r="K42" s="143"/>
      <c r="M42" s="10"/>
      <c r="P42" s="73"/>
      <c r="Q42" s="73"/>
      <c r="R42" s="73"/>
      <c r="S42" s="73"/>
      <c r="T42" s="73"/>
      <c r="U42" s="73"/>
      <c r="V42" s="73"/>
      <c r="W42" s="73"/>
      <c r="X42" s="73"/>
      <c r="Y42" s="73"/>
      <c r="Z42" s="73"/>
      <c r="AA42" s="73"/>
    </row>
    <row r="43" spans="1:28" ht="16" x14ac:dyDescent="0.8">
      <c r="A43" s="156" t="s">
        <v>89</v>
      </c>
      <c r="B43" s="157"/>
      <c r="C43" s="158">
        <f>SUM(C38:C42)</f>
        <v>0</v>
      </c>
      <c r="D43" s="143"/>
      <c r="E43" s="73"/>
      <c r="F43" s="71"/>
      <c r="G43" s="384"/>
      <c r="H43" s="156" t="s">
        <v>90</v>
      </c>
      <c r="I43" s="157"/>
      <c r="J43" s="158">
        <f>SUM(J38:J42)</f>
        <v>0</v>
      </c>
      <c r="K43" s="143"/>
      <c r="L43" s="73"/>
      <c r="M43" s="71"/>
      <c r="P43" s="73"/>
      <c r="Q43" s="73"/>
      <c r="R43" s="73"/>
      <c r="S43" s="73"/>
      <c r="T43" s="73"/>
      <c r="U43" s="73"/>
      <c r="V43" s="73"/>
      <c r="W43" s="73"/>
      <c r="X43" s="73"/>
      <c r="Y43" s="73"/>
      <c r="Z43" s="73"/>
      <c r="AA43" s="73"/>
    </row>
    <row r="44" spans="1:28" ht="16.75" thickBot="1" x14ac:dyDescent="0.95">
      <c r="A44" s="381" t="s">
        <v>22</v>
      </c>
      <c r="B44" s="381"/>
      <c r="C44" s="381"/>
      <c r="D44" s="71"/>
      <c r="E44" s="71"/>
      <c r="F44" s="71"/>
      <c r="G44" s="384"/>
      <c r="H44" s="381" t="s">
        <v>22</v>
      </c>
      <c r="I44" s="381"/>
      <c r="J44" s="381"/>
      <c r="K44" s="71"/>
      <c r="L44" s="71"/>
      <c r="M44" s="71"/>
      <c r="P44" s="93"/>
      <c r="Q44" s="93"/>
      <c r="R44" s="93"/>
      <c r="S44" s="93"/>
      <c r="T44" s="93"/>
      <c r="U44" s="93"/>
      <c r="V44" s="93"/>
      <c r="W44" s="93"/>
      <c r="X44" s="93"/>
      <c r="Y44" s="93"/>
      <c r="Z44" s="93"/>
      <c r="AA44" s="93"/>
    </row>
    <row r="45" spans="1:28" ht="16" x14ac:dyDescent="0.8">
      <c r="A45" s="111" t="s">
        <v>91</v>
      </c>
      <c r="B45" s="113"/>
      <c r="C45" s="119"/>
      <c r="D45" s="119"/>
      <c r="E45" s="119"/>
      <c r="F45" s="119"/>
      <c r="G45" s="384"/>
      <c r="H45" s="111" t="s">
        <v>91</v>
      </c>
      <c r="I45" s="113"/>
      <c r="J45" s="119"/>
      <c r="K45" s="119"/>
      <c r="L45" s="119"/>
      <c r="M45" s="119"/>
      <c r="O45" s="93"/>
      <c r="P45" s="93"/>
      <c r="Q45" s="93"/>
      <c r="R45" s="93"/>
      <c r="S45" s="93"/>
      <c r="T45" s="93"/>
      <c r="U45" s="93"/>
      <c r="V45" s="93"/>
      <c r="W45" s="93"/>
      <c r="X45" s="93"/>
      <c r="Y45" s="93"/>
      <c r="Z45" s="93"/>
    </row>
    <row r="46" spans="1:28" ht="26.65" customHeight="1" x14ac:dyDescent="0.8">
      <c r="A46" s="70" t="s">
        <v>92</v>
      </c>
      <c r="B46" s="151"/>
      <c r="C46" s="119"/>
      <c r="D46" s="71"/>
      <c r="E46" s="73"/>
      <c r="F46" s="73"/>
      <c r="G46" s="384"/>
      <c r="H46" s="70" t="s">
        <v>92</v>
      </c>
      <c r="I46" s="151"/>
      <c r="J46" s="119"/>
      <c r="K46" s="71"/>
      <c r="L46" s="73"/>
      <c r="M46" s="73"/>
      <c r="O46" s="93"/>
      <c r="P46" s="93"/>
      <c r="Q46" s="93"/>
      <c r="R46" s="93"/>
      <c r="S46" s="93"/>
      <c r="T46" s="93"/>
      <c r="U46" s="93"/>
      <c r="V46" s="93"/>
      <c r="W46" s="93"/>
      <c r="X46" s="93"/>
      <c r="Y46" s="93"/>
      <c r="Z46" s="93"/>
    </row>
    <row r="47" spans="1:28" ht="16" x14ac:dyDescent="0.8">
      <c r="A47" s="159" t="s">
        <v>93</v>
      </c>
      <c r="B47" s="160" t="s">
        <v>94</v>
      </c>
      <c r="C47" s="117"/>
      <c r="D47" s="117"/>
      <c r="E47" s="143"/>
      <c r="F47" s="109"/>
      <c r="G47" s="384"/>
      <c r="H47" s="159" t="s">
        <v>93</v>
      </c>
      <c r="I47" s="160" t="s">
        <v>95</v>
      </c>
      <c r="J47" s="117"/>
      <c r="K47" s="117"/>
      <c r="L47" s="143"/>
      <c r="M47" s="109"/>
      <c r="O47" s="93"/>
      <c r="P47" s="93"/>
      <c r="Q47" s="93"/>
      <c r="R47" s="93"/>
      <c r="S47" s="93"/>
      <c r="T47" s="93"/>
      <c r="U47" s="93"/>
      <c r="V47" s="93"/>
      <c r="W47" s="93"/>
      <c r="X47" s="93"/>
      <c r="Y47" s="93"/>
      <c r="Z47" s="93"/>
    </row>
    <row r="48" spans="1:28" ht="60" customHeight="1" x14ac:dyDescent="0.8">
      <c r="A48" s="193"/>
      <c r="B48" s="194"/>
      <c r="C48" s="143"/>
      <c r="D48" s="143"/>
      <c r="E48" s="143"/>
      <c r="F48" s="71"/>
      <c r="G48" s="384"/>
      <c r="H48" s="193"/>
      <c r="I48" s="194"/>
      <c r="J48" s="143"/>
      <c r="K48" s="143"/>
      <c r="L48" s="143"/>
      <c r="M48" s="71"/>
      <c r="O48" s="93"/>
      <c r="P48" s="93"/>
      <c r="Q48" s="93"/>
      <c r="R48" s="93"/>
      <c r="S48" s="93"/>
      <c r="T48" s="93"/>
      <c r="U48" s="93"/>
      <c r="V48" s="93"/>
      <c r="W48" s="93"/>
      <c r="X48" s="93"/>
      <c r="Y48" s="93"/>
      <c r="Z48" s="93"/>
    </row>
    <row r="49" spans="1:26" ht="60" customHeight="1" x14ac:dyDescent="0.8">
      <c r="A49" s="193"/>
      <c r="B49" s="194"/>
      <c r="C49" s="143"/>
      <c r="D49" s="143"/>
      <c r="E49" s="155"/>
      <c r="F49" s="155"/>
      <c r="G49" s="384"/>
      <c r="H49" s="193"/>
      <c r="I49" s="194"/>
      <c r="J49" s="143"/>
      <c r="K49" s="143"/>
      <c r="L49" s="155"/>
      <c r="M49" s="155"/>
      <c r="O49" s="93"/>
      <c r="P49" s="93"/>
      <c r="Q49" s="93"/>
      <c r="R49" s="93"/>
      <c r="S49" s="93"/>
      <c r="T49" s="93"/>
      <c r="U49" s="93"/>
      <c r="V49" s="93"/>
      <c r="W49" s="93"/>
      <c r="X49" s="93"/>
      <c r="Y49" s="93"/>
      <c r="Z49" s="93"/>
    </row>
    <row r="50" spans="1:26" ht="60" customHeight="1" x14ac:dyDescent="0.8">
      <c r="A50" s="193"/>
      <c r="B50" s="194"/>
      <c r="C50" s="143"/>
      <c r="D50" s="143"/>
      <c r="E50" s="71"/>
      <c r="F50" s="71"/>
      <c r="G50" s="384"/>
      <c r="H50" s="193"/>
      <c r="I50" s="194"/>
      <c r="J50" s="143"/>
      <c r="K50" s="143"/>
      <c r="L50" s="71"/>
      <c r="M50" s="71"/>
    </row>
    <row r="51" spans="1:26" ht="60" customHeight="1" x14ac:dyDescent="0.8">
      <c r="A51" s="193"/>
      <c r="B51" s="194"/>
      <c r="C51" s="143"/>
      <c r="D51" s="143"/>
      <c r="E51" s="161"/>
      <c r="F51" s="161"/>
      <c r="G51" s="384"/>
      <c r="H51" s="193"/>
      <c r="I51" s="194"/>
      <c r="J51" s="143"/>
      <c r="K51" s="143"/>
      <c r="L51" s="161"/>
      <c r="M51" s="161"/>
    </row>
    <row r="52" spans="1:26" ht="60" customHeight="1" x14ac:dyDescent="0.8">
      <c r="A52" s="193"/>
      <c r="B52" s="194"/>
      <c r="C52" s="143"/>
      <c r="D52" s="143"/>
      <c r="E52" s="162"/>
      <c r="F52" s="162"/>
      <c r="G52" s="384"/>
      <c r="H52" s="193"/>
      <c r="I52" s="194"/>
      <c r="J52" s="143"/>
      <c r="K52" s="143"/>
      <c r="L52" s="162"/>
      <c r="M52" s="162"/>
    </row>
    <row r="53" spans="1:26" ht="16" x14ac:dyDescent="0.8">
      <c r="A53" s="163" t="s">
        <v>89</v>
      </c>
      <c r="B53" s="164">
        <f>SUM(B48:B52)</f>
        <v>0</v>
      </c>
      <c r="C53" s="143"/>
      <c r="D53" s="143"/>
      <c r="E53" s="73"/>
      <c r="G53" s="384"/>
      <c r="H53" s="165" t="s">
        <v>90</v>
      </c>
      <c r="I53" s="164">
        <f>SUM(I48:I52)</f>
        <v>0</v>
      </c>
      <c r="J53" s="143"/>
      <c r="K53" s="143"/>
      <c r="L53" s="73"/>
    </row>
    <row r="54" spans="1:26" ht="16.75" thickBot="1" x14ac:dyDescent="0.95">
      <c r="A54" s="379" t="s">
        <v>22</v>
      </c>
      <c r="B54" s="379"/>
      <c r="C54" s="10"/>
      <c r="D54" s="71"/>
      <c r="E54" s="71"/>
      <c r="F54" s="71"/>
      <c r="G54" s="384"/>
      <c r="H54" s="379" t="s">
        <v>22</v>
      </c>
      <c r="I54" s="379"/>
      <c r="J54" s="10"/>
      <c r="K54" s="71"/>
      <c r="L54" s="71"/>
      <c r="M54" s="71"/>
    </row>
    <row r="55" spans="1:26" ht="16" x14ac:dyDescent="0.8">
      <c r="A55" s="166" t="str">
        <f>IF('3b. High Cost Fund'!$B11="No","This exception is not valid in your state.","Exception (e) The assumption of cost by the high cost fund operated by the")</f>
        <v>This exception is not valid in your state.</v>
      </c>
      <c r="B55" s="145"/>
      <c r="C55" s="146"/>
      <c r="D55" s="130"/>
      <c r="E55" s="130"/>
      <c r="F55" s="143"/>
      <c r="G55" s="384"/>
      <c r="H55" s="166" t="str">
        <f>IF('3b. High Cost Fund'!$B11="No","This exception is not valid in your state.","Exception (e) The assumption of cost by the high cost fund operated by the")</f>
        <v>This exception is not valid in your state.</v>
      </c>
      <c r="I55" s="145"/>
      <c r="J55" s="146"/>
      <c r="K55" s="130"/>
      <c r="L55" s="130"/>
      <c r="M55" s="143"/>
    </row>
    <row r="56" spans="1:26" ht="28.15" customHeight="1" x14ac:dyDescent="0.8">
      <c r="A56" s="70" t="str">
        <f>IF('3b. High Cost Fund'!$B11="No","","SEA under §300.704. MUST be explicitly permitted by the SEA.")</f>
        <v/>
      </c>
      <c r="B56" s="167"/>
      <c r="C56" s="168"/>
      <c r="D56" s="169"/>
      <c r="E56" s="162"/>
      <c r="F56" s="143"/>
      <c r="G56" s="384"/>
      <c r="H56" s="70" t="str">
        <f>IF('3b. High Cost Fund'!$B11="No","","SEA under §300.704. MUST be explicitly permitted by the SEA.")</f>
        <v/>
      </c>
      <c r="I56" s="167"/>
      <c r="J56" s="146"/>
      <c r="K56" s="169"/>
      <c r="L56" s="162"/>
      <c r="M56" s="143"/>
    </row>
    <row r="57" spans="1:26" ht="16" x14ac:dyDescent="0.8">
      <c r="A57" s="170" t="s">
        <v>85</v>
      </c>
      <c r="B57" s="171" t="s">
        <v>96</v>
      </c>
      <c r="C57" s="117"/>
      <c r="D57" s="143"/>
      <c r="E57" s="143"/>
      <c r="F57" s="10"/>
      <c r="G57" s="384"/>
      <c r="H57" s="170" t="s">
        <v>85</v>
      </c>
      <c r="I57" s="171" t="s">
        <v>97</v>
      </c>
      <c r="J57" s="117"/>
      <c r="K57" s="143"/>
      <c r="L57" s="143"/>
      <c r="M57" s="10"/>
    </row>
    <row r="58" spans="1:26" ht="15.4" customHeight="1" x14ac:dyDescent="0.8">
      <c r="A58" s="195"/>
      <c r="B58" s="196"/>
      <c r="C58" s="338" t="str">
        <f>IF(AND(B58&lt;&gt;"",'3b. High Cost Fund'!$B11="No"),"Invalid entry. This exception is valid only in states with high-cost funds. If your state has a high-cost fund, please indicate that on tab 3b.","")</f>
        <v/>
      </c>
      <c r="D58" s="143"/>
      <c r="E58" s="143"/>
      <c r="F58" s="10"/>
      <c r="G58" s="384"/>
      <c r="H58" s="195"/>
      <c r="I58" s="196"/>
      <c r="J58" s="338" t="str">
        <f>IF(AND(I58&lt;&gt;"",'3b. High Cost Fund'!$B11="No"),"Invalid entry. This exception is valid only in states with high-cost funds. If your state has a high-cost fund, please indicate that on tab 3b.","")</f>
        <v/>
      </c>
      <c r="K58" s="143"/>
      <c r="L58" s="143"/>
      <c r="M58" s="10"/>
    </row>
    <row r="59" spans="1:26" ht="16" x14ac:dyDescent="0.8">
      <c r="A59" s="195"/>
      <c r="B59" s="196"/>
      <c r="C59" s="143"/>
      <c r="D59" s="10"/>
      <c r="E59" s="10"/>
      <c r="F59" s="10"/>
      <c r="G59" s="384"/>
      <c r="H59" s="195"/>
      <c r="I59" s="196"/>
      <c r="J59" s="143"/>
      <c r="K59" s="10"/>
      <c r="L59" s="10"/>
      <c r="M59" s="10"/>
    </row>
    <row r="60" spans="1:26" ht="16" x14ac:dyDescent="0.8">
      <c r="A60" s="195"/>
      <c r="B60" s="196"/>
      <c r="C60" s="143"/>
      <c r="D60" s="10"/>
      <c r="E60" s="10"/>
      <c r="F60" s="10"/>
      <c r="G60" s="384"/>
      <c r="H60" s="195"/>
      <c r="I60" s="196"/>
      <c r="J60" s="143"/>
      <c r="K60" s="10"/>
      <c r="L60" s="10"/>
      <c r="M60" s="10"/>
    </row>
    <row r="61" spans="1:26" ht="16" x14ac:dyDescent="0.8">
      <c r="A61" s="195"/>
      <c r="B61" s="196"/>
      <c r="C61" s="143"/>
      <c r="D61" s="10"/>
      <c r="E61" s="10"/>
      <c r="F61" s="10"/>
      <c r="G61" s="384"/>
      <c r="H61" s="195"/>
      <c r="I61" s="196"/>
      <c r="J61" s="143"/>
      <c r="K61" s="10"/>
      <c r="L61" s="10"/>
      <c r="M61" s="10"/>
    </row>
    <row r="62" spans="1:26" ht="16" x14ac:dyDescent="0.8">
      <c r="A62" s="195"/>
      <c r="B62" s="196"/>
      <c r="C62" s="143"/>
      <c r="D62" s="10"/>
      <c r="E62" s="10"/>
      <c r="F62" s="10"/>
      <c r="G62" s="384"/>
      <c r="H62" s="195"/>
      <c r="I62" s="196"/>
      <c r="J62" s="143"/>
      <c r="K62" s="10"/>
      <c r="L62" s="10"/>
      <c r="M62" s="10"/>
    </row>
    <row r="63" spans="1:26" ht="16" x14ac:dyDescent="0.8">
      <c r="A63" s="172" t="s">
        <v>89</v>
      </c>
      <c r="B63" s="173">
        <f>IF('3b. High Cost Fund'!$B11="No",0,SUM(B58:B62))</f>
        <v>0</v>
      </c>
      <c r="C63" s="143"/>
      <c r="D63" s="10"/>
      <c r="E63" s="10"/>
      <c r="F63" s="10"/>
      <c r="G63" s="384"/>
      <c r="H63" s="174" t="s">
        <v>90</v>
      </c>
      <c r="I63" s="173">
        <f>IF('3b. High Cost Fund'!$B11="No",0,SUM(I58:I62))</f>
        <v>0</v>
      </c>
      <c r="J63" s="143"/>
      <c r="K63" s="10"/>
      <c r="L63" s="10"/>
      <c r="M63" s="10"/>
    </row>
    <row r="64" spans="1:26" ht="16.75" thickBot="1" x14ac:dyDescent="0.95">
      <c r="A64" s="379" t="s">
        <v>22</v>
      </c>
      <c r="B64" s="379"/>
      <c r="C64" s="143"/>
      <c r="D64" s="10"/>
      <c r="E64" s="10"/>
      <c r="F64" s="10"/>
      <c r="G64" s="384"/>
      <c r="H64" s="379" t="s">
        <v>22</v>
      </c>
      <c r="I64" s="379"/>
      <c r="J64" s="143"/>
      <c r="K64" s="10"/>
      <c r="L64" s="10"/>
      <c r="M64" s="10"/>
    </row>
    <row r="65" spans="1:13" ht="16" x14ac:dyDescent="0.8">
      <c r="A65" s="347" t="s">
        <v>107</v>
      </c>
      <c r="B65" s="348"/>
      <c r="C65" s="143"/>
      <c r="D65" s="10"/>
      <c r="E65" s="10"/>
      <c r="F65" s="10"/>
      <c r="G65" s="384"/>
      <c r="H65" s="347" t="s">
        <v>106</v>
      </c>
      <c r="I65" s="348"/>
      <c r="J65" s="143"/>
      <c r="K65" s="10"/>
      <c r="L65" s="10"/>
      <c r="M65" s="10"/>
    </row>
    <row r="66" spans="1:13" ht="16" x14ac:dyDescent="0.8">
      <c r="A66" s="242" t="s">
        <v>123</v>
      </c>
      <c r="B66" s="265" t="s">
        <v>124</v>
      </c>
      <c r="C66" s="143"/>
      <c r="D66" s="10"/>
      <c r="E66" s="10"/>
      <c r="F66" s="10"/>
      <c r="G66" s="384"/>
      <c r="H66" s="269" t="s">
        <v>123</v>
      </c>
      <c r="I66" s="270" t="s">
        <v>124</v>
      </c>
      <c r="J66" s="143"/>
      <c r="K66" s="10"/>
      <c r="L66" s="10"/>
      <c r="M66" s="10"/>
    </row>
    <row r="67" spans="1:13" ht="16" x14ac:dyDescent="0.8">
      <c r="A67" s="102" t="s">
        <v>0</v>
      </c>
      <c r="B67" s="240">
        <f>IF(B$28&gt;=0,(F$22+C$43+B$53+B$63),(F$22+C$43+B$53+B$63+B$32))</f>
        <v>0</v>
      </c>
      <c r="C67" s="143"/>
      <c r="D67" s="10"/>
      <c r="E67" s="10"/>
      <c r="F67" s="10"/>
      <c r="G67" s="384"/>
      <c r="H67" s="102" t="s">
        <v>0</v>
      </c>
      <c r="I67" s="240">
        <f>IF(I$28&gt;=0,(M$22+J$43+I$53+I$63),(M$22+J$43+I$53+I$63+I$32))</f>
        <v>0</v>
      </c>
      <c r="J67" s="143"/>
      <c r="K67" s="10"/>
      <c r="L67" s="10"/>
      <c r="M67" s="10"/>
    </row>
    <row r="68" spans="1:13" ht="16" x14ac:dyDescent="0.8">
      <c r="A68" s="241" t="s">
        <v>2</v>
      </c>
      <c r="B68" s="173">
        <f>IF(B$28&gt;=0,(F$22+C$43+B$53+B$63),(F$22+C$43+B$53+B$63+C$32))</f>
        <v>0</v>
      </c>
      <c r="C68" s="143"/>
      <c r="D68" s="10"/>
      <c r="E68" s="10"/>
      <c r="F68" s="10"/>
      <c r="G68" s="384"/>
      <c r="H68" s="241" t="s">
        <v>2</v>
      </c>
      <c r="I68" s="173">
        <f>IF(I$28&gt;=0,(M$22+J$43+I$53+I$63),(M$22+J$43+I$53+I$63+J$32))</f>
        <v>0</v>
      </c>
      <c r="J68" s="143"/>
      <c r="K68" s="10"/>
      <c r="L68" s="10"/>
      <c r="M68" s="10"/>
    </row>
    <row r="69" spans="1:13" ht="16.75" thickBot="1" x14ac:dyDescent="0.95">
      <c r="A69" s="382" t="s">
        <v>22</v>
      </c>
      <c r="B69" s="382"/>
      <c r="C69" s="10"/>
      <c r="D69" s="10"/>
      <c r="E69" s="10"/>
      <c r="F69" s="10"/>
      <c r="G69" s="384"/>
      <c r="H69" s="382" t="s">
        <v>22</v>
      </c>
      <c r="I69" s="382"/>
      <c r="J69" s="10"/>
      <c r="K69" s="10"/>
      <c r="L69" s="10"/>
      <c r="M69" s="10"/>
    </row>
    <row r="70" spans="1:13" ht="31.15" customHeight="1" x14ac:dyDescent="0.8">
      <c r="A70" s="337" t="s">
        <v>98</v>
      </c>
      <c r="B70" s="176"/>
      <c r="C70" s="11"/>
      <c r="D70" s="177"/>
      <c r="E70" s="10"/>
      <c r="F70" s="10"/>
      <c r="G70" s="384"/>
      <c r="H70" s="337" t="s">
        <v>98</v>
      </c>
      <c r="I70" s="176"/>
      <c r="J70" s="11"/>
      <c r="K70" s="177"/>
      <c r="L70" s="10"/>
      <c r="M70" s="10"/>
    </row>
    <row r="71" spans="1:13" ht="16" x14ac:dyDescent="0.8">
      <c r="A71" s="178" t="s">
        <v>71</v>
      </c>
      <c r="B71" s="179" t="s">
        <v>99</v>
      </c>
      <c r="C71" s="11" t="s">
        <v>100</v>
      </c>
      <c r="E71" s="10"/>
      <c r="F71" s="10"/>
      <c r="G71" s="384"/>
      <c r="H71" s="178" t="s">
        <v>71</v>
      </c>
      <c r="I71" s="179" t="s">
        <v>101</v>
      </c>
      <c r="J71" s="11" t="s">
        <v>100</v>
      </c>
      <c r="K71" s="10"/>
      <c r="L71" s="10"/>
      <c r="M71" s="10"/>
    </row>
    <row r="72" spans="1:13" ht="16" x14ac:dyDescent="0.8">
      <c r="A72" s="180" t="s">
        <v>102</v>
      </c>
      <c r="B72" s="197">
        <v>0</v>
      </c>
      <c r="C72" s="181" t="s">
        <v>103</v>
      </c>
      <c r="D72" s="10"/>
      <c r="E72" s="10"/>
      <c r="F72" s="10"/>
      <c r="G72" s="384"/>
      <c r="H72" s="180" t="s">
        <v>104</v>
      </c>
      <c r="I72" s="197">
        <v>0</v>
      </c>
      <c r="J72" s="181" t="s">
        <v>103</v>
      </c>
      <c r="K72" s="10"/>
      <c r="L72" s="10"/>
      <c r="M72" s="10"/>
    </row>
    <row r="73" spans="1:13" ht="30" customHeight="1" x14ac:dyDescent="0.8">
      <c r="A73" s="345" t="s">
        <v>183</v>
      </c>
      <c r="B73" s="182"/>
      <c r="C73" s="182"/>
      <c r="D73" s="182"/>
      <c r="E73" s="182"/>
      <c r="F73" s="182"/>
      <c r="G73" s="384"/>
      <c r="H73" s="182"/>
      <c r="I73" s="182"/>
      <c r="J73" s="182"/>
      <c r="K73" s="182"/>
      <c r="L73" s="182"/>
      <c r="M73" s="182"/>
    </row>
    <row r="74" spans="1:13" s="184" customFormat="1" ht="16" x14ac:dyDescent="0.8">
      <c r="A74" s="358" t="s">
        <v>182</v>
      </c>
      <c r="B74" s="183"/>
      <c r="C74" s="183"/>
      <c r="D74" s="183"/>
      <c r="E74" s="183"/>
      <c r="F74" s="183"/>
      <c r="G74" s="384"/>
      <c r="H74" s="183"/>
      <c r="I74" s="183"/>
      <c r="J74" s="183"/>
      <c r="K74" s="183"/>
      <c r="L74" s="183"/>
      <c r="M74" s="183"/>
    </row>
    <row r="75" spans="1:13" ht="16" x14ac:dyDescent="0.8">
      <c r="A75" s="380" t="s">
        <v>24</v>
      </c>
      <c r="B75" s="380"/>
      <c r="C75" s="380"/>
      <c r="D75" s="380"/>
      <c r="E75" s="380"/>
      <c r="F75" s="380"/>
      <c r="G75" s="380"/>
      <c r="H75" s="380"/>
      <c r="I75" s="380"/>
      <c r="J75" s="380"/>
      <c r="K75" s="380"/>
      <c r="L75" s="380"/>
      <c r="M75" s="380"/>
    </row>
    <row r="76" spans="1:13" ht="16" hidden="1" x14ac:dyDescent="0.8"/>
    <row r="77" spans="1:13" ht="16" hidden="1" x14ac:dyDescent="0.8"/>
    <row r="78" spans="1:13" ht="16" hidden="1" x14ac:dyDescent="0.8"/>
    <row r="79" spans="1:13" ht="16" hidden="1" x14ac:dyDescent="0.8"/>
  </sheetData>
  <sheetProtection algorithmName="SHA-512" hashValue="Wgnireh1HBGEqUA/Ewb3hHFvr0EgEjiSmLHh9xFIHJ9rRsj27nVm4Nx6smcpvRWBt6sE1I3ZDiT2F5GE2pcgEg==" saltValue="zkMScGr9/oB3TiXck3/gjw==" spinCount="100000" sheet="1" formatColumns="0" formatRows="0"/>
  <mergeCells count="14">
    <mergeCell ref="A75:M75"/>
    <mergeCell ref="A64:B64"/>
    <mergeCell ref="H64:I64"/>
    <mergeCell ref="A23:F23"/>
    <mergeCell ref="H23:M23"/>
    <mergeCell ref="A33:C33"/>
    <mergeCell ref="H33:J33"/>
    <mergeCell ref="A44:C44"/>
    <mergeCell ref="H44:J44"/>
    <mergeCell ref="G1:G74"/>
    <mergeCell ref="A54:B54"/>
    <mergeCell ref="H54:I54"/>
    <mergeCell ref="A69:B69"/>
    <mergeCell ref="H69:I69"/>
  </mergeCells>
  <conditionalFormatting sqref="A55">
    <cfRule type="containsText" dxfId="174" priority="2" operator="containsText" text="not valid">
      <formula>NOT(ISERROR(SEARCH("not valid",A55)))</formula>
    </cfRule>
  </conditionalFormatting>
  <conditionalFormatting sqref="H55">
    <cfRule type="containsText" dxfId="173" priority="1" operator="containsText" text="not valid">
      <formula>NOT(ISERROR(SEARCH("not valid",H55)))</formula>
    </cfRule>
  </conditionalFormatting>
  <dataValidations count="1">
    <dataValidation type="list" allowBlank="1" showInputMessage="1" showErrorMessage="1" sqref="B38:B42 I38:I42" xr:uid="{00000000-0002-0000-1E00-000000000000}">
      <formula1>Exception_c</formula1>
    </dataValidation>
  </dataValidations>
  <hyperlinks>
    <hyperlink ref="C72" r:id="rId1" xr:uid="{00000000-0004-0000-1E00-000000000000}"/>
    <hyperlink ref="J72" r:id="rId2" xr:uid="{00000000-0004-0000-1E00-000001000000}"/>
    <hyperlink ref="A74" r:id="rId3" xr:uid="{0AAD7440-9DF8-4FFE-812E-665BAF5BF96F}"/>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0070C0"/>
  </sheetPr>
  <dimension ref="A1:F43"/>
  <sheetViews>
    <sheetView showGridLines="0" workbookViewId="0">
      <selection activeCell="A5" sqref="A5"/>
    </sheetView>
  </sheetViews>
  <sheetFormatPr defaultColWidth="0" defaultRowHeight="14.75" zeroHeight="1" x14ac:dyDescent="0.75"/>
  <cols>
    <col min="1" max="1" width="43.40625" bestFit="1" customWidth="1"/>
    <col min="2" max="5" width="33.7265625" customWidth="1"/>
    <col min="6" max="6" width="0.86328125" customWidth="1"/>
    <col min="7" max="16384" width="9.1328125" hidden="1"/>
  </cols>
  <sheetData>
    <row r="1" spans="1:5" ht="21" x14ac:dyDescent="1">
      <c r="A1" s="302" t="str">
        <f>CONCATENATE("Summary of Year 9: State Fiscal Year ",'2. Getting Started'!B6+8)</f>
        <v>Summary of Year 9: State Fiscal Year 2032</v>
      </c>
      <c r="B1" s="300"/>
      <c r="C1" s="300"/>
      <c r="D1" s="21" t="s">
        <v>14</v>
      </c>
      <c r="E1" s="20" t="str">
        <f>IF('2. Getting Started'!B2="","",'2. Getting Started'!B2)</f>
        <v/>
      </c>
    </row>
    <row r="2" spans="1:5" ht="18.5" x14ac:dyDescent="0.9">
      <c r="A2" s="2" t="str">
        <f>CONCATENATE("State fiscal year ",'2. Getting Started'!B6+8," covers the period ",'2. Getting Started'!B4,", ",'2. Getting Started'!B6+7," through ",'2. Getting Started'!B5,", ",'2. Getting Started'!B6+8)</f>
        <v>State fiscal year 2032 covers the period July 1, 2031 through June 30, 2032</v>
      </c>
      <c r="B2" s="300"/>
      <c r="C2" s="300"/>
      <c r="D2" s="301"/>
      <c r="E2" s="300"/>
    </row>
    <row r="3" spans="1:5" ht="18.5" x14ac:dyDescent="0.9">
      <c r="A3" s="8"/>
      <c r="B3" s="18"/>
      <c r="C3" s="18"/>
      <c r="D3" s="201"/>
      <c r="E3" s="18"/>
    </row>
    <row r="4" spans="1:5" ht="16" x14ac:dyDescent="0.8">
      <c r="A4" s="5" t="s">
        <v>7</v>
      </c>
      <c r="B4" s="4"/>
      <c r="C4" s="4"/>
      <c r="D4" s="4"/>
      <c r="E4" s="4"/>
    </row>
    <row r="5" spans="1:5" x14ac:dyDescent="0.75">
      <c r="A5" s="260" t="s">
        <v>125</v>
      </c>
      <c r="B5" s="244" t="s">
        <v>0</v>
      </c>
      <c r="C5" s="244" t="s">
        <v>2</v>
      </c>
      <c r="D5" s="244" t="s">
        <v>3</v>
      </c>
      <c r="E5" s="245" t="s">
        <v>4</v>
      </c>
    </row>
    <row r="6" spans="1:5" x14ac:dyDescent="0.75">
      <c r="A6" s="243" t="s">
        <v>44</v>
      </c>
      <c r="B6" s="3" t="str">
        <f>IF('2. Getting Started'!B10="","",IF('38. Total Local Funds'!F62="Met",'2. Getting Started'!$B$6+6,IF('38. Total Local Funds'!F54="Met",'2. Getting Started'!$B$6+5,IF('38. Total Local Funds'!F46="Met",'2. Getting Started'!$B$6+4,IF('38. Total Local Funds'!F38="Met",'2. Getting Started'!$B$6+3,IF('38. Total Local Funds'!F30="Met",'2. Getting Started'!$B$6+2,IF('38. Total Local Funds'!$F22="Met",'2. Getting Started'!$B$6+1,IF('38. Total Local Funds'!$F14="Met",'2. Getting Started'!$B$6,'2. Getting Started'!$B10))))))))</f>
        <v/>
      </c>
      <c r="C6" s="3" t="str">
        <f>IF('2. Getting Started'!B11="","",IF('39. Total State &amp; Local Funds'!F62="Met",'2. Getting Started'!$B$6+6,IF('39. Total State &amp; Local Funds'!F54="Met",'2. Getting Started'!$B$6+5,IF('39.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6" s="3" t="str">
        <f>IF('2. Getting Started'!B12="","",IF('40. Local Funds Per Capita'!F63="Met",'2. Getting Started'!$B$6+6,IF('40. Local Funds Per Capita'!F55="Met",'2. Getting Started'!$B$6+5,IF('40.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6" s="257" t="str">
        <f>IF('2. Getting Started'!B13="","",IF('41. State &amp; Local Funds Per Cap'!F63="Met",'2. Getting Started'!$B$6+6,IF('41. State &amp; Local Funds Per Cap'!F55="Met",'2. Getting Started'!$B$6+5,IF('41.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7" spans="1:5" x14ac:dyDescent="0.75">
      <c r="A7" s="243" t="s">
        <v>45</v>
      </c>
      <c r="B7" s="204" t="str">
        <f>IF(B6="","",IF(B6='2. Getting Started'!$B$6+6,'23. Year 7 Amounts'!K30,IF(B6='2. Getting Started'!$B$6+5,'20. Year 6 Amounts'!K30,IF(B6='2. Getting Started'!$B$6+4,'17. Year 5 Amounts'!K30,IF(B6='2. Getting Started'!$B$6+3,'14. Year 4 Amounts'!K30,IF(B6='2. Getting Started'!$B$6+2,'11. Year 3 Amounts'!K30,IF(B6='2. Getting Started'!$B$6+1,'8. Year 2 Amounts'!K30,IF(B6='2. Getting Started'!$B$6,'5. Year 1 Amounts'!K30,'2. Getting Started'!$C10))))))))</f>
        <v/>
      </c>
      <c r="C7" s="204" t="str">
        <f>IF(C6="","",IF(C6='2. Getting Started'!$B$6+6,'23. Year 7 Amounts'!M30,IF(C6='2. Getting Started'!$B$6+5,'20. Year 6 Amounts'!M30,IF(C6='2. Getting Started'!$B$6+4,'17. Year 5 Amounts'!M30,IF(C6='2. Getting Started'!$B$6+3,'14. Year 4 Amounts'!M30,IF(C6='2. Getting Started'!$B$6+2,'11. Year 3 Amounts'!M30,IF(C6='2. Getting Started'!$B$6+1,'8. Year 2 Amounts'!M30,IF(C6='2. Getting Started'!$B$6,'5. Year 1 Amounts'!M30,'2. Getting Started'!$C11))))))))</f>
        <v/>
      </c>
      <c r="D7" s="204" t="str">
        <f>IF(D6="","",IF(D6='2. Getting Started'!$B$6+6,'23. Year 7 Amounts'!K31,IF(D6='2. Getting Started'!$B$6+5,'20. Year 6 Amounts'!K31,IF(D6='2. Getting Started'!$B$6+4,'17. Year 5 Amounts'!K31,IF(D6='2. Getting Started'!$B$6+3,'14. Year 4 Amounts'!K31,IF(D6='2. Getting Started'!$B$6+2,'11. Year 3 Amounts'!K31,IF(D6='2. Getting Started'!$B$6+1,'8. Year 2 Amounts'!K31,IF(D6='2. Getting Started'!$B$6,'5. Year 1 Amounts'!K31,'2. Getting Started'!$C12))))))))</f>
        <v/>
      </c>
      <c r="E7" s="267" t="str">
        <f>IF(E6="","",IF(E6='2. Getting Started'!$B$6+6,'23. Year 7 Amounts'!M31,IF(E6='2. Getting Started'!$B$6+5,'20. Year 6 Amounts'!M31,IF(E6='2. Getting Started'!$B$6+4,'17. Year 5 Amounts'!M31,IF(E6='2. Getting Started'!$B$6+3,'14. Year 4 Amounts'!M31,IF(E6='2. Getting Started'!$B$6+2,'11. Year 3 Amounts'!M31,IF(E6='2. Getting Started'!$B$6+1,'8. Year 2 Amounts'!M31,IF(E6='2. Getting Started'!$B$6,'5. Year 1 Amounts'!M31,'2. Getting Started'!$C13))))))))</f>
        <v/>
      </c>
    </row>
    <row r="8" spans="1:5" x14ac:dyDescent="0.75">
      <c r="A8" s="243" t="s">
        <v>9</v>
      </c>
      <c r="B8" s="204" t="str">
        <f>'29. Year 9 Amounts'!D30</f>
        <v/>
      </c>
      <c r="C8" s="204" t="str">
        <f>'29. Year 9 Amounts'!F30</f>
        <v/>
      </c>
      <c r="D8" s="204" t="str">
        <f>'29. Year 9 Amounts'!D31</f>
        <v/>
      </c>
      <c r="E8" s="267" t="str">
        <f>'29. Year 9 Amounts'!F31</f>
        <v/>
      </c>
    </row>
    <row r="9" spans="1:5" x14ac:dyDescent="0.75">
      <c r="A9" s="243" t="s">
        <v>117</v>
      </c>
      <c r="B9" s="200" t="str">
        <f>IF(B8="","",IF(B8&gt;=B7,"Met",IF(AND(B8&lt;B7,'38. Total Local Funds'!$B78="Met"),"Met with Exceptions &amp; Adjustments","Did Not Meet")))</f>
        <v/>
      </c>
      <c r="C9" s="200" t="str">
        <f>IF(C8="","",IF(C8&gt;=C7,"Met",IF(AND(C8&lt;C7,'39. Total State &amp; Local Funds'!$B78="Met"),"Met with Exceptions &amp; Adjustments","Did Not Meet")))</f>
        <v/>
      </c>
      <c r="D9" s="200" t="str">
        <f>IF(D8="","",IF(D8&gt;=D7,"Met",IF(AND(D8&lt;D7,'40. Local Funds Per Capita'!$B79="Met"),"Met with Exceptions &amp; Adjustments","Did Not Meet")))</f>
        <v/>
      </c>
      <c r="E9" s="259" t="str">
        <f>IF(E8="","",IF(E8&gt;=E7,"Met",IF(AND(E8&lt;E7,'41. State &amp; Local Funds Per Cap'!$B79="Met"),"Met with Exceptions &amp; Adjustments","Did Not Meet")))</f>
        <v/>
      </c>
    </row>
    <row r="10" spans="1:5" x14ac:dyDescent="0.75">
      <c r="A10" s="246" t="s">
        <v>46</v>
      </c>
      <c r="B10" s="256" t="str">
        <f>IF(B9="","",IF(B9="Did Not Meet",'38. Total Local Funds'!$B76-'38. Total Local Funds'!$B77,0))</f>
        <v/>
      </c>
      <c r="C10" s="256" t="str">
        <f>IF(C9="","",IF(C9="Did Not Meet",'39. Total State &amp; Local Funds'!$B76-'39. Total State &amp; Local Funds'!$B77,0))</f>
        <v/>
      </c>
      <c r="D10" s="256" t="str">
        <f>IF(D9="","",IF(D9="Did Not Meet",(('40. Local Funds Per Capita'!$B77-'40. Local Funds Per Capita'!$B78)*'29. Year 9 Amounts'!B1),0))</f>
        <v/>
      </c>
      <c r="E10" s="261" t="str">
        <f>IF(E9="","",IF(E9="Did Not Meet",(('41. State &amp; Local Funds Per Cap'!$B77-'41. State &amp; Local Funds Per Cap'!$B78)*'29. Year 9 Amounts'!B1),0))</f>
        <v/>
      </c>
    </row>
    <row r="11" spans="1:5" x14ac:dyDescent="0.75">
      <c r="A11" s="373" t="s">
        <v>175</v>
      </c>
      <c r="B11" s="373"/>
      <c r="C11" s="373"/>
      <c r="D11" s="373"/>
      <c r="E11" s="373"/>
    </row>
    <row r="12" spans="1:5" ht="16" x14ac:dyDescent="0.8">
      <c r="A12" s="5" t="s">
        <v>10</v>
      </c>
      <c r="B12" s="5"/>
      <c r="C12" s="5"/>
      <c r="D12" s="5"/>
      <c r="E12" s="5"/>
    </row>
    <row r="13" spans="1:5" x14ac:dyDescent="0.75">
      <c r="A13" s="260" t="s">
        <v>125</v>
      </c>
      <c r="B13" s="244" t="s">
        <v>0</v>
      </c>
      <c r="C13" s="244" t="s">
        <v>2</v>
      </c>
      <c r="D13" s="244" t="s">
        <v>3</v>
      </c>
      <c r="E13" s="245" t="s">
        <v>4</v>
      </c>
    </row>
    <row r="14" spans="1:5" x14ac:dyDescent="0.75">
      <c r="A14" s="243" t="s">
        <v>44</v>
      </c>
      <c r="B14" s="3" t="str">
        <f>IF('2. Getting Started'!B10="","",IF('38. Total Local Funds'!F70="Met",'2. Getting Started'!B6+7,IF('38. Total Local Funds'!F62="Met",'2. Getting Started'!B6+6,IF('38. Total Local Funds'!F54="Met",'2. Getting Started'!B6+5,IF('38. Total Local Funds'!F46="Met",'2. Getting Started'!B6+4,IF('38. Total Local Funds'!F38="Met",'2. Getting Started'!$B$6+3,IF('38. Total Local Funds'!F30="Met",'2. Getting Started'!$B$6+2,IF('38. Total Local Funds'!F22="Met",'2. Getting Started'!$B$6+1,IF('38. Total Local Funds'!$F14="Met",'2. Getting Started'!$B$6,'2. Getting Started'!$B10)))))))))</f>
        <v/>
      </c>
      <c r="C14" s="3" t="str">
        <f>IF('2. Getting Started'!B11="","",IF('39. Total State &amp; Local Funds'!F70="Met",'2. Getting Started'!B6+7,IF('39. Total State &amp; Local Funds'!F62="Met",'2. Getting Started'!B6+6,IF('39. Total State &amp; Local Funds'!F54="Met",'2. Getting Started'!B6+5,IF('39.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14" s="3" t="str">
        <f>IF('2. Getting Started'!B12="","",IF('40. Local Funds Per Capita'!F71="Met",'2. Getting Started'!B6+7,IF('40. Local Funds Per Capita'!F63="Met",'2. Getting Started'!B6+6,IF('40. Local Funds Per Capita'!F55="Met",'2. Getting Started'!B6+5,IF('40.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14" s="257" t="str">
        <f>IF('2. Getting Started'!B13="","",IF('41. State &amp; Local Funds Per Cap'!F71="Met",'2. Getting Started'!B6+7,IF('41. State &amp; Local Funds Per Cap'!F63="Met",'2. Getting Started'!B6+6,IF('41. State &amp; Local Funds Per Cap'!F55="Met",'2. Getting Started'!B6+5,IF('41.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15" spans="1:5" x14ac:dyDescent="0.75">
      <c r="A15" s="243" t="s">
        <v>45</v>
      </c>
      <c r="B15" s="17" t="str">
        <f>IF(B14="","",IF(B14='2. Getting Started'!B6+7,'26. Year 8 Amounts'!K30,IF(B14='2. Getting Started'!B6+6,'23. Year 7 Amounts'!K30,IF(B14='2. Getting Started'!B6+5,'20. Year 6 Amounts'!K30,IF(B14='2. Getting Started'!B6+4,'17. Year 5 Amounts'!K30,IF(B14='2. Getting Started'!$B$6+3,'14. Year 4 Amounts'!K30,IF(B14='2. Getting Started'!$B$6+2,'11. Year 3 Amounts'!K30,IF(B14='2. Getting Started'!$B$6+1,'8. Year 2 Amounts'!K30,IF(B14='2. Getting Started'!$B$6,'5. Year 1 Amounts'!K30,'2. Getting Started'!$C10)))))))))</f>
        <v/>
      </c>
      <c r="C15" s="17" t="str">
        <f>IF(C14="","",IF(C14='2. Getting Started'!B6+7,'26. Year 8 Amounts'!M30,IF(C14='2. Getting Started'!B6+6,'23. Year 7 Amounts'!M30,IF(C14='2. Getting Started'!B6+5,'20. Year 6 Amounts'!M30,IF(C14='2. Getting Started'!B6+4,'17. Year 5 Amounts'!M30,IF(C14='2. Getting Started'!$B$6+3,'14. Year 4 Amounts'!M30,IF(C14='2. Getting Started'!$B$6+2,'11. Year 3 Amounts'!M30,IF(C14='2. Getting Started'!$B$6+1,'8. Year 2 Amounts'!M30,IF(C14='2. Getting Started'!$B$6,'5. Year 1 Amounts'!M30,'2. Getting Started'!$C11)))))))))</f>
        <v/>
      </c>
      <c r="D15" s="17" t="str">
        <f>IF(D14="","",IF(D14='2. Getting Started'!B6+7,'26. Year 8 Amounts'!K31,IF(D14='2. Getting Started'!B6+6,'23. Year 7 Amounts'!K31,IF(D14='2. Getting Started'!B6+5,'20. Year 6 Amounts'!K31,IF(D14='2. Getting Started'!B6+4,'17. Year 5 Amounts'!K31,IF(D14='2. Getting Started'!$B$6+3,'14. Year 4 Amounts'!K31,IF(D14='2. Getting Started'!$B$6+2,'11. Year 3 Amounts'!K31,IF(D14='2. Getting Started'!$B$6+1,'8. Year 2 Amounts'!K31,IF(D14='2. Getting Started'!$B$6,'5. Year 1 Amounts'!K31,'2. Getting Started'!$C12)))))))))</f>
        <v/>
      </c>
      <c r="E15" s="258" t="str">
        <f>IF(E14="","",IF(E14='2. Getting Started'!B6+7,'26. Year 8 Amounts'!M31,IF(E14='2. Getting Started'!B6+6,'23. Year 7 Amounts'!M31,IF(E14='2. Getting Started'!B6+5,'20. Year 6 Amounts'!M31,IF(E14='2. Getting Started'!B6+4,'17. Year 5 Amounts'!M31,IF(E14='2. Getting Started'!$B$6+3,'14. Year 4 Amounts'!M31,IF(E14='2. Getting Started'!$B$6+2,'11. Year 3 Amounts'!M31,IF(E14='2. Getting Started'!$B$6+1,'8. Year 2 Amounts'!M31,IF(E14='2. Getting Started'!$B$6,'5. Year 1 Amounts'!M31,'2. Getting Started'!$C13)))))))))</f>
        <v/>
      </c>
    </row>
    <row r="16" spans="1:5" x14ac:dyDescent="0.75">
      <c r="A16" s="243" t="s">
        <v>11</v>
      </c>
      <c r="B16" s="17" t="str">
        <f>'29. Year 9 Amounts'!K30</f>
        <v/>
      </c>
      <c r="C16" s="17" t="str">
        <f>'29. Year 9 Amounts'!M30</f>
        <v/>
      </c>
      <c r="D16" s="17" t="str">
        <f>'29. Year 9 Amounts'!K31</f>
        <v/>
      </c>
      <c r="E16" s="258" t="str">
        <f>'29. Year 9 Amounts'!M31</f>
        <v/>
      </c>
    </row>
    <row r="17" spans="1:5" x14ac:dyDescent="0.75">
      <c r="A17" s="243" t="s">
        <v>117</v>
      </c>
      <c r="B17" s="200" t="str">
        <f>IF(B16="","",IF(B16&gt;=B15,"Met",IF(AND(B16&lt;B15,'38. Total Local Funds'!F78="Met"),"Met with Exceptions &amp; Adjustments","Did Not Meet")))</f>
        <v/>
      </c>
      <c r="C17" s="200" t="str">
        <f>IF(C16="","",IF(C16&gt;=C15,"Met",IF(AND(C16&lt;C15,'39. Total State &amp; Local Funds'!F78="Met"),"Met with Exceptions &amp; Adjustments","Did Not Meet")))</f>
        <v/>
      </c>
      <c r="D17" s="200" t="str">
        <f>IF(D16="","",IF(D16&gt;=D15,"Met",IF(AND(D16&lt;D15,'40. Local Funds Per Capita'!F79="Met"),"Met with Exceptions &amp; Adjustments","Did Not Meet")))</f>
        <v/>
      </c>
      <c r="E17" s="259" t="str">
        <f>IF(E16="","",IF(E16&gt;=E15,"Met",IF(AND(E16&lt;E15,'41. State &amp; Local Funds Per Cap'!F79="Met"),"Met with Exceptions &amp; Adjustments","Did Not Meet")))</f>
        <v/>
      </c>
    </row>
    <row r="18" spans="1:5" x14ac:dyDescent="0.75">
      <c r="A18" s="246" t="s">
        <v>46</v>
      </c>
      <c r="B18" s="256" t="str">
        <f>IF(B17="","",IF(B17="Did Not Meet",'38. Total Local Funds'!F76-'38. Total Local Funds'!F77,0))</f>
        <v/>
      </c>
      <c r="C18" s="256" t="str">
        <f>IF(C17="","",IF(C17="Did Not Meet",'39. Total State &amp; Local Funds'!F76-'39. Total State &amp; Local Funds'!F77,0))</f>
        <v/>
      </c>
      <c r="D18" s="256" t="str">
        <f>IF(D17="","",IF(D17="Did Not Meet",(('40. Local Funds Per Capita'!F77-'40. Local Funds Per Capita'!F78)*'29. Year 9 Amounts'!I1),0))</f>
        <v/>
      </c>
      <c r="E18" s="261" t="str">
        <f>IF(E17="","",IF(E17="Did Not Meet",(('41. State &amp; Local Funds Per Cap'!F77-'41. State &amp; Local Funds Per Cap'!F78)*'29. Year 9 Amounts'!I1),0))</f>
        <v/>
      </c>
    </row>
    <row r="19" spans="1:5" x14ac:dyDescent="0.75">
      <c r="A19" s="373" t="s">
        <v>175</v>
      </c>
      <c r="B19" s="373"/>
      <c r="C19" s="373"/>
      <c r="D19" s="373"/>
      <c r="E19" s="373"/>
    </row>
    <row r="20" spans="1:5" ht="16" x14ac:dyDescent="0.8">
      <c r="A20" s="198"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9"/>
    </row>
    <row r="21" spans="1:5" x14ac:dyDescent="0.75">
      <c r="A21" s="260" t="s">
        <v>126</v>
      </c>
      <c r="B21" s="271" t="s">
        <v>135</v>
      </c>
    </row>
    <row r="22" spans="1:5" x14ac:dyDescent="0.75">
      <c r="A22" s="243" t="s">
        <v>110</v>
      </c>
      <c r="B22" s="272"/>
    </row>
    <row r="23" spans="1:5" x14ac:dyDescent="0.75">
      <c r="A23" s="243" t="s">
        <v>111</v>
      </c>
      <c r="B23" s="272"/>
    </row>
    <row r="24" spans="1:5" x14ac:dyDescent="0.75">
      <c r="A24" s="243" t="s">
        <v>112</v>
      </c>
      <c r="B24" s="258">
        <f>B22+B23</f>
        <v>0</v>
      </c>
    </row>
    <row r="25" spans="1:5" x14ac:dyDescent="0.75">
      <c r="A25" s="243" t="s">
        <v>113</v>
      </c>
      <c r="B25" s="258">
        <f>MIN(B24,B18,C18,D18,E18)</f>
        <v>0</v>
      </c>
    </row>
    <row r="26" spans="1:5" x14ac:dyDescent="0.75">
      <c r="A26" s="243" t="s">
        <v>114</v>
      </c>
      <c r="B26" s="263"/>
    </row>
    <row r="27" spans="1:5" x14ac:dyDescent="0.75">
      <c r="A27" s="246" t="s">
        <v>115</v>
      </c>
      <c r="B27" s="264"/>
    </row>
    <row r="28" spans="1:5" x14ac:dyDescent="0.75">
      <c r="A28" s="373" t="s">
        <v>175</v>
      </c>
      <c r="B28" s="373"/>
      <c r="C28" s="373"/>
      <c r="D28" s="373"/>
      <c r="E28" s="373"/>
    </row>
    <row r="29" spans="1:5" ht="16" x14ac:dyDescent="0.8">
      <c r="A29" s="322" t="s">
        <v>149</v>
      </c>
    </row>
    <row r="30" spans="1:5" x14ac:dyDescent="0.75">
      <c r="A30" s="373" t="s">
        <v>175</v>
      </c>
      <c r="B30" s="373"/>
      <c r="C30" s="373"/>
      <c r="D30" s="373"/>
      <c r="E30" s="373"/>
    </row>
    <row r="31" spans="1:5" x14ac:dyDescent="0.75">
      <c r="A31" s="2" t="str">
        <f>CONCATENATE("Exceptions and Adjustment Claimed for State Fiscal Year ",'2. Getting Started'!B6+8)</f>
        <v>Exceptions and Adjustment Claimed for State Fiscal Year 2032</v>
      </c>
    </row>
    <row r="32" spans="1:5" x14ac:dyDescent="0.75">
      <c r="A32" s="2"/>
      <c r="B32" s="323" t="s">
        <v>148</v>
      </c>
      <c r="C32" s="4"/>
      <c r="D32" s="323" t="s">
        <v>152</v>
      </c>
      <c r="E32" s="4"/>
    </row>
    <row r="33" spans="1:5" x14ac:dyDescent="0.75">
      <c r="A33" s="217" t="s">
        <v>151</v>
      </c>
      <c r="B33" s="324" t="s">
        <v>155</v>
      </c>
      <c r="C33" s="325" t="s">
        <v>156</v>
      </c>
      <c r="D33" s="326" t="s">
        <v>153</v>
      </c>
      <c r="E33" s="325" t="s">
        <v>154</v>
      </c>
    </row>
    <row r="34" spans="1:5" x14ac:dyDescent="0.75">
      <c r="A34" s="223" t="s">
        <v>140</v>
      </c>
      <c r="B34" s="17">
        <f>'30. Year 9 Exc &amp; Adj'!F22</f>
        <v>0</v>
      </c>
      <c r="C34" s="258">
        <f>'30. Year 9 Exc &amp; Adj'!F22</f>
        <v>0</v>
      </c>
      <c r="D34" s="327">
        <f>'30. Year 9 Exc &amp; Adj'!M22</f>
        <v>0</v>
      </c>
      <c r="E34" s="17">
        <f>'30. Year 9 Exc &amp; Adj'!M22</f>
        <v>0</v>
      </c>
    </row>
    <row r="35" spans="1:5" x14ac:dyDescent="0.75">
      <c r="A35" s="223" t="s">
        <v>141</v>
      </c>
      <c r="B35" s="17" t="str">
        <f>'30. Year 9 Exc &amp; Adj'!B32</f>
        <v/>
      </c>
      <c r="C35" s="258" t="str">
        <f>'30. Year 9 Exc &amp; Adj'!C32</f>
        <v/>
      </c>
      <c r="D35" s="327" t="str">
        <f>'30. Year 9 Exc &amp; Adj'!I32</f>
        <v/>
      </c>
      <c r="E35" s="258" t="str">
        <f>'30. Year 9 Exc &amp; Adj'!J32</f>
        <v/>
      </c>
    </row>
    <row r="36" spans="1:5" x14ac:dyDescent="0.75">
      <c r="A36" s="223" t="s">
        <v>142</v>
      </c>
      <c r="B36" s="17">
        <f>'30. Year 9 Exc &amp; Adj'!C43</f>
        <v>0</v>
      </c>
      <c r="C36" s="258">
        <f>'30. Year 9 Exc &amp; Adj'!C43</f>
        <v>0</v>
      </c>
      <c r="D36" s="327">
        <f>'30. Year 9 Exc &amp; Adj'!J43</f>
        <v>0</v>
      </c>
      <c r="E36" s="17">
        <f>'30. Year 9 Exc &amp; Adj'!J43</f>
        <v>0</v>
      </c>
    </row>
    <row r="37" spans="1:5" x14ac:dyDescent="0.75">
      <c r="A37" s="223" t="s">
        <v>143</v>
      </c>
      <c r="B37" s="17">
        <f>'30. Year 9 Exc &amp; Adj'!B53</f>
        <v>0</v>
      </c>
      <c r="C37" s="258">
        <f>'30. Year 9 Exc &amp; Adj'!B53</f>
        <v>0</v>
      </c>
      <c r="D37" s="327">
        <f>'30. Year 9 Exc &amp; Adj'!I53</f>
        <v>0</v>
      </c>
      <c r="E37" s="17">
        <f>'30. Year 9 Exc &amp; Adj'!I53</f>
        <v>0</v>
      </c>
    </row>
    <row r="38" spans="1:5" x14ac:dyDescent="0.75">
      <c r="A38" s="223" t="str">
        <f>IF('3b. High Cost Fund'!$B11="No","This exception is not valid for your state.","Exception (e)")</f>
        <v>This exception is not valid for your state.</v>
      </c>
      <c r="B38" s="332" t="str">
        <f>IF('3b. High Cost Fund'!$B11="No","",'30. Year 9 Exc &amp; Adj'!B63)</f>
        <v/>
      </c>
      <c r="C38" s="333" t="str">
        <f>IF('3b. High Cost Fund'!$B11="No","",'30. Year 9 Exc &amp; Adj'!B63)</f>
        <v/>
      </c>
      <c r="D38" s="327" t="str">
        <f>IF('3b. High Cost Fund'!$B11="No","",'30. Year 9 Exc &amp; Adj'!I63)</f>
        <v/>
      </c>
      <c r="E38" s="332" t="str">
        <f>IF('3b. High Cost Fund'!$B11="No","",'30. Year 9 Exc &amp; Adj'!I63)</f>
        <v/>
      </c>
    </row>
    <row r="39" spans="1:5" x14ac:dyDescent="0.75">
      <c r="A39" s="223" t="s">
        <v>144</v>
      </c>
      <c r="B39" s="17">
        <f>AdjDataYear9Budget[Projected Adjustment]</f>
        <v>0</v>
      </c>
      <c r="C39" s="17">
        <f>AdjDataYear9Budget[Projected Adjustment]</f>
        <v>0</v>
      </c>
      <c r="D39" s="328">
        <f>AdjDataYear9Expenditures[[Adjustment ]]</f>
        <v>0</v>
      </c>
      <c r="E39" s="17">
        <f>AdjDataYear9Expenditures[[Adjustment ]]</f>
        <v>0</v>
      </c>
    </row>
    <row r="40" spans="1:5" x14ac:dyDescent="0.75">
      <c r="A40" s="246" t="s">
        <v>124</v>
      </c>
      <c r="B40" s="329">
        <f>SUM(B34:B39)</f>
        <v>0</v>
      </c>
      <c r="C40" s="330">
        <f>SUM(C34:C39)</f>
        <v>0</v>
      </c>
      <c r="D40" s="331">
        <f>SUM(D34:D39)</f>
        <v>0</v>
      </c>
      <c r="E40" s="330">
        <f>SUM(E34:E39)</f>
        <v>0</v>
      </c>
    </row>
    <row r="41" spans="1:5" ht="25.5" customHeight="1" x14ac:dyDescent="0.75">
      <c r="A41" s="345" t="s">
        <v>183</v>
      </c>
      <c r="B41" s="346"/>
      <c r="C41" s="346"/>
      <c r="D41" s="346"/>
      <c r="E41" s="346"/>
    </row>
    <row r="42" spans="1:5" ht="16" x14ac:dyDescent="0.8">
      <c r="A42" s="358" t="s">
        <v>182</v>
      </c>
    </row>
    <row r="43" spans="1:5" x14ac:dyDescent="0.75">
      <c r="A43" s="373" t="s">
        <v>24</v>
      </c>
      <c r="B43" s="373"/>
      <c r="C43" s="373"/>
      <c r="D43" s="373"/>
      <c r="E43" s="373"/>
    </row>
  </sheetData>
  <sheetProtection algorithmName="SHA-512" hashValue="z5a5igWTFSQgKdmjJ21xzb8VVnALHZrSFNzvb+c9PvvjTWKDExiStv+IFw60sXhs0FjflBpSjuzWxT6rX6wWKg==" saltValue="Uw46xKw0G+7UFsfUKLoeFw==" spinCount="100000" sheet="1" objects="1" scenarios="1" formatColumns="0" formatRows="0"/>
  <mergeCells count="5">
    <mergeCell ref="A11:E11"/>
    <mergeCell ref="A19:E19"/>
    <mergeCell ref="A28:E28"/>
    <mergeCell ref="A30:E30"/>
    <mergeCell ref="A43:E43"/>
  </mergeCells>
  <conditionalFormatting sqref="B9:E9">
    <cfRule type="containsText" dxfId="172" priority="3" operator="containsText" text="Did Not Meet">
      <formula>NOT(ISERROR(SEARCH("Did Not Meet",B9)))</formula>
    </cfRule>
    <cfRule type="containsText" dxfId="171" priority="4" operator="containsText" text="Met">
      <formula>NOT(ISERROR(SEARCH("Met",B9)))</formula>
    </cfRule>
  </conditionalFormatting>
  <conditionalFormatting sqref="B17:E17">
    <cfRule type="containsText" dxfId="170" priority="1" operator="containsText" text="Did Not Meet">
      <formula>NOT(ISERROR(SEARCH("Did Not Meet",B17)))</formula>
    </cfRule>
    <cfRule type="containsText" dxfId="169" priority="2" operator="containsText" text="Met">
      <formula>NOT(ISERROR(SEARCH("Met",B17)))</formula>
    </cfRule>
  </conditionalFormatting>
  <hyperlinks>
    <hyperlink ref="A29" location="'4. Multi-Year MOE Summary'!A12" display="Go to the Multi-Year MOE Summary" xr:uid="{00000000-0004-0000-1F00-000000000000}"/>
    <hyperlink ref="A42" r:id="rId1" xr:uid="{9578C2A2-9C15-4A9B-84D3-C1589729D892}"/>
  </hyperlinks>
  <pageMargins left="0.7" right="0.7" top="0.75" bottom="0.75" header="0.3" footer="0.3"/>
  <pageSetup orientation="landscape" verticalDpi="300" r:id="rId2"/>
  <tableParts count="4">
    <tablePart r:id="rId3"/>
    <tablePart r:id="rId4"/>
    <tablePart r:id="rId5"/>
    <tablePart r:id="rId6"/>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FF0000"/>
    <pageSetUpPr autoPageBreaks="0"/>
  </sheetPr>
  <dimension ref="A1:N35"/>
  <sheetViews>
    <sheetView showGridLines="0" workbookViewId="0">
      <pane ySplit="4" topLeftCell="A5" activePane="bottomLeft" state="frozen"/>
      <selection activeCell="A5" sqref="A5"/>
      <selection pane="bottomLeft" activeCell="A5" sqref="A5"/>
    </sheetView>
  </sheetViews>
  <sheetFormatPr defaultColWidth="0" defaultRowHeight="0" customHeight="1" zeroHeight="1" x14ac:dyDescent="0.75"/>
  <cols>
    <col min="1" max="1" width="39.40625" style="20" bestFit="1" customWidth="1"/>
    <col min="2" max="3" width="12.86328125" style="20" customWidth="1"/>
    <col min="4" max="6" width="23.7265625" style="20" customWidth="1"/>
    <col min="7" max="7" width="5.40625" style="20" customWidth="1"/>
    <col min="8" max="8" width="39.40625" style="20" customWidth="1"/>
    <col min="9" max="10" width="12.86328125" style="20" customWidth="1"/>
    <col min="11" max="13" width="23.7265625" style="20" customWidth="1"/>
    <col min="14" max="14" width="0.86328125" style="20" customWidth="1"/>
    <col min="15" max="16384" width="10.54296875" style="20" hidden="1"/>
  </cols>
  <sheetData>
    <row r="1" spans="1:13" ht="16.75" thickBot="1" x14ac:dyDescent="0.9">
      <c r="A1" s="19" t="s">
        <v>48</v>
      </c>
      <c r="B1" s="48"/>
      <c r="D1" s="21" t="s">
        <v>14</v>
      </c>
      <c r="E1" s="20" t="str">
        <f>IF('2. Getting Started'!B2="","",'2. Getting Started'!B2)</f>
        <v/>
      </c>
      <c r="G1" s="376" t="s">
        <v>22</v>
      </c>
      <c r="H1" s="19" t="s">
        <v>49</v>
      </c>
      <c r="I1" s="48"/>
      <c r="K1" s="21" t="s">
        <v>14</v>
      </c>
      <c r="L1" s="20" t="str">
        <f>IF('2. Getting Started'!B2="","",'2. Getting Started'!B2)</f>
        <v/>
      </c>
    </row>
    <row r="2" spans="1:13" s="25" customFormat="1" ht="37.9" customHeight="1" thickBot="1" x14ac:dyDescent="0.9">
      <c r="A2" s="22" t="str">
        <f>CONCATENATE("Eligibility Standard - State Fiscal Year ",'2. Getting Started'!B6+9," -  LEA Effort - Budgeted Amounts")</f>
        <v>Eligibility Standard - State Fiscal Year 2033 -  LEA Effort - Budgeted Amounts</v>
      </c>
      <c r="B2" s="23"/>
      <c r="C2" s="23"/>
      <c r="D2" s="23"/>
      <c r="E2" s="23"/>
      <c r="F2" s="24"/>
      <c r="G2" s="376"/>
      <c r="H2" s="22" t="str">
        <f>CONCATENATE("Compliance Standard - State Fiscal Year ",'2. Getting Started'!B6+9," - LEA Effort - Final Expenditures")</f>
        <v>Compliance Standard - State Fiscal Year 2033 - LEA Effort - Final Expenditures</v>
      </c>
      <c r="I2" s="23"/>
      <c r="J2" s="23"/>
      <c r="K2" s="23"/>
      <c r="L2" s="23"/>
      <c r="M2" s="24"/>
    </row>
    <row r="3" spans="1:13" s="25" customFormat="1" ht="24" customHeight="1" x14ac:dyDescent="0.75">
      <c r="A3" s="26"/>
      <c r="B3" s="27"/>
      <c r="D3" s="28" t="str">
        <f>CONCATENATE("SFY ",'2. Getting Started'!$B6+9," Budget")</f>
        <v>SFY 2033 Budget</v>
      </c>
      <c r="E3" s="29"/>
      <c r="F3" s="30"/>
      <c r="G3" s="376"/>
      <c r="H3" s="26"/>
      <c r="I3" s="27"/>
      <c r="J3" s="31"/>
      <c r="K3" s="28" t="str">
        <f>CONCATENATE("SFY ",'2. Getting Started'!$B6+9," Final Expenditures")</f>
        <v>SFY 2033 Final Expenditures</v>
      </c>
      <c r="L3" s="29"/>
      <c r="M3" s="32"/>
    </row>
    <row r="4" spans="1:13" s="37" customFormat="1" ht="18.5" x14ac:dyDescent="0.9">
      <c r="A4" s="33" t="s">
        <v>50</v>
      </c>
      <c r="B4" s="34" t="s">
        <v>51</v>
      </c>
      <c r="C4" s="35" t="s">
        <v>52</v>
      </c>
      <c r="D4" s="36" t="s">
        <v>53</v>
      </c>
      <c r="E4" s="36" t="s">
        <v>54</v>
      </c>
      <c r="F4" s="36" t="s">
        <v>8</v>
      </c>
      <c r="G4" s="376"/>
      <c r="H4" s="33" t="s">
        <v>50</v>
      </c>
      <c r="I4" s="34" t="s">
        <v>55</v>
      </c>
      <c r="J4" s="35" t="s">
        <v>52</v>
      </c>
      <c r="K4" s="36" t="s">
        <v>53</v>
      </c>
      <c r="L4" s="36" t="s">
        <v>54</v>
      </c>
      <c r="M4" s="36" t="s">
        <v>8</v>
      </c>
    </row>
    <row r="5" spans="1:13" ht="16" x14ac:dyDescent="0.75">
      <c r="A5" s="49"/>
      <c r="B5" s="50"/>
      <c r="C5" s="51"/>
      <c r="D5" s="52"/>
      <c r="E5" s="52"/>
      <c r="F5" s="38" t="str">
        <f>IF(AND(D5="",E5=""),"",SUM(D5:E5))</f>
        <v/>
      </c>
      <c r="G5" s="376"/>
      <c r="H5" s="49"/>
      <c r="I5" s="50"/>
      <c r="J5" s="51"/>
      <c r="K5" s="52"/>
      <c r="L5" s="52"/>
      <c r="M5" s="38" t="str">
        <f>IF(AND(K5="",L5=""),"",SUM(K5:L5))</f>
        <v/>
      </c>
    </row>
    <row r="6" spans="1:13" ht="16" x14ac:dyDescent="0.75">
      <c r="A6" s="49"/>
      <c r="B6" s="50"/>
      <c r="C6" s="51"/>
      <c r="D6" s="52"/>
      <c r="E6" s="52"/>
      <c r="F6" s="38" t="str">
        <f t="shared" ref="F6:F29" si="0">IF(AND(D6="",E6=""),"",SUM(D6:E6))</f>
        <v/>
      </c>
      <c r="G6" s="376"/>
      <c r="H6" s="49"/>
      <c r="I6" s="50"/>
      <c r="J6" s="51"/>
      <c r="K6" s="52"/>
      <c r="L6" s="52"/>
      <c r="M6" s="38" t="str">
        <f t="shared" ref="M6:M29" si="1">IF(AND(K6="",L6=""),"",SUM(K6:L6))</f>
        <v/>
      </c>
    </row>
    <row r="7" spans="1:13" ht="16" x14ac:dyDescent="0.75">
      <c r="A7" s="49"/>
      <c r="B7" s="50"/>
      <c r="C7" s="51"/>
      <c r="D7" s="52"/>
      <c r="E7" s="52"/>
      <c r="F7" s="38" t="str">
        <f t="shared" si="0"/>
        <v/>
      </c>
      <c r="G7" s="376"/>
      <c r="H7" s="49"/>
      <c r="I7" s="50"/>
      <c r="J7" s="51"/>
      <c r="K7" s="52"/>
      <c r="L7" s="52"/>
      <c r="M7" s="38" t="str">
        <f t="shared" si="1"/>
        <v/>
      </c>
    </row>
    <row r="8" spans="1:13" ht="16" x14ac:dyDescent="0.75">
      <c r="A8" s="49"/>
      <c r="B8" s="50"/>
      <c r="C8" s="51"/>
      <c r="D8" s="52"/>
      <c r="E8" s="52"/>
      <c r="F8" s="38" t="str">
        <f t="shared" si="0"/>
        <v/>
      </c>
      <c r="G8" s="376"/>
      <c r="H8" s="49"/>
      <c r="I8" s="50"/>
      <c r="J8" s="51"/>
      <c r="K8" s="52"/>
      <c r="L8" s="52"/>
      <c r="M8" s="38" t="str">
        <f t="shared" si="1"/>
        <v/>
      </c>
    </row>
    <row r="9" spans="1:13" ht="16" x14ac:dyDescent="0.75">
      <c r="A9" s="49"/>
      <c r="B9" s="50"/>
      <c r="C9" s="51"/>
      <c r="D9" s="52"/>
      <c r="E9" s="52"/>
      <c r="F9" s="38" t="str">
        <f t="shared" si="0"/>
        <v/>
      </c>
      <c r="G9" s="376"/>
      <c r="H9" s="49"/>
      <c r="I9" s="50"/>
      <c r="J9" s="51"/>
      <c r="K9" s="52"/>
      <c r="L9" s="52"/>
      <c r="M9" s="38" t="str">
        <f t="shared" si="1"/>
        <v/>
      </c>
    </row>
    <row r="10" spans="1:13" ht="16" x14ac:dyDescent="0.75">
      <c r="A10" s="49"/>
      <c r="B10" s="50"/>
      <c r="C10" s="51"/>
      <c r="D10" s="52"/>
      <c r="E10" s="52"/>
      <c r="F10" s="38" t="str">
        <f t="shared" si="0"/>
        <v/>
      </c>
      <c r="G10" s="376"/>
      <c r="H10" s="49"/>
      <c r="I10" s="50"/>
      <c r="J10" s="51"/>
      <c r="K10" s="52"/>
      <c r="L10" s="52"/>
      <c r="M10" s="38" t="str">
        <f t="shared" si="1"/>
        <v/>
      </c>
    </row>
    <row r="11" spans="1:13" ht="16" x14ac:dyDescent="0.75">
      <c r="A11" s="49"/>
      <c r="B11" s="50"/>
      <c r="C11" s="51"/>
      <c r="D11" s="52"/>
      <c r="E11" s="52"/>
      <c r="F11" s="38" t="str">
        <f t="shared" si="0"/>
        <v/>
      </c>
      <c r="G11" s="376"/>
      <c r="H11" s="49"/>
      <c r="I11" s="50"/>
      <c r="J11" s="51"/>
      <c r="K11" s="52"/>
      <c r="L11" s="52"/>
      <c r="M11" s="38" t="str">
        <f t="shared" si="1"/>
        <v/>
      </c>
    </row>
    <row r="12" spans="1:13" ht="16" x14ac:dyDescent="0.75">
      <c r="A12" s="49"/>
      <c r="B12" s="50"/>
      <c r="C12" s="51"/>
      <c r="D12" s="52"/>
      <c r="E12" s="52"/>
      <c r="F12" s="38" t="str">
        <f t="shared" si="0"/>
        <v/>
      </c>
      <c r="G12" s="376"/>
      <c r="H12" s="49"/>
      <c r="I12" s="50"/>
      <c r="J12" s="51"/>
      <c r="K12" s="52"/>
      <c r="L12" s="52"/>
      <c r="M12" s="38" t="str">
        <f t="shared" si="1"/>
        <v/>
      </c>
    </row>
    <row r="13" spans="1:13" ht="16" x14ac:dyDescent="0.75">
      <c r="A13" s="49"/>
      <c r="B13" s="50"/>
      <c r="C13" s="51"/>
      <c r="D13" s="52"/>
      <c r="E13" s="52"/>
      <c r="F13" s="38" t="str">
        <f t="shared" si="0"/>
        <v/>
      </c>
      <c r="G13" s="376"/>
      <c r="H13" s="49"/>
      <c r="I13" s="50"/>
      <c r="J13" s="51"/>
      <c r="K13" s="52"/>
      <c r="L13" s="52"/>
      <c r="M13" s="38" t="str">
        <f t="shared" si="1"/>
        <v/>
      </c>
    </row>
    <row r="14" spans="1:13" ht="16" x14ac:dyDescent="0.75">
      <c r="A14" s="49"/>
      <c r="B14" s="50"/>
      <c r="C14" s="51"/>
      <c r="D14" s="52"/>
      <c r="E14" s="52"/>
      <c r="F14" s="38" t="str">
        <f t="shared" si="0"/>
        <v/>
      </c>
      <c r="G14" s="376"/>
      <c r="H14" s="49"/>
      <c r="I14" s="50"/>
      <c r="J14" s="51"/>
      <c r="K14" s="52"/>
      <c r="L14" s="52"/>
      <c r="M14" s="38" t="str">
        <f t="shared" si="1"/>
        <v/>
      </c>
    </row>
    <row r="15" spans="1:13" ht="16" x14ac:dyDescent="0.75">
      <c r="A15" s="49"/>
      <c r="B15" s="50"/>
      <c r="C15" s="51"/>
      <c r="D15" s="52"/>
      <c r="E15" s="52"/>
      <c r="F15" s="38" t="str">
        <f t="shared" si="0"/>
        <v/>
      </c>
      <c r="G15" s="376"/>
      <c r="H15" s="49"/>
      <c r="I15" s="50"/>
      <c r="J15" s="51"/>
      <c r="K15" s="52"/>
      <c r="L15" s="52"/>
      <c r="M15" s="38" t="str">
        <f t="shared" si="1"/>
        <v/>
      </c>
    </row>
    <row r="16" spans="1:13" ht="16" x14ac:dyDescent="0.75">
      <c r="A16" s="49"/>
      <c r="B16" s="50"/>
      <c r="C16" s="51"/>
      <c r="D16" s="52"/>
      <c r="E16" s="52"/>
      <c r="F16" s="38" t="str">
        <f t="shared" si="0"/>
        <v/>
      </c>
      <c r="G16" s="376"/>
      <c r="H16" s="49"/>
      <c r="I16" s="50"/>
      <c r="J16" s="51"/>
      <c r="K16" s="52"/>
      <c r="L16" s="52"/>
      <c r="M16" s="38" t="str">
        <f t="shared" si="1"/>
        <v/>
      </c>
    </row>
    <row r="17" spans="1:13" ht="16" x14ac:dyDescent="0.75">
      <c r="A17" s="49"/>
      <c r="B17" s="50"/>
      <c r="C17" s="51"/>
      <c r="D17" s="52"/>
      <c r="E17" s="52"/>
      <c r="F17" s="38" t="str">
        <f t="shared" si="0"/>
        <v/>
      </c>
      <c r="G17" s="376"/>
      <c r="H17" s="49"/>
      <c r="I17" s="50"/>
      <c r="J17" s="51"/>
      <c r="K17" s="52"/>
      <c r="L17" s="52"/>
      <c r="M17" s="38" t="str">
        <f t="shared" si="1"/>
        <v/>
      </c>
    </row>
    <row r="18" spans="1:13" ht="16" x14ac:dyDescent="0.75">
      <c r="A18" s="49"/>
      <c r="B18" s="50"/>
      <c r="C18" s="51"/>
      <c r="D18" s="52"/>
      <c r="E18" s="52"/>
      <c r="F18" s="38" t="str">
        <f t="shared" si="0"/>
        <v/>
      </c>
      <c r="G18" s="376"/>
      <c r="H18" s="49"/>
      <c r="I18" s="50"/>
      <c r="J18" s="51"/>
      <c r="K18" s="52"/>
      <c r="L18" s="52"/>
      <c r="M18" s="38" t="str">
        <f t="shared" si="1"/>
        <v/>
      </c>
    </row>
    <row r="19" spans="1:13" ht="16" x14ac:dyDescent="0.75">
      <c r="A19" s="49"/>
      <c r="B19" s="50"/>
      <c r="C19" s="51"/>
      <c r="D19" s="52"/>
      <c r="E19" s="52"/>
      <c r="F19" s="38" t="str">
        <f t="shared" si="0"/>
        <v/>
      </c>
      <c r="G19" s="376"/>
      <c r="H19" s="49"/>
      <c r="I19" s="50"/>
      <c r="J19" s="51"/>
      <c r="K19" s="52"/>
      <c r="L19" s="52"/>
      <c r="M19" s="38" t="str">
        <f t="shared" si="1"/>
        <v/>
      </c>
    </row>
    <row r="20" spans="1:13" ht="16" x14ac:dyDescent="0.75">
      <c r="A20" s="49"/>
      <c r="B20" s="50"/>
      <c r="C20" s="51"/>
      <c r="D20" s="52"/>
      <c r="E20" s="52"/>
      <c r="F20" s="38" t="str">
        <f t="shared" si="0"/>
        <v/>
      </c>
      <c r="G20" s="376"/>
      <c r="H20" s="49"/>
      <c r="I20" s="50"/>
      <c r="J20" s="51"/>
      <c r="K20" s="52"/>
      <c r="L20" s="52"/>
      <c r="M20" s="38" t="str">
        <f t="shared" si="1"/>
        <v/>
      </c>
    </row>
    <row r="21" spans="1:13" ht="16" x14ac:dyDescent="0.75">
      <c r="A21" s="49"/>
      <c r="B21" s="50"/>
      <c r="C21" s="51"/>
      <c r="D21" s="52"/>
      <c r="E21" s="52"/>
      <c r="F21" s="38" t="str">
        <f t="shared" si="0"/>
        <v/>
      </c>
      <c r="G21" s="376"/>
      <c r="H21" s="49"/>
      <c r="I21" s="50"/>
      <c r="J21" s="51"/>
      <c r="K21" s="52"/>
      <c r="L21" s="52"/>
      <c r="M21" s="38" t="str">
        <f t="shared" si="1"/>
        <v/>
      </c>
    </row>
    <row r="22" spans="1:13" ht="16" x14ac:dyDescent="0.75">
      <c r="A22" s="49"/>
      <c r="B22" s="50"/>
      <c r="C22" s="51"/>
      <c r="D22" s="52"/>
      <c r="E22" s="52"/>
      <c r="F22" s="38" t="str">
        <f t="shared" si="0"/>
        <v/>
      </c>
      <c r="G22" s="376"/>
      <c r="H22" s="49"/>
      <c r="I22" s="50"/>
      <c r="J22" s="51"/>
      <c r="K22" s="52"/>
      <c r="L22" s="52"/>
      <c r="M22" s="38" t="str">
        <f t="shared" si="1"/>
        <v/>
      </c>
    </row>
    <row r="23" spans="1:13" ht="16" x14ac:dyDescent="0.75">
      <c r="A23" s="49"/>
      <c r="B23" s="50"/>
      <c r="C23" s="51"/>
      <c r="D23" s="52"/>
      <c r="E23" s="52"/>
      <c r="F23" s="38" t="str">
        <f t="shared" si="0"/>
        <v/>
      </c>
      <c r="G23" s="376"/>
      <c r="H23" s="49"/>
      <c r="I23" s="50"/>
      <c r="J23" s="51"/>
      <c r="K23" s="52"/>
      <c r="L23" s="52"/>
      <c r="M23" s="38" t="str">
        <f t="shared" si="1"/>
        <v/>
      </c>
    </row>
    <row r="24" spans="1:13" ht="16" x14ac:dyDescent="0.75">
      <c r="A24" s="49"/>
      <c r="B24" s="50"/>
      <c r="C24" s="51"/>
      <c r="D24" s="52"/>
      <c r="E24" s="52"/>
      <c r="F24" s="38" t="str">
        <f t="shared" si="0"/>
        <v/>
      </c>
      <c r="G24" s="376"/>
      <c r="H24" s="49"/>
      <c r="I24" s="50"/>
      <c r="J24" s="51"/>
      <c r="K24" s="52"/>
      <c r="L24" s="52"/>
      <c r="M24" s="38" t="str">
        <f t="shared" si="1"/>
        <v/>
      </c>
    </row>
    <row r="25" spans="1:13" ht="16" x14ac:dyDescent="0.75">
      <c r="A25" s="49"/>
      <c r="B25" s="50"/>
      <c r="C25" s="51"/>
      <c r="D25" s="52"/>
      <c r="E25" s="52"/>
      <c r="F25" s="38" t="str">
        <f t="shared" si="0"/>
        <v/>
      </c>
      <c r="G25" s="376"/>
      <c r="H25" s="49"/>
      <c r="I25" s="50"/>
      <c r="J25" s="51"/>
      <c r="K25" s="52"/>
      <c r="L25" s="52"/>
      <c r="M25" s="38" t="str">
        <f t="shared" si="1"/>
        <v/>
      </c>
    </row>
    <row r="26" spans="1:13" ht="16" x14ac:dyDescent="0.75">
      <c r="A26" s="49"/>
      <c r="B26" s="50"/>
      <c r="C26" s="51"/>
      <c r="D26" s="52"/>
      <c r="E26" s="52"/>
      <c r="F26" s="38" t="str">
        <f t="shared" si="0"/>
        <v/>
      </c>
      <c r="G26" s="376"/>
      <c r="H26" s="49"/>
      <c r="I26" s="50"/>
      <c r="J26" s="51"/>
      <c r="K26" s="52"/>
      <c r="L26" s="52"/>
      <c r="M26" s="38" t="str">
        <f t="shared" si="1"/>
        <v/>
      </c>
    </row>
    <row r="27" spans="1:13" ht="16" x14ac:dyDescent="0.75">
      <c r="A27" s="49"/>
      <c r="B27" s="50"/>
      <c r="C27" s="51"/>
      <c r="D27" s="52"/>
      <c r="E27" s="52"/>
      <c r="F27" s="38" t="str">
        <f t="shared" si="0"/>
        <v/>
      </c>
      <c r="G27" s="376"/>
      <c r="H27" s="49"/>
      <c r="I27" s="50"/>
      <c r="J27" s="51"/>
      <c r="K27" s="52"/>
      <c r="L27" s="52"/>
      <c r="M27" s="38" t="str">
        <f t="shared" si="1"/>
        <v/>
      </c>
    </row>
    <row r="28" spans="1:13" ht="16" x14ac:dyDescent="0.75">
      <c r="A28" s="49"/>
      <c r="B28" s="50"/>
      <c r="C28" s="51"/>
      <c r="D28" s="52"/>
      <c r="E28" s="52"/>
      <c r="F28" s="38" t="str">
        <f t="shared" si="0"/>
        <v/>
      </c>
      <c r="G28" s="376"/>
      <c r="H28" s="49"/>
      <c r="I28" s="50"/>
      <c r="J28" s="51"/>
      <c r="K28" s="52"/>
      <c r="L28" s="52"/>
      <c r="M28" s="38" t="str">
        <f t="shared" si="1"/>
        <v/>
      </c>
    </row>
    <row r="29" spans="1:13" ht="16.75" thickBot="1" x14ac:dyDescent="0.9">
      <c r="A29" s="53"/>
      <c r="B29" s="54"/>
      <c r="C29" s="55"/>
      <c r="D29" s="56"/>
      <c r="E29" s="56"/>
      <c r="F29" s="38" t="str">
        <f t="shared" si="0"/>
        <v/>
      </c>
      <c r="G29" s="376"/>
      <c r="H29" s="53"/>
      <c r="I29" s="54"/>
      <c r="J29" s="55"/>
      <c r="K29" s="56"/>
      <c r="L29" s="56"/>
      <c r="M29" s="38" t="str">
        <f t="shared" si="1"/>
        <v/>
      </c>
    </row>
    <row r="30" spans="1:13" ht="19.25" thickBot="1" x14ac:dyDescent="0.9">
      <c r="A30" s="39"/>
      <c r="B30" s="40"/>
      <c r="C30" s="41" t="s">
        <v>56</v>
      </c>
      <c r="D30" s="42" t="str">
        <f>IF(AND(D5="",D6="",D7="",D8="",D9="",D10="",D11="",D12="",D13="",D14="",D15="",D16="",D17="",D18="",D19="",D20="",D21="",D22="",D23="",D24="",D25="",D26="",D27="",D28="",D29=""),"",SUM(D5:D29))</f>
        <v/>
      </c>
      <c r="E30" s="43"/>
      <c r="F30" s="42" t="str">
        <f>IF(AND(F5="",F6="",F7="",F8="",F9="",F10="",F11="",F12="",F13="",F14="",F15="",F16="",F17="",F18="",F19="",F20="",F21="",F22="",F23="",F24="",F25="",F26="",F27="",F28="",F29=""),"",SUM(F5:F29))</f>
        <v/>
      </c>
      <c r="G30" s="376"/>
      <c r="H30" s="39"/>
      <c r="I30" s="40"/>
      <c r="J30" s="41" t="s">
        <v>56</v>
      </c>
      <c r="K30" s="42" t="str">
        <f>IF(AND(K5="",K6="",K7="",K8="",K9="",K10="",K11="",K12="",K13="",K14="",K15="",K16="",K17="",K18="",K19="",K20="",K21="",K22="",K23="",K24="",K25="",K26="",K27="",K28="",K29=""),"",SUM(K5:K29))</f>
        <v/>
      </c>
      <c r="L30" s="43"/>
      <c r="M30" s="42" t="str">
        <f>IF(AND(M5="",M6="",M7="",M8="",M9="",M10="",M11="",M12="",M13="",M14="",M15="",M16="",M17="",M18="",M19="",M20="",M21="",M22="",M23="",M24="",M25="",M26="",M27="",M28="",M29=""),"",SUM(M5:M29))</f>
        <v/>
      </c>
    </row>
    <row r="31" spans="1:13" ht="19.25" thickBot="1" x14ac:dyDescent="0.9">
      <c r="A31" s="39"/>
      <c r="B31" s="39"/>
      <c r="C31" s="44" t="s">
        <v>57</v>
      </c>
      <c r="D31" s="42" t="str">
        <f>IF(OR($B1="",D30=""),"",(D30/$B1))</f>
        <v/>
      </c>
      <c r="E31" s="39"/>
      <c r="F31" s="42" t="str">
        <f>IF(OR($B1="",F30=""),"",(F30/$B1))</f>
        <v/>
      </c>
      <c r="G31" s="376"/>
      <c r="H31" s="39"/>
      <c r="I31" s="39"/>
      <c r="J31" s="44" t="s">
        <v>57</v>
      </c>
      <c r="K31" s="42" t="str">
        <f>IF(OR($I1="",K30=""),"",(K30/$I1))</f>
        <v/>
      </c>
      <c r="L31" s="39"/>
      <c r="M31" s="42" t="str">
        <f>IF(OR($I1="",M30=""),"",(M30/$I1))</f>
        <v/>
      </c>
    </row>
    <row r="32" spans="1:13" s="25" customFormat="1" ht="18.5" x14ac:dyDescent="0.65">
      <c r="A32" s="345" t="s">
        <v>183</v>
      </c>
      <c r="B32" s="45"/>
      <c r="C32" s="45"/>
      <c r="D32" s="45"/>
      <c r="E32" s="45"/>
      <c r="F32" s="45"/>
      <c r="G32" s="45"/>
      <c r="H32" s="45"/>
      <c r="I32" s="45"/>
      <c r="J32" s="45"/>
      <c r="K32" s="45"/>
      <c r="L32" s="45"/>
      <c r="M32" s="45"/>
    </row>
    <row r="33" spans="1:13" s="47" customFormat="1" ht="16" x14ac:dyDescent="0.8">
      <c r="A33" s="358" t="s">
        <v>182</v>
      </c>
      <c r="B33" s="46"/>
      <c r="C33" s="46"/>
      <c r="D33" s="46"/>
      <c r="E33" s="46"/>
      <c r="F33" s="46"/>
      <c r="G33" s="46"/>
      <c r="H33" s="46"/>
      <c r="I33" s="46"/>
      <c r="J33" s="46"/>
      <c r="K33" s="46"/>
      <c r="L33" s="46"/>
      <c r="M33" s="46"/>
    </row>
    <row r="34" spans="1:13" s="25" customFormat="1" ht="18.5" x14ac:dyDescent="0.75">
      <c r="A34" s="377" t="s">
        <v>24</v>
      </c>
      <c r="B34" s="377"/>
      <c r="C34" s="377"/>
      <c r="D34" s="377"/>
      <c r="E34" s="377"/>
      <c r="F34" s="377"/>
      <c r="G34" s="377"/>
      <c r="H34" s="377"/>
      <c r="I34" s="377"/>
      <c r="J34" s="377"/>
      <c r="K34" s="377"/>
      <c r="L34" s="377"/>
      <c r="M34" s="377"/>
    </row>
    <row r="35" spans="1:13" ht="16" hidden="1" x14ac:dyDescent="0.75"/>
  </sheetData>
  <sheetProtection algorithmName="SHA-512" hashValue="ZcdY1FFjALeFc5XvgjWLp4sKWekpkdKMvDvhFlCF3yv6+nzqkCH7VxqhIRBvZjLQShf0ikYbCoXtuVR4zUogCA==" saltValue="t1DkGzaxxLzoyiSscANkaw=="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2000-000000000000}"/>
    <dataValidation allowBlank="1" showInputMessage="1" showErrorMessage="1" prompt="Don't forget to enter Child Count in Cell I1." sqref="H5" xr:uid="{00000000-0002-0000-2000-000001000000}"/>
  </dataValidations>
  <hyperlinks>
    <hyperlink ref="A33" r:id="rId1" xr:uid="{B5A3BC71-E90C-412E-88D5-4BD2DD5BD535}"/>
  </hyperlinks>
  <pageMargins left="0.75" right="0.75" top="1" bottom="1" header="0.5" footer="0.5"/>
  <pageSetup orientation="portrait" horizontalDpi="4294967292" verticalDpi="4294967292" r:id="rId2"/>
  <tableParts count="2">
    <tablePart r:id="rId3"/>
    <tablePart r:id="rId4"/>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theme="5"/>
    <pageSetUpPr autoPageBreaks="0"/>
  </sheetPr>
  <dimension ref="A1:AB79"/>
  <sheetViews>
    <sheetView showGridLines="0" zoomScale="90" zoomScaleNormal="90" zoomScalePageLayoutView="90" workbookViewId="0">
      <pane ySplit="3" topLeftCell="A4" activePane="bottomLeft" state="frozen"/>
      <selection activeCell="A5" sqref="A5"/>
      <selection pane="bottomLeft" activeCell="H2" activeCellId="1" sqref="A2 H2"/>
    </sheetView>
  </sheetViews>
  <sheetFormatPr defaultColWidth="0" defaultRowHeight="15.65" customHeight="1" zeroHeight="1" x14ac:dyDescent="0.8"/>
  <cols>
    <col min="1" max="1" width="40.26953125" style="57" customWidth="1"/>
    <col min="2" max="2" width="32.86328125" style="57" bestFit="1" customWidth="1"/>
    <col min="3" max="3" width="28" style="57" customWidth="1"/>
    <col min="4" max="5" width="28.26953125" style="57" customWidth="1"/>
    <col min="6" max="6" width="34" style="57" bestFit="1" customWidth="1"/>
    <col min="7" max="7" width="28.26953125" style="57" customWidth="1"/>
    <col min="8" max="8" width="40.26953125" style="57" customWidth="1"/>
    <col min="9" max="9" width="32.86328125" style="57" bestFit="1" customWidth="1"/>
    <col min="10" max="12" width="28.26953125" style="57" customWidth="1"/>
    <col min="13" max="13" width="34" style="57" bestFit="1" customWidth="1"/>
    <col min="14" max="14" width="0.86328125" style="57" customWidth="1"/>
    <col min="15" max="18" width="12.26953125" style="57" hidden="1" customWidth="1"/>
    <col min="19" max="19" width="13.7265625" style="57" hidden="1" customWidth="1"/>
    <col min="20" max="16384" width="12.26953125" style="57" hidden="1"/>
  </cols>
  <sheetData>
    <row r="1" spans="1:20" ht="25.9" customHeight="1" x14ac:dyDescent="0.8">
      <c r="A1" s="368" t="s">
        <v>58</v>
      </c>
      <c r="D1" s="58" t="s">
        <v>14</v>
      </c>
      <c r="E1" s="10" t="str">
        <f>IF('2. Getting Started'!$B2="","",'2. Getting Started'!$B2)</f>
        <v/>
      </c>
      <c r="G1" s="384" t="s">
        <v>177</v>
      </c>
      <c r="K1" s="58" t="s">
        <v>14</v>
      </c>
      <c r="L1" s="10" t="str">
        <f>IF('2. Getting Started'!$B2="","",'2. Getting Started'!$B2)</f>
        <v/>
      </c>
    </row>
    <row r="2" spans="1:20" ht="25.9" customHeight="1" thickBot="1" x14ac:dyDescent="0.95">
      <c r="A2" s="369" t="s">
        <v>171</v>
      </c>
      <c r="D2" s="58"/>
      <c r="E2" s="10"/>
      <c r="G2" s="384"/>
      <c r="H2" s="369" t="s">
        <v>171</v>
      </c>
      <c r="K2" s="58"/>
      <c r="L2" s="10"/>
    </row>
    <row r="3" spans="1:20" ht="25.9" customHeight="1" thickBot="1" x14ac:dyDescent="0.95">
      <c r="A3" s="59" t="str">
        <f>CONCATENATE("Eligibility Standard -- Exceptions to MOE as Permitted by 34 CFR §300.204 and Adjustment to MOE as Permitted by 34 CFR §300.205 -- Projections for State Fiscal Year ",'2. Getting Started'!B6+9," Budget")</f>
        <v>Eligibility Standard -- Exceptions to MOE as Permitted by 34 CFR §300.204 and Adjustment to MOE as Permitted by 34 CFR §300.205 -- Projections for State Fiscal Year 2033 Budget</v>
      </c>
      <c r="B3" s="60"/>
      <c r="C3" s="60"/>
      <c r="D3" s="60"/>
      <c r="E3" s="60"/>
      <c r="F3" s="61"/>
      <c r="G3" s="384"/>
      <c r="H3" s="59" t="str">
        <f>CONCATENATE("Compliance Standard -- Exceptions to MOE as Permitted by 34 CFR §300.204 and Adjustment to MOE as Permitted by 34 CFR §300.205 -- Final Expenditures for  State Fiscal Year ",'2. Getting Started'!B6+9)</f>
        <v>Compliance Standard -- Exceptions to MOE as Permitted by 34 CFR §300.204 and Adjustment to MOE as Permitted by 34 CFR §300.205 -- Final Expenditures for  State Fiscal Year 2033</v>
      </c>
      <c r="I3" s="60"/>
      <c r="J3" s="60"/>
      <c r="K3" s="60"/>
      <c r="L3" s="60"/>
      <c r="M3" s="61"/>
      <c r="O3" s="63"/>
      <c r="P3" s="63"/>
      <c r="Q3" s="63"/>
      <c r="R3" s="63"/>
      <c r="S3" s="63"/>
      <c r="T3" s="63"/>
    </row>
    <row r="4" spans="1:20" ht="16" x14ac:dyDescent="0.8">
      <c r="A4" s="64" t="s">
        <v>59</v>
      </c>
      <c r="B4" s="65"/>
      <c r="C4" s="66"/>
      <c r="D4" s="66"/>
      <c r="E4" s="66"/>
      <c r="F4" s="67"/>
      <c r="G4" s="384"/>
      <c r="H4" s="64" t="s">
        <v>59</v>
      </c>
      <c r="I4" s="65"/>
      <c r="J4" s="66"/>
      <c r="K4" s="66"/>
      <c r="L4" s="66"/>
      <c r="M4" s="67"/>
      <c r="N4" s="69"/>
      <c r="O4" s="69"/>
      <c r="P4" s="69"/>
      <c r="Q4" s="69"/>
      <c r="R4" s="69"/>
      <c r="S4" s="69"/>
    </row>
    <row r="5" spans="1:20" ht="16" x14ac:dyDescent="0.8">
      <c r="A5" s="70" t="s">
        <v>60</v>
      </c>
      <c r="B5" s="71"/>
      <c r="C5" s="68"/>
      <c r="D5" s="68"/>
      <c r="E5" s="68"/>
      <c r="F5" s="72"/>
      <c r="G5" s="384"/>
      <c r="H5" s="70" t="s">
        <v>60</v>
      </c>
      <c r="I5" s="71"/>
      <c r="J5" s="68"/>
      <c r="K5" s="68"/>
      <c r="L5" s="68"/>
      <c r="M5" s="72"/>
      <c r="N5" s="73"/>
      <c r="O5" s="73"/>
      <c r="P5" s="73"/>
      <c r="Q5" s="73"/>
      <c r="R5" s="73"/>
    </row>
    <row r="6" spans="1:20" ht="35.65" customHeight="1" thickBot="1" x14ac:dyDescent="0.95">
      <c r="A6" s="74" t="s">
        <v>61</v>
      </c>
      <c r="B6" s="75"/>
      <c r="C6" s="75"/>
      <c r="D6" s="75"/>
      <c r="E6" s="75"/>
      <c r="F6" s="76"/>
      <c r="G6" s="384"/>
      <c r="H6" s="74" t="s">
        <v>61</v>
      </c>
      <c r="I6" s="75"/>
      <c r="J6" s="75"/>
      <c r="K6" s="75"/>
      <c r="L6" s="75"/>
      <c r="M6" s="76"/>
      <c r="N6" s="73"/>
      <c r="O6" s="73"/>
      <c r="P6" s="73"/>
      <c r="Q6" s="73"/>
      <c r="R6" s="73"/>
      <c r="S6" s="73"/>
    </row>
    <row r="7" spans="1:20" ht="16" x14ac:dyDescent="0.8">
      <c r="A7" s="77" t="s">
        <v>62</v>
      </c>
      <c r="B7" s="78" t="s">
        <v>63</v>
      </c>
      <c r="C7" s="79" t="s">
        <v>64</v>
      </c>
      <c r="D7" s="79" t="s">
        <v>65</v>
      </c>
      <c r="E7" s="80" t="s">
        <v>66</v>
      </c>
      <c r="F7" s="81" t="s">
        <v>67</v>
      </c>
      <c r="G7" s="384"/>
      <c r="H7" s="77" t="s">
        <v>62</v>
      </c>
      <c r="I7" s="78" t="s">
        <v>63</v>
      </c>
      <c r="J7" s="79" t="s">
        <v>64</v>
      </c>
      <c r="K7" s="79" t="s">
        <v>65</v>
      </c>
      <c r="L7" s="80" t="s">
        <v>66</v>
      </c>
      <c r="M7" s="81" t="s">
        <v>68</v>
      </c>
      <c r="N7" s="73"/>
      <c r="O7" s="73"/>
    </row>
    <row r="8" spans="1:20" ht="16" x14ac:dyDescent="0.8">
      <c r="A8" s="185"/>
      <c r="B8" s="186"/>
      <c r="C8" s="186"/>
      <c r="D8" s="187"/>
      <c r="E8" s="187"/>
      <c r="F8" s="83">
        <f>D8+E8</f>
        <v>0</v>
      </c>
      <c r="G8" s="384"/>
      <c r="H8" s="185"/>
      <c r="I8" s="186"/>
      <c r="J8" s="186"/>
      <c r="K8" s="187"/>
      <c r="L8" s="187"/>
      <c r="M8" s="83">
        <f>K8+L8</f>
        <v>0</v>
      </c>
      <c r="N8" s="84"/>
      <c r="O8" s="84"/>
    </row>
    <row r="9" spans="1:20" ht="16" x14ac:dyDescent="0.8">
      <c r="A9" s="185"/>
      <c r="B9" s="186"/>
      <c r="C9" s="186"/>
      <c r="D9" s="187"/>
      <c r="E9" s="187"/>
      <c r="F9" s="83">
        <f>D9+E9</f>
        <v>0</v>
      </c>
      <c r="G9" s="384"/>
      <c r="H9" s="185"/>
      <c r="I9" s="186"/>
      <c r="J9" s="186"/>
      <c r="K9" s="187"/>
      <c r="L9" s="187"/>
      <c r="M9" s="83">
        <f>K9+L9</f>
        <v>0</v>
      </c>
      <c r="N9" s="84"/>
      <c r="O9" s="84"/>
    </row>
    <row r="10" spans="1:20" ht="16" x14ac:dyDescent="0.8">
      <c r="A10" s="185"/>
      <c r="B10" s="186"/>
      <c r="C10" s="186"/>
      <c r="D10" s="187"/>
      <c r="E10" s="187"/>
      <c r="F10" s="83">
        <f>D10+E10</f>
        <v>0</v>
      </c>
      <c r="G10" s="384"/>
      <c r="H10" s="185"/>
      <c r="I10" s="186"/>
      <c r="J10" s="186"/>
      <c r="K10" s="187"/>
      <c r="L10" s="187"/>
      <c r="M10" s="83">
        <f>K10+L10</f>
        <v>0</v>
      </c>
      <c r="N10" s="84"/>
      <c r="O10" s="84"/>
    </row>
    <row r="11" spans="1:20" ht="16" x14ac:dyDescent="0.8">
      <c r="A11" s="185"/>
      <c r="B11" s="186"/>
      <c r="C11" s="186"/>
      <c r="D11" s="187"/>
      <c r="E11" s="187"/>
      <c r="F11" s="83">
        <f>D11+E11</f>
        <v>0</v>
      </c>
      <c r="G11" s="384"/>
      <c r="H11" s="185"/>
      <c r="I11" s="186"/>
      <c r="J11" s="186"/>
      <c r="K11" s="187"/>
      <c r="L11" s="187"/>
      <c r="M11" s="83">
        <f>K11+L11</f>
        <v>0</v>
      </c>
      <c r="N11" s="84"/>
      <c r="O11" s="84"/>
    </row>
    <row r="12" spans="1:20" ht="16" x14ac:dyDescent="0.8">
      <c r="A12" s="185"/>
      <c r="B12" s="186"/>
      <c r="C12" s="186"/>
      <c r="D12" s="187"/>
      <c r="E12" s="187"/>
      <c r="F12" s="83">
        <f>D12+E12</f>
        <v>0</v>
      </c>
      <c r="G12" s="384"/>
      <c r="H12" s="185"/>
      <c r="I12" s="186"/>
      <c r="J12" s="186"/>
      <c r="K12" s="187"/>
      <c r="L12" s="187"/>
      <c r="M12" s="83">
        <f>K12+L12</f>
        <v>0</v>
      </c>
      <c r="N12" s="84"/>
      <c r="O12" s="84"/>
    </row>
    <row r="13" spans="1:20" ht="16.75" thickBot="1" x14ac:dyDescent="0.95">
      <c r="A13" s="85"/>
      <c r="B13" s="86"/>
      <c r="C13" s="87" t="s">
        <v>69</v>
      </c>
      <c r="D13" s="88">
        <f t="shared" ref="D13:F13" si="0">SUM(D8:D12)</f>
        <v>0</v>
      </c>
      <c r="E13" s="88">
        <f t="shared" si="0"/>
        <v>0</v>
      </c>
      <c r="F13" s="89">
        <f t="shared" si="0"/>
        <v>0</v>
      </c>
      <c r="G13" s="384"/>
      <c r="H13" s="85"/>
      <c r="I13" s="86"/>
      <c r="J13" s="87" t="s">
        <v>69</v>
      </c>
      <c r="K13" s="88">
        <f t="shared" ref="K13:M13" si="1">SUM(K8:K12)</f>
        <v>0</v>
      </c>
      <c r="L13" s="88">
        <f t="shared" si="1"/>
        <v>0</v>
      </c>
      <c r="M13" s="89">
        <f t="shared" si="1"/>
        <v>0</v>
      </c>
      <c r="N13" s="84"/>
      <c r="O13" s="84"/>
    </row>
    <row r="14" spans="1:20" ht="40.15" customHeight="1" thickBot="1" x14ac:dyDescent="0.95">
      <c r="A14" s="90" t="s">
        <v>70</v>
      </c>
      <c r="B14" s="91"/>
      <c r="C14" s="91"/>
      <c r="D14" s="91"/>
      <c r="E14" s="91"/>
      <c r="F14" s="92"/>
      <c r="G14" s="384"/>
      <c r="H14" s="90" t="s">
        <v>70</v>
      </c>
      <c r="I14" s="91"/>
      <c r="J14" s="91"/>
      <c r="K14" s="91"/>
      <c r="L14" s="91"/>
      <c r="M14" s="92"/>
      <c r="N14" s="73"/>
      <c r="O14" s="73"/>
      <c r="P14" s="73"/>
      <c r="Q14" s="73"/>
      <c r="R14" s="73"/>
      <c r="S14" s="93"/>
    </row>
    <row r="15" spans="1:20" ht="16" x14ac:dyDescent="0.8">
      <c r="A15" s="94" t="s">
        <v>62</v>
      </c>
      <c r="B15" s="95" t="s">
        <v>63</v>
      </c>
      <c r="C15" s="96" t="s">
        <v>176</v>
      </c>
      <c r="D15" s="79" t="s">
        <v>65</v>
      </c>
      <c r="E15" s="80" t="s">
        <v>66</v>
      </c>
      <c r="F15" s="81" t="s">
        <v>67</v>
      </c>
      <c r="G15" s="384"/>
      <c r="H15" s="94" t="s">
        <v>62</v>
      </c>
      <c r="I15" s="95" t="s">
        <v>63</v>
      </c>
      <c r="J15" s="96" t="s">
        <v>176</v>
      </c>
      <c r="K15" s="79" t="s">
        <v>65</v>
      </c>
      <c r="L15" s="80" t="s">
        <v>66</v>
      </c>
      <c r="M15" s="81" t="s">
        <v>68</v>
      </c>
      <c r="N15" s="63"/>
      <c r="O15" s="98"/>
    </row>
    <row r="16" spans="1:20" ht="16" x14ac:dyDescent="0.8">
      <c r="A16" s="188"/>
      <c r="B16" s="189"/>
      <c r="C16" s="99"/>
      <c r="D16" s="187"/>
      <c r="E16" s="187"/>
      <c r="F16" s="83">
        <f t="shared" ref="F16:F20" si="2">D16+E16</f>
        <v>0</v>
      </c>
      <c r="G16" s="384"/>
      <c r="H16" s="188"/>
      <c r="I16" s="189"/>
      <c r="J16" s="99"/>
      <c r="K16" s="187"/>
      <c r="L16" s="187"/>
      <c r="M16" s="83">
        <f t="shared" ref="M16:M20" si="3">K16+L16</f>
        <v>0</v>
      </c>
      <c r="N16" s="84"/>
      <c r="O16" s="84"/>
    </row>
    <row r="17" spans="1:19" ht="16" x14ac:dyDescent="0.8">
      <c r="A17" s="188"/>
      <c r="B17" s="189"/>
      <c r="C17" s="99"/>
      <c r="D17" s="187"/>
      <c r="E17" s="187"/>
      <c r="F17" s="83">
        <f t="shared" si="2"/>
        <v>0</v>
      </c>
      <c r="G17" s="384"/>
      <c r="H17" s="188"/>
      <c r="I17" s="189"/>
      <c r="J17" s="99"/>
      <c r="K17" s="187"/>
      <c r="L17" s="187"/>
      <c r="M17" s="83">
        <f t="shared" si="3"/>
        <v>0</v>
      </c>
      <c r="N17" s="84"/>
      <c r="O17" s="84"/>
    </row>
    <row r="18" spans="1:19" ht="16" x14ac:dyDescent="0.8">
      <c r="A18" s="188"/>
      <c r="B18" s="189"/>
      <c r="C18" s="99"/>
      <c r="D18" s="187"/>
      <c r="E18" s="187"/>
      <c r="F18" s="83">
        <f t="shared" si="2"/>
        <v>0</v>
      </c>
      <c r="G18" s="384"/>
      <c r="H18" s="188"/>
      <c r="I18" s="189"/>
      <c r="J18" s="99"/>
      <c r="K18" s="187"/>
      <c r="L18" s="187"/>
      <c r="M18" s="83">
        <f t="shared" si="3"/>
        <v>0</v>
      </c>
      <c r="N18" s="84"/>
      <c r="O18" s="84"/>
    </row>
    <row r="19" spans="1:19" ht="16" x14ac:dyDescent="0.8">
      <c r="A19" s="188"/>
      <c r="B19" s="189"/>
      <c r="C19" s="99"/>
      <c r="D19" s="187"/>
      <c r="E19" s="187"/>
      <c r="F19" s="83">
        <f t="shared" si="2"/>
        <v>0</v>
      </c>
      <c r="G19" s="384"/>
      <c r="H19" s="188"/>
      <c r="I19" s="189"/>
      <c r="J19" s="99"/>
      <c r="K19" s="187"/>
      <c r="L19" s="187"/>
      <c r="M19" s="83">
        <f t="shared" si="3"/>
        <v>0</v>
      </c>
      <c r="N19" s="84"/>
      <c r="O19" s="84"/>
    </row>
    <row r="20" spans="1:19" ht="16" x14ac:dyDescent="0.8">
      <c r="A20" s="188"/>
      <c r="B20" s="189"/>
      <c r="C20" s="99"/>
      <c r="D20" s="187"/>
      <c r="E20" s="187"/>
      <c r="F20" s="83">
        <f t="shared" si="2"/>
        <v>0</v>
      </c>
      <c r="G20" s="384"/>
      <c r="H20" s="188"/>
      <c r="I20" s="189"/>
      <c r="J20" s="99"/>
      <c r="K20" s="187"/>
      <c r="L20" s="187"/>
      <c r="M20" s="83">
        <f t="shared" si="3"/>
        <v>0</v>
      </c>
      <c r="N20" s="84"/>
      <c r="O20" s="84"/>
    </row>
    <row r="21" spans="1:19" ht="16" x14ac:dyDescent="0.8">
      <c r="A21" s="100"/>
      <c r="B21" s="101"/>
      <c r="C21" s="102" t="s">
        <v>72</v>
      </c>
      <c r="D21" s="103">
        <f t="shared" ref="D21:F21" si="4">SUM(D16:D20)</f>
        <v>0</v>
      </c>
      <c r="E21" s="103">
        <f t="shared" si="4"/>
        <v>0</v>
      </c>
      <c r="F21" s="83">
        <f t="shared" si="4"/>
        <v>0</v>
      </c>
      <c r="G21" s="384"/>
      <c r="H21" s="100"/>
      <c r="I21" s="101"/>
      <c r="J21" s="102" t="s">
        <v>72</v>
      </c>
      <c r="K21" s="103">
        <f t="shared" ref="K21:M21" si="5">SUM(K16:K20)</f>
        <v>0</v>
      </c>
      <c r="L21" s="103">
        <f t="shared" si="5"/>
        <v>0</v>
      </c>
      <c r="M21" s="83">
        <f t="shared" si="5"/>
        <v>0</v>
      </c>
      <c r="N21" s="84"/>
      <c r="O21" s="84"/>
    </row>
    <row r="22" spans="1:19" ht="16.75" thickBot="1" x14ac:dyDescent="0.95">
      <c r="A22" s="104"/>
      <c r="B22" s="105"/>
      <c r="C22" s="106"/>
      <c r="D22" s="106"/>
      <c r="E22" s="107" t="s">
        <v>73</v>
      </c>
      <c r="F22" s="108">
        <f>F13-F21</f>
        <v>0</v>
      </c>
      <c r="G22" s="384"/>
      <c r="H22" s="104"/>
      <c r="I22" s="105"/>
      <c r="J22" s="105"/>
      <c r="K22" s="110"/>
      <c r="L22" s="107" t="s">
        <v>74</v>
      </c>
      <c r="M22" s="108">
        <f>M13-M21</f>
        <v>0</v>
      </c>
      <c r="N22" s="93"/>
      <c r="O22" s="93"/>
      <c r="P22" s="93"/>
      <c r="Q22" s="93"/>
      <c r="R22" s="93"/>
      <c r="S22" s="93"/>
    </row>
    <row r="23" spans="1:19" ht="16.75" thickBot="1" x14ac:dyDescent="0.95">
      <c r="A23" s="378" t="s">
        <v>22</v>
      </c>
      <c r="B23" s="378"/>
      <c r="C23" s="378"/>
      <c r="D23" s="378"/>
      <c r="E23" s="378"/>
      <c r="F23" s="378"/>
      <c r="G23" s="384"/>
      <c r="H23" s="378" t="s">
        <v>22</v>
      </c>
      <c r="I23" s="378"/>
      <c r="J23" s="378"/>
      <c r="K23" s="378"/>
      <c r="L23" s="378"/>
      <c r="M23" s="378"/>
      <c r="N23" s="93"/>
      <c r="O23" s="93"/>
      <c r="P23" s="93"/>
      <c r="Q23" s="93"/>
      <c r="R23" s="93"/>
      <c r="S23" s="93"/>
    </row>
    <row r="24" spans="1:19" ht="16" x14ac:dyDescent="0.8">
      <c r="A24" s="111" t="s">
        <v>105</v>
      </c>
      <c r="B24" s="112"/>
      <c r="C24" s="112"/>
      <c r="D24" s="62"/>
      <c r="E24" s="119"/>
      <c r="F24" s="119"/>
      <c r="G24" s="384"/>
      <c r="H24" s="111" t="s">
        <v>105</v>
      </c>
      <c r="I24" s="112"/>
      <c r="J24" s="112"/>
      <c r="K24" s="62"/>
      <c r="L24" s="119"/>
      <c r="M24" s="119"/>
      <c r="N24" s="118"/>
      <c r="O24" s="118"/>
      <c r="P24" s="118"/>
      <c r="Q24" s="118"/>
    </row>
    <row r="25" spans="1:19" ht="16" x14ac:dyDescent="0.8">
      <c r="A25" s="120" t="s">
        <v>71</v>
      </c>
      <c r="B25" s="121" t="s">
        <v>77</v>
      </c>
      <c r="C25" s="122"/>
      <c r="D25" s="123"/>
      <c r="E25" s="122"/>
      <c r="F25" s="122"/>
      <c r="G25" s="384"/>
      <c r="H25" s="120" t="s">
        <v>71</v>
      </c>
      <c r="I25" s="121" t="s">
        <v>77</v>
      </c>
      <c r="J25" s="122"/>
      <c r="K25" s="123"/>
      <c r="L25" s="122"/>
      <c r="M25" s="122"/>
      <c r="N25" s="118"/>
      <c r="O25" s="118"/>
      <c r="P25" s="118"/>
      <c r="Q25" s="118"/>
    </row>
    <row r="26" spans="1:19" ht="16" x14ac:dyDescent="0.8">
      <c r="A26" s="124" t="str">
        <f>CONCATENATE("SFY ",'2. Getting Started'!B6+9," Projected Child Count")</f>
        <v>SFY 2033 Projected Child Count</v>
      </c>
      <c r="B26" s="125" t="str">
        <f>IF('32. Year 10 Amounts'!B1="","",'32. Year 10 Amounts'!B1)</f>
        <v/>
      </c>
      <c r="C26" s="122"/>
      <c r="D26" s="123"/>
      <c r="E26" s="122"/>
      <c r="F26" s="122"/>
      <c r="G26" s="384"/>
      <c r="H26" s="124" t="str">
        <f>CONCATENATE("SFY ",'2. Getting Started'!B6+9," Child Count")</f>
        <v>SFY 2033 Child Count</v>
      </c>
      <c r="I26" s="125" t="str">
        <f>IF('32. Year 10 Amounts'!I1="","",'32. Year 10 Amounts'!I1)</f>
        <v/>
      </c>
      <c r="J26" s="122"/>
      <c r="K26" s="123"/>
      <c r="L26" s="122"/>
      <c r="M26" s="122"/>
      <c r="N26" s="118"/>
      <c r="O26" s="118"/>
      <c r="P26" s="118"/>
      <c r="Q26" s="118"/>
    </row>
    <row r="27" spans="1:19" ht="16" x14ac:dyDescent="0.8">
      <c r="A27" s="124" t="str">
        <f>CONCATENATE("SFY ",'2. Getting Started'!B6+8," Projected Child Count")</f>
        <v>SFY 2032 Projected Child Count</v>
      </c>
      <c r="B27" s="125" t="str">
        <f>IF('29. Year 9 Amounts'!B1="","",'29. Year 9 Amounts'!B1)</f>
        <v/>
      </c>
      <c r="C27" s="118"/>
      <c r="D27" s="127"/>
      <c r="E27" s="118"/>
      <c r="F27" s="122"/>
      <c r="G27" s="384"/>
      <c r="H27" s="124" t="str">
        <f>CONCATENATE("SFY ",'2. Getting Started'!B6+8," Child Count")</f>
        <v>SFY 2032 Child Count</v>
      </c>
      <c r="I27" s="125" t="str">
        <f>IF('29. Year 9 Amounts'!I1="","",'29. Year 9 Amounts'!I1)</f>
        <v/>
      </c>
      <c r="J27" s="118"/>
      <c r="K27" s="127"/>
      <c r="L27" s="118"/>
      <c r="M27" s="122"/>
      <c r="N27" s="128"/>
      <c r="O27" s="128"/>
      <c r="P27" s="128"/>
      <c r="Q27" s="128"/>
    </row>
    <row r="28" spans="1:19" ht="16" x14ac:dyDescent="0.8">
      <c r="A28" s="126" t="s">
        <v>78</v>
      </c>
      <c r="B28" s="129" t="str">
        <f>IF(B26="","",B26-B27)</f>
        <v/>
      </c>
      <c r="C28" s="122" t="str">
        <f>IF(B28="","",IF(B28&gt;=0,"Not eligible for this exception",""))</f>
        <v/>
      </c>
      <c r="D28" s="123"/>
      <c r="E28" s="122"/>
      <c r="F28" s="122"/>
      <c r="G28" s="384"/>
      <c r="H28" s="126" t="s">
        <v>78</v>
      </c>
      <c r="I28" s="129" t="str">
        <f>IF(I26="","",I26-I27)</f>
        <v/>
      </c>
      <c r="J28" s="122" t="str">
        <f>IF(I28="","",IF(I28&gt;=0,"Not eligible for this exception",""))</f>
        <v/>
      </c>
      <c r="K28" s="123"/>
      <c r="L28" s="122"/>
      <c r="M28" s="122"/>
      <c r="N28" s="131"/>
      <c r="O28" s="131"/>
      <c r="P28" s="131"/>
      <c r="Q28" s="131"/>
    </row>
    <row r="29" spans="1:19" ht="16" x14ac:dyDescent="0.8">
      <c r="A29" s="132" t="s">
        <v>79</v>
      </c>
      <c r="B29" s="133" t="str">
        <f>IF(B26="","",IF(B28&lt;=0,ABS(B28/B27),""))</f>
        <v/>
      </c>
      <c r="C29" s="134"/>
      <c r="D29" s="135"/>
      <c r="E29" s="134"/>
      <c r="F29" s="10"/>
      <c r="G29" s="384"/>
      <c r="H29" s="132" t="s">
        <v>79</v>
      </c>
      <c r="I29" s="133" t="str">
        <f>IF(I26="","",IF(I28&lt;=0,ABS(I28/I27),""))</f>
        <v/>
      </c>
      <c r="J29" s="134"/>
      <c r="K29" s="135"/>
      <c r="L29" s="134"/>
      <c r="M29" s="10"/>
      <c r="N29" s="136"/>
      <c r="O29" s="136"/>
      <c r="P29" s="137"/>
      <c r="Q29" s="137"/>
    </row>
    <row r="30" spans="1:19" ht="16" x14ac:dyDescent="0.8">
      <c r="A30" s="114" t="s">
        <v>71</v>
      </c>
      <c r="B30" s="115" t="s">
        <v>0</v>
      </c>
      <c r="C30" s="115" t="s">
        <v>2</v>
      </c>
      <c r="D30" s="10"/>
      <c r="E30" s="71"/>
      <c r="F30" s="71"/>
      <c r="G30" s="384"/>
      <c r="H30" s="114" t="s">
        <v>71</v>
      </c>
      <c r="I30" s="115" t="s">
        <v>75</v>
      </c>
      <c r="J30" s="115" t="s">
        <v>76</v>
      </c>
      <c r="K30" s="10"/>
      <c r="L30" s="71"/>
      <c r="M30" s="71"/>
      <c r="N30" s="137"/>
      <c r="O30" s="137"/>
    </row>
    <row r="31" spans="1:19" ht="16" x14ac:dyDescent="0.8">
      <c r="A31" s="138" t="str">
        <f>CONCATENATE("SFY ",'2. Getting Started'!B6+8," Budget")</f>
        <v>SFY 2032 Budget</v>
      </c>
      <c r="B31" s="139" t="str">
        <f>IF('29. Year 9 Amounts'!D30="","",'29. Year 9 Amounts'!D30)</f>
        <v/>
      </c>
      <c r="C31" s="139" t="str">
        <f>IF('29. Year 9 Amounts'!F30="","",'29. Year 9 Amounts'!F30)</f>
        <v/>
      </c>
      <c r="D31" s="140"/>
      <c r="E31" s="73"/>
      <c r="F31" s="73"/>
      <c r="G31" s="384"/>
      <c r="H31" s="138" t="str">
        <f>CONCATENATE("SFY ",'2. Getting Started'!B6+8," Final Expenditures")</f>
        <v>SFY 2032 Final Expenditures</v>
      </c>
      <c r="I31" s="139" t="str">
        <f>IF('29. Year 9 Amounts'!K30="","",'29. Year 9 Amounts'!K30)</f>
        <v/>
      </c>
      <c r="J31" s="139" t="str">
        <f>IF('29. Year 9 Amounts'!M30="","",'29. Year 9 Amounts'!M30)</f>
        <v/>
      </c>
      <c r="K31" s="141"/>
      <c r="L31" s="73"/>
      <c r="M31" s="73"/>
    </row>
    <row r="32" spans="1:19" ht="16" x14ac:dyDescent="0.8">
      <c r="A32" s="116" t="s">
        <v>80</v>
      </c>
      <c r="B32" s="142" t="str">
        <f>IF(OR($B26="",B29="",B31=""),"",($B29*B31))</f>
        <v/>
      </c>
      <c r="C32" s="142" t="str">
        <f>IF(OR($B26="",B29="",C31=""),"",($B29*C31))</f>
        <v/>
      </c>
      <c r="D32" s="141"/>
      <c r="E32" s="117"/>
      <c r="F32" s="117"/>
      <c r="G32" s="384"/>
      <c r="H32" s="116" t="s">
        <v>81</v>
      </c>
      <c r="I32" s="142" t="str">
        <f>IF(OR($I26="",I29="",I31=""),"",($I29*I31))</f>
        <v/>
      </c>
      <c r="J32" s="142" t="str">
        <f>IF(OR($I26="",I29="",J31=""),"",($I29*J31))</f>
        <v/>
      </c>
      <c r="K32" s="141"/>
      <c r="L32" s="117"/>
      <c r="M32" s="117"/>
    </row>
    <row r="33" spans="1:28" ht="16.75" thickBot="1" x14ac:dyDescent="0.95">
      <c r="A33" s="379" t="s">
        <v>22</v>
      </c>
      <c r="B33" s="379"/>
      <c r="C33" s="379"/>
      <c r="D33" s="122"/>
      <c r="E33" s="122"/>
      <c r="F33" s="122"/>
      <c r="G33" s="384"/>
      <c r="H33" s="379" t="s">
        <v>22</v>
      </c>
      <c r="I33" s="379"/>
      <c r="J33" s="379"/>
      <c r="K33" s="122"/>
      <c r="L33" s="122"/>
      <c r="M33" s="122"/>
      <c r="P33" s="117"/>
      <c r="Q33" s="117"/>
      <c r="R33" s="117"/>
      <c r="S33" s="117"/>
      <c r="T33" s="117"/>
      <c r="U33" s="73"/>
      <c r="V33" s="117"/>
      <c r="W33" s="117"/>
      <c r="X33" s="117"/>
      <c r="Y33" s="117"/>
      <c r="Z33" s="117"/>
      <c r="AA33" s="117"/>
    </row>
    <row r="34" spans="1:28" ht="16" x14ac:dyDescent="0.8">
      <c r="A34" s="111" t="s">
        <v>82</v>
      </c>
      <c r="B34" s="144"/>
      <c r="C34" s="145"/>
      <c r="D34" s="146"/>
      <c r="E34" s="130"/>
      <c r="F34" s="130"/>
      <c r="G34" s="384"/>
      <c r="H34" s="111" t="s">
        <v>82</v>
      </c>
      <c r="I34" s="144"/>
      <c r="J34" s="145"/>
      <c r="K34" s="146"/>
      <c r="L34" s="130"/>
      <c r="M34" s="130"/>
      <c r="P34" s="117"/>
      <c r="Q34" s="117"/>
      <c r="R34" s="117"/>
      <c r="S34" s="117"/>
      <c r="T34" s="117"/>
      <c r="U34" s="117"/>
      <c r="V34" s="117"/>
      <c r="W34" s="117"/>
      <c r="X34" s="117"/>
      <c r="Y34" s="117"/>
      <c r="Z34" s="117"/>
      <c r="AA34" s="117"/>
    </row>
    <row r="35" spans="1:28" ht="16" x14ac:dyDescent="0.8">
      <c r="A35" s="147" t="s">
        <v>83</v>
      </c>
      <c r="B35" s="71"/>
      <c r="C35" s="148"/>
      <c r="D35" s="149"/>
      <c r="E35" s="10"/>
      <c r="F35" s="10"/>
      <c r="G35" s="384"/>
      <c r="H35" s="147" t="s">
        <v>83</v>
      </c>
      <c r="I35" s="71"/>
      <c r="J35" s="148"/>
      <c r="K35" s="149"/>
      <c r="L35" s="10"/>
      <c r="M35" s="10"/>
      <c r="P35" s="73"/>
      <c r="Q35" s="73"/>
      <c r="R35" s="73"/>
      <c r="S35" s="73"/>
      <c r="T35" s="73"/>
      <c r="U35" s="73"/>
      <c r="V35" s="73"/>
      <c r="W35" s="73"/>
      <c r="X35" s="73"/>
      <c r="Y35" s="73"/>
      <c r="Z35" s="73"/>
      <c r="AA35" s="73"/>
    </row>
    <row r="36" spans="1:28" ht="16" x14ac:dyDescent="0.8">
      <c r="A36" s="150" t="s">
        <v>84</v>
      </c>
      <c r="B36" s="71"/>
      <c r="C36" s="151"/>
      <c r="D36" s="149"/>
      <c r="E36" s="10"/>
      <c r="F36" s="10"/>
      <c r="G36" s="384"/>
      <c r="H36" s="150" t="s">
        <v>84</v>
      </c>
      <c r="I36" s="71"/>
      <c r="J36" s="151"/>
      <c r="K36" s="149"/>
      <c r="L36" s="10"/>
      <c r="M36" s="10"/>
      <c r="Q36" s="73"/>
      <c r="R36" s="73"/>
      <c r="S36" s="73"/>
      <c r="T36" s="73"/>
      <c r="U36" s="73"/>
      <c r="V36" s="73"/>
      <c r="W36" s="73"/>
      <c r="X36" s="73"/>
      <c r="Y36" s="73"/>
      <c r="Z36" s="73"/>
      <c r="AA36" s="73"/>
      <c r="AB36" s="73"/>
    </row>
    <row r="37" spans="1:28" ht="16" x14ac:dyDescent="0.8">
      <c r="A37" s="152" t="s">
        <v>85</v>
      </c>
      <c r="B37" s="153" t="s">
        <v>86</v>
      </c>
      <c r="C37" s="154" t="s">
        <v>87</v>
      </c>
      <c r="D37" s="117"/>
      <c r="E37" s="143"/>
      <c r="F37" s="143"/>
      <c r="G37" s="384"/>
      <c r="H37" s="152" t="s">
        <v>85</v>
      </c>
      <c r="I37" s="153" t="s">
        <v>86</v>
      </c>
      <c r="J37" s="154" t="s">
        <v>88</v>
      </c>
      <c r="K37" s="117"/>
      <c r="L37" s="143"/>
      <c r="M37" s="143"/>
      <c r="P37" s="93"/>
      <c r="Q37" s="93"/>
      <c r="R37" s="93"/>
      <c r="S37" s="93"/>
      <c r="T37" s="93"/>
      <c r="U37" s="93"/>
      <c r="V37" s="93"/>
      <c r="W37" s="93"/>
      <c r="X37" s="93"/>
      <c r="Y37" s="93"/>
      <c r="Z37" s="93"/>
      <c r="AA37" s="93"/>
    </row>
    <row r="38" spans="1:28" ht="16" x14ac:dyDescent="0.8">
      <c r="A38" s="190"/>
      <c r="B38" s="191"/>
      <c r="C38" s="192"/>
      <c r="D38" s="143"/>
      <c r="E38" s="143"/>
      <c r="F38" s="143"/>
      <c r="G38" s="384"/>
      <c r="H38" s="190"/>
      <c r="I38" s="191"/>
      <c r="J38" s="192"/>
      <c r="K38" s="143"/>
      <c r="L38" s="143"/>
      <c r="M38" s="143"/>
      <c r="P38" s="93"/>
      <c r="Q38" s="93"/>
      <c r="R38" s="93"/>
      <c r="S38" s="93"/>
      <c r="T38" s="93"/>
      <c r="U38" s="93"/>
      <c r="V38" s="93"/>
      <c r="W38" s="93"/>
      <c r="X38" s="93"/>
      <c r="Y38" s="93"/>
      <c r="Z38" s="93"/>
      <c r="AA38" s="93"/>
    </row>
    <row r="39" spans="1:28" ht="16" x14ac:dyDescent="0.8">
      <c r="A39" s="190"/>
      <c r="B39" s="191"/>
      <c r="C39" s="192"/>
      <c r="D39" s="143"/>
      <c r="E39" s="71"/>
      <c r="F39" s="71"/>
      <c r="G39" s="384"/>
      <c r="H39" s="190"/>
      <c r="I39" s="191"/>
      <c r="J39" s="192"/>
      <c r="K39" s="143"/>
      <c r="L39" s="71"/>
      <c r="M39" s="71"/>
      <c r="P39" s="93"/>
      <c r="Q39" s="93"/>
      <c r="R39" s="93"/>
      <c r="S39" s="93"/>
      <c r="T39" s="93"/>
      <c r="U39" s="93"/>
      <c r="V39" s="93"/>
      <c r="W39" s="93"/>
      <c r="X39" s="93"/>
      <c r="Y39" s="93"/>
      <c r="Z39" s="93"/>
      <c r="AA39" s="93"/>
    </row>
    <row r="40" spans="1:28" ht="16" x14ac:dyDescent="0.8">
      <c r="A40" s="190"/>
      <c r="B40" s="191"/>
      <c r="C40" s="192"/>
      <c r="D40" s="143"/>
      <c r="E40" s="71"/>
      <c r="F40" s="71"/>
      <c r="G40" s="384"/>
      <c r="H40" s="190"/>
      <c r="I40" s="191"/>
      <c r="J40" s="192"/>
      <c r="K40" s="143"/>
      <c r="L40" s="71"/>
      <c r="M40" s="71"/>
      <c r="P40" s="93"/>
      <c r="Q40" s="93"/>
      <c r="R40" s="93"/>
      <c r="S40" s="93"/>
      <c r="T40" s="93"/>
      <c r="U40" s="93"/>
      <c r="V40" s="93"/>
      <c r="W40" s="93"/>
      <c r="X40" s="93"/>
      <c r="Y40" s="93"/>
      <c r="Z40" s="93"/>
      <c r="AA40" s="93"/>
    </row>
    <row r="41" spans="1:28" ht="16" x14ac:dyDescent="0.8">
      <c r="A41" s="190"/>
      <c r="B41" s="191"/>
      <c r="C41" s="192"/>
      <c r="D41" s="143"/>
      <c r="E41" s="119"/>
      <c r="F41" s="119"/>
      <c r="G41" s="384"/>
      <c r="H41" s="190"/>
      <c r="I41" s="191"/>
      <c r="J41" s="192"/>
      <c r="K41" s="143"/>
      <c r="L41" s="119"/>
      <c r="M41" s="119"/>
      <c r="P41" s="93"/>
      <c r="Q41" s="93"/>
      <c r="R41" s="93"/>
      <c r="S41" s="93"/>
      <c r="T41" s="93"/>
      <c r="U41" s="93"/>
      <c r="V41" s="93"/>
      <c r="W41" s="93"/>
      <c r="X41" s="93"/>
      <c r="Y41" s="93"/>
      <c r="Z41" s="93"/>
      <c r="AA41" s="93"/>
    </row>
    <row r="42" spans="1:28" ht="16" x14ac:dyDescent="0.8">
      <c r="A42" s="190"/>
      <c r="B42" s="191"/>
      <c r="C42" s="192"/>
      <c r="D42" s="143"/>
      <c r="F42" s="10"/>
      <c r="G42" s="384"/>
      <c r="H42" s="190"/>
      <c r="I42" s="191"/>
      <c r="J42" s="192"/>
      <c r="K42" s="143"/>
      <c r="M42" s="10"/>
      <c r="P42" s="73"/>
      <c r="Q42" s="73"/>
      <c r="R42" s="73"/>
      <c r="S42" s="73"/>
      <c r="T42" s="73"/>
      <c r="U42" s="73"/>
      <c r="V42" s="73"/>
      <c r="W42" s="73"/>
      <c r="X42" s="73"/>
      <c r="Y42" s="73"/>
      <c r="Z42" s="73"/>
      <c r="AA42" s="73"/>
    </row>
    <row r="43" spans="1:28" ht="16" x14ac:dyDescent="0.8">
      <c r="A43" s="156" t="s">
        <v>89</v>
      </c>
      <c r="B43" s="157"/>
      <c r="C43" s="158">
        <f>SUM(C38:C42)</f>
        <v>0</v>
      </c>
      <c r="D43" s="143"/>
      <c r="E43" s="73"/>
      <c r="F43" s="71"/>
      <c r="G43" s="384"/>
      <c r="H43" s="156" t="s">
        <v>90</v>
      </c>
      <c r="I43" s="157"/>
      <c r="J43" s="158">
        <f>SUM(J38:J42)</f>
        <v>0</v>
      </c>
      <c r="K43" s="143"/>
      <c r="L43" s="73"/>
      <c r="M43" s="71"/>
      <c r="P43" s="73"/>
      <c r="Q43" s="73"/>
      <c r="R43" s="73"/>
      <c r="S43" s="73"/>
      <c r="T43" s="73"/>
      <c r="U43" s="73"/>
      <c r="V43" s="73"/>
      <c r="W43" s="73"/>
      <c r="X43" s="73"/>
      <c r="Y43" s="73"/>
      <c r="Z43" s="73"/>
      <c r="AA43" s="73"/>
    </row>
    <row r="44" spans="1:28" ht="16.75" thickBot="1" x14ac:dyDescent="0.95">
      <c r="A44" s="381" t="s">
        <v>22</v>
      </c>
      <c r="B44" s="381"/>
      <c r="C44" s="381"/>
      <c r="D44" s="71"/>
      <c r="E44" s="71"/>
      <c r="F44" s="71"/>
      <c r="G44" s="384"/>
      <c r="H44" s="381" t="s">
        <v>22</v>
      </c>
      <c r="I44" s="381"/>
      <c r="J44" s="381"/>
      <c r="K44" s="71"/>
      <c r="L44" s="71"/>
      <c r="M44" s="71"/>
      <c r="P44" s="93"/>
      <c r="Q44" s="93"/>
      <c r="R44" s="93"/>
      <c r="S44" s="93"/>
      <c r="T44" s="93"/>
      <c r="U44" s="93"/>
      <c r="V44" s="93"/>
      <c r="W44" s="93"/>
      <c r="X44" s="93"/>
      <c r="Y44" s="93"/>
      <c r="Z44" s="93"/>
      <c r="AA44" s="93"/>
    </row>
    <row r="45" spans="1:28" ht="16" x14ac:dyDescent="0.8">
      <c r="A45" s="111" t="s">
        <v>91</v>
      </c>
      <c r="B45" s="113"/>
      <c r="C45" s="119"/>
      <c r="D45" s="119"/>
      <c r="E45" s="119"/>
      <c r="F45" s="119"/>
      <c r="G45" s="384"/>
      <c r="H45" s="111" t="s">
        <v>91</v>
      </c>
      <c r="I45" s="113"/>
      <c r="J45" s="119"/>
      <c r="K45" s="119"/>
      <c r="L45" s="119"/>
      <c r="M45" s="119"/>
      <c r="O45" s="93"/>
      <c r="P45" s="93"/>
      <c r="Q45" s="93"/>
      <c r="R45" s="93"/>
      <c r="S45" s="93"/>
      <c r="T45" s="93"/>
      <c r="U45" s="93"/>
      <c r="V45" s="93"/>
      <c r="W45" s="93"/>
      <c r="X45" s="93"/>
      <c r="Y45" s="93"/>
      <c r="Z45" s="93"/>
    </row>
    <row r="46" spans="1:28" ht="26.65" customHeight="1" x14ac:dyDescent="0.8">
      <c r="A46" s="70" t="s">
        <v>92</v>
      </c>
      <c r="B46" s="151"/>
      <c r="C46" s="119"/>
      <c r="D46" s="71"/>
      <c r="E46" s="73"/>
      <c r="F46" s="73"/>
      <c r="G46" s="384"/>
      <c r="H46" s="70" t="s">
        <v>92</v>
      </c>
      <c r="I46" s="151"/>
      <c r="J46" s="119"/>
      <c r="K46" s="71"/>
      <c r="L46" s="73"/>
      <c r="M46" s="73"/>
      <c r="O46" s="93"/>
      <c r="P46" s="93"/>
      <c r="Q46" s="93"/>
      <c r="R46" s="93"/>
      <c r="S46" s="93"/>
      <c r="T46" s="93"/>
      <c r="U46" s="93"/>
      <c r="V46" s="93"/>
      <c r="W46" s="93"/>
      <c r="X46" s="93"/>
      <c r="Y46" s="93"/>
      <c r="Z46" s="93"/>
    </row>
    <row r="47" spans="1:28" ht="16" x14ac:dyDescent="0.8">
      <c r="A47" s="159" t="s">
        <v>93</v>
      </c>
      <c r="B47" s="160" t="s">
        <v>94</v>
      </c>
      <c r="C47" s="117"/>
      <c r="D47" s="117"/>
      <c r="E47" s="143"/>
      <c r="F47" s="109"/>
      <c r="G47" s="384"/>
      <c r="H47" s="159" t="s">
        <v>93</v>
      </c>
      <c r="I47" s="160" t="s">
        <v>95</v>
      </c>
      <c r="J47" s="117"/>
      <c r="K47" s="117"/>
      <c r="L47" s="143"/>
      <c r="M47" s="109"/>
      <c r="O47" s="93"/>
      <c r="P47" s="93"/>
      <c r="Q47" s="93"/>
      <c r="R47" s="93"/>
      <c r="S47" s="93"/>
      <c r="T47" s="93"/>
      <c r="U47" s="93"/>
      <c r="V47" s="93"/>
      <c r="W47" s="93"/>
      <c r="X47" s="93"/>
      <c r="Y47" s="93"/>
      <c r="Z47" s="93"/>
    </row>
    <row r="48" spans="1:28" ht="60" customHeight="1" x14ac:dyDescent="0.8">
      <c r="A48" s="193"/>
      <c r="B48" s="194"/>
      <c r="C48" s="143"/>
      <c r="D48" s="143"/>
      <c r="E48" s="143"/>
      <c r="F48" s="71"/>
      <c r="G48" s="384"/>
      <c r="H48" s="193"/>
      <c r="I48" s="194"/>
      <c r="J48" s="143"/>
      <c r="K48" s="143"/>
      <c r="L48" s="143"/>
      <c r="M48" s="71"/>
      <c r="O48" s="93"/>
      <c r="P48" s="93"/>
      <c r="Q48" s="93"/>
      <c r="R48" s="93"/>
      <c r="S48" s="93"/>
      <c r="T48" s="93"/>
      <c r="U48" s="93"/>
      <c r="V48" s="93"/>
      <c r="W48" s="93"/>
      <c r="X48" s="93"/>
      <c r="Y48" s="93"/>
      <c r="Z48" s="93"/>
    </row>
    <row r="49" spans="1:26" ht="60" customHeight="1" x14ac:dyDescent="0.8">
      <c r="A49" s="193"/>
      <c r="B49" s="194"/>
      <c r="C49" s="143"/>
      <c r="D49" s="143"/>
      <c r="E49" s="155"/>
      <c r="F49" s="155"/>
      <c r="G49" s="384"/>
      <c r="H49" s="193"/>
      <c r="I49" s="194"/>
      <c r="J49" s="143"/>
      <c r="K49" s="143"/>
      <c r="L49" s="155"/>
      <c r="M49" s="155"/>
      <c r="O49" s="93"/>
      <c r="P49" s="93"/>
      <c r="Q49" s="93"/>
      <c r="R49" s="93"/>
      <c r="S49" s="93"/>
      <c r="T49" s="93"/>
      <c r="U49" s="93"/>
      <c r="V49" s="93"/>
      <c r="W49" s="93"/>
      <c r="X49" s="93"/>
      <c r="Y49" s="93"/>
      <c r="Z49" s="93"/>
    </row>
    <row r="50" spans="1:26" ht="60" customHeight="1" x14ac:dyDescent="0.8">
      <c r="A50" s="193"/>
      <c r="B50" s="194"/>
      <c r="C50" s="143"/>
      <c r="D50" s="143"/>
      <c r="E50" s="71"/>
      <c r="F50" s="71"/>
      <c r="G50" s="384"/>
      <c r="H50" s="193"/>
      <c r="I50" s="194"/>
      <c r="J50" s="143"/>
      <c r="K50" s="143"/>
      <c r="L50" s="71"/>
      <c r="M50" s="71"/>
    </row>
    <row r="51" spans="1:26" ht="60" customHeight="1" x14ac:dyDescent="0.8">
      <c r="A51" s="193"/>
      <c r="B51" s="194"/>
      <c r="C51" s="143"/>
      <c r="D51" s="143"/>
      <c r="E51" s="161"/>
      <c r="F51" s="161"/>
      <c r="G51" s="384"/>
      <c r="H51" s="193"/>
      <c r="I51" s="194"/>
      <c r="J51" s="143"/>
      <c r="K51" s="143"/>
      <c r="L51" s="161"/>
      <c r="M51" s="161"/>
    </row>
    <row r="52" spans="1:26" ht="60" customHeight="1" x14ac:dyDescent="0.8">
      <c r="A52" s="193"/>
      <c r="B52" s="194"/>
      <c r="C52" s="143"/>
      <c r="D52" s="143"/>
      <c r="E52" s="162"/>
      <c r="F52" s="162"/>
      <c r="G52" s="384"/>
      <c r="H52" s="193"/>
      <c r="I52" s="194"/>
      <c r="J52" s="143"/>
      <c r="K52" s="143"/>
      <c r="L52" s="162"/>
      <c r="M52" s="162"/>
    </row>
    <row r="53" spans="1:26" ht="16" x14ac:dyDescent="0.8">
      <c r="A53" s="163" t="s">
        <v>89</v>
      </c>
      <c r="B53" s="164">
        <f>SUM(B48:B52)</f>
        <v>0</v>
      </c>
      <c r="C53" s="143"/>
      <c r="D53" s="143"/>
      <c r="E53" s="73"/>
      <c r="G53" s="384"/>
      <c r="H53" s="165" t="s">
        <v>90</v>
      </c>
      <c r="I53" s="164">
        <f>SUM(I48:I52)</f>
        <v>0</v>
      </c>
      <c r="J53" s="143"/>
      <c r="K53" s="143"/>
      <c r="L53" s="73"/>
    </row>
    <row r="54" spans="1:26" ht="16.75" thickBot="1" x14ac:dyDescent="0.95">
      <c r="A54" s="379" t="s">
        <v>22</v>
      </c>
      <c r="B54" s="379"/>
      <c r="C54" s="10"/>
      <c r="D54" s="71"/>
      <c r="E54" s="71"/>
      <c r="F54" s="71"/>
      <c r="G54" s="384"/>
      <c r="H54" s="379" t="s">
        <v>22</v>
      </c>
      <c r="I54" s="379"/>
      <c r="J54" s="10"/>
      <c r="K54" s="71"/>
      <c r="L54" s="71"/>
      <c r="M54" s="71"/>
    </row>
    <row r="55" spans="1:26" ht="16" x14ac:dyDescent="0.8">
      <c r="A55" s="166" t="str">
        <f>IF('3b. High Cost Fund'!$B12="No","This exception is not valid in your state.","Exception (e) The assumption of cost by the high cost fund operated by the")</f>
        <v>This exception is not valid in your state.</v>
      </c>
      <c r="B55" s="145"/>
      <c r="C55" s="146"/>
      <c r="D55" s="130"/>
      <c r="E55" s="130"/>
      <c r="F55" s="143"/>
      <c r="G55" s="384"/>
      <c r="H55" s="166" t="str">
        <f>IF('3b. High Cost Fund'!$B12="No","This exception is not valid in your state.","Exception (e) The assumption of cost by the high cost fund operated by the")</f>
        <v>This exception is not valid in your state.</v>
      </c>
      <c r="I55" s="145"/>
      <c r="J55" s="146"/>
      <c r="K55" s="130"/>
      <c r="L55" s="130"/>
      <c r="M55" s="143"/>
    </row>
    <row r="56" spans="1:26" ht="28.15" customHeight="1" x14ac:dyDescent="0.8">
      <c r="A56" s="70" t="str">
        <f>IF('3b. High Cost Fund'!$B12="No","","SEA under §300.704. MUST be explicitly permitted by the SEA.")</f>
        <v/>
      </c>
      <c r="B56" s="167"/>
      <c r="C56" s="168"/>
      <c r="D56" s="169"/>
      <c r="E56" s="162"/>
      <c r="F56" s="143"/>
      <c r="G56" s="384"/>
      <c r="H56" s="70" t="str">
        <f>IF('3b. High Cost Fund'!$B12="No","","SEA under §300.704. MUST be explicitly permitted by the SEA.")</f>
        <v/>
      </c>
      <c r="I56" s="167"/>
      <c r="J56" s="146"/>
      <c r="K56" s="169"/>
      <c r="L56" s="162"/>
      <c r="M56" s="143"/>
    </row>
    <row r="57" spans="1:26" ht="16" x14ac:dyDescent="0.8">
      <c r="A57" s="170" t="s">
        <v>85</v>
      </c>
      <c r="B57" s="171" t="s">
        <v>96</v>
      </c>
      <c r="C57" s="117"/>
      <c r="D57" s="143"/>
      <c r="E57" s="143"/>
      <c r="F57" s="10"/>
      <c r="G57" s="384"/>
      <c r="H57" s="170" t="s">
        <v>85</v>
      </c>
      <c r="I57" s="171" t="s">
        <v>97</v>
      </c>
      <c r="J57" s="117"/>
      <c r="K57" s="143"/>
      <c r="L57" s="143"/>
      <c r="M57" s="10"/>
    </row>
    <row r="58" spans="1:26" ht="15.4" customHeight="1" x14ac:dyDescent="0.8">
      <c r="A58" s="195"/>
      <c r="B58" s="196"/>
      <c r="C58" s="338" t="str">
        <f>IF(AND(B58&lt;&gt;"",'3b. High Cost Fund'!$B12="No"),"Invalid entry. This exception is valid only in states with high-cost funds. If your state has a high-cost fund, please indicate that on tab 3b.","")</f>
        <v/>
      </c>
      <c r="D58" s="143"/>
      <c r="E58" s="143"/>
      <c r="F58" s="10"/>
      <c r="G58" s="384"/>
      <c r="H58" s="195"/>
      <c r="I58" s="196"/>
      <c r="J58" s="338" t="str">
        <f>IF(AND(I58&lt;&gt;"",'3b. High Cost Fund'!$B12="No"),"Invalid entry. This exception is valid only in states with high-cost funds. If your state has a high-cost fund, please indicate that on tab 3b.","")</f>
        <v/>
      </c>
      <c r="K58" s="143"/>
      <c r="L58" s="143"/>
      <c r="M58" s="10"/>
    </row>
    <row r="59" spans="1:26" ht="16" x14ac:dyDescent="0.8">
      <c r="A59" s="195"/>
      <c r="B59" s="196"/>
      <c r="C59" s="143"/>
      <c r="D59" s="10"/>
      <c r="E59" s="10"/>
      <c r="F59" s="10"/>
      <c r="G59" s="384"/>
      <c r="H59" s="195"/>
      <c r="I59" s="196"/>
      <c r="J59" s="143"/>
      <c r="K59" s="10"/>
      <c r="L59" s="10"/>
      <c r="M59" s="10"/>
    </row>
    <row r="60" spans="1:26" ht="16" x14ac:dyDescent="0.8">
      <c r="A60" s="195"/>
      <c r="B60" s="196"/>
      <c r="C60" s="143"/>
      <c r="D60" s="10"/>
      <c r="E60" s="10"/>
      <c r="F60" s="10"/>
      <c r="G60" s="384"/>
      <c r="H60" s="195"/>
      <c r="I60" s="196"/>
      <c r="J60" s="143"/>
      <c r="K60" s="10"/>
      <c r="L60" s="10"/>
      <c r="M60" s="10"/>
    </row>
    <row r="61" spans="1:26" ht="16" x14ac:dyDescent="0.8">
      <c r="A61" s="195"/>
      <c r="B61" s="196"/>
      <c r="C61" s="143"/>
      <c r="D61" s="10"/>
      <c r="E61" s="10"/>
      <c r="F61" s="10"/>
      <c r="G61" s="384"/>
      <c r="H61" s="195"/>
      <c r="I61" s="196"/>
      <c r="J61" s="143"/>
      <c r="K61" s="10"/>
      <c r="L61" s="10"/>
      <c r="M61" s="10"/>
    </row>
    <row r="62" spans="1:26" ht="16" x14ac:dyDescent="0.8">
      <c r="A62" s="195"/>
      <c r="B62" s="196"/>
      <c r="C62" s="143"/>
      <c r="D62" s="10"/>
      <c r="E62" s="10"/>
      <c r="F62" s="10"/>
      <c r="G62" s="384"/>
      <c r="H62" s="195"/>
      <c r="I62" s="196"/>
      <c r="J62" s="143"/>
      <c r="K62" s="10"/>
      <c r="L62" s="10"/>
      <c r="M62" s="10"/>
    </row>
    <row r="63" spans="1:26" ht="16" x14ac:dyDescent="0.8">
      <c r="A63" s="172" t="s">
        <v>89</v>
      </c>
      <c r="B63" s="173">
        <f>IF('3b. High Cost Fund'!$B12="No",0,SUM(B58:B62))</f>
        <v>0</v>
      </c>
      <c r="C63" s="143"/>
      <c r="D63" s="10"/>
      <c r="E63" s="10"/>
      <c r="F63" s="10"/>
      <c r="G63" s="384"/>
      <c r="H63" s="174" t="s">
        <v>90</v>
      </c>
      <c r="I63" s="173">
        <f>IF('3b. High Cost Fund'!$B12="No",0,SUM(I58:I62))</f>
        <v>0</v>
      </c>
      <c r="J63" s="143"/>
      <c r="K63" s="10"/>
      <c r="L63" s="10"/>
      <c r="M63" s="10"/>
    </row>
    <row r="64" spans="1:26" ht="16.75" thickBot="1" x14ac:dyDescent="0.95">
      <c r="A64" s="379" t="s">
        <v>22</v>
      </c>
      <c r="B64" s="379"/>
      <c r="C64" s="143"/>
      <c r="D64" s="10"/>
      <c r="E64" s="10"/>
      <c r="F64" s="10"/>
      <c r="G64" s="384"/>
      <c r="H64" s="379" t="s">
        <v>22</v>
      </c>
      <c r="I64" s="379"/>
      <c r="J64" s="143"/>
      <c r="K64" s="10"/>
      <c r="L64" s="10"/>
      <c r="M64" s="10"/>
    </row>
    <row r="65" spans="1:13" ht="16" x14ac:dyDescent="0.8">
      <c r="A65" s="347" t="s">
        <v>107</v>
      </c>
      <c r="B65" s="348"/>
      <c r="C65" s="143"/>
      <c r="D65" s="10"/>
      <c r="E65" s="10"/>
      <c r="F65" s="10"/>
      <c r="G65" s="384"/>
      <c r="H65" s="347" t="s">
        <v>106</v>
      </c>
      <c r="I65" s="348"/>
      <c r="J65" s="143"/>
      <c r="K65" s="10"/>
      <c r="L65" s="10"/>
      <c r="M65" s="10"/>
    </row>
    <row r="66" spans="1:13" ht="16" x14ac:dyDescent="0.8">
      <c r="A66" s="242" t="s">
        <v>123</v>
      </c>
      <c r="B66" s="265" t="s">
        <v>124</v>
      </c>
      <c r="C66" s="143"/>
      <c r="D66" s="10"/>
      <c r="E66" s="10"/>
      <c r="F66" s="10"/>
      <c r="G66" s="384"/>
      <c r="H66" s="269" t="s">
        <v>123</v>
      </c>
      <c r="I66" s="270" t="s">
        <v>124</v>
      </c>
      <c r="J66" s="143"/>
      <c r="K66" s="10"/>
      <c r="L66" s="10"/>
      <c r="M66" s="10"/>
    </row>
    <row r="67" spans="1:13" ht="16" x14ac:dyDescent="0.8">
      <c r="A67" s="102" t="s">
        <v>0</v>
      </c>
      <c r="B67" s="240">
        <f>IF(B$28&gt;=0,(F$22+C$43+B$53+B$63),(F$22+C$43+B$53+B$63+B$32))</f>
        <v>0</v>
      </c>
      <c r="C67" s="143"/>
      <c r="D67" s="10"/>
      <c r="E67" s="10"/>
      <c r="F67" s="10"/>
      <c r="G67" s="384"/>
      <c r="H67" s="102" t="s">
        <v>0</v>
      </c>
      <c r="I67" s="240">
        <f>IF(I$28&gt;=0,(M$22+J$43+I$53+I$63),(M$22+J$43+I$53+I$63+I$32))</f>
        <v>0</v>
      </c>
      <c r="J67" s="143"/>
      <c r="K67" s="10"/>
      <c r="L67" s="10"/>
      <c r="M67" s="10"/>
    </row>
    <row r="68" spans="1:13" ht="16" x14ac:dyDescent="0.8">
      <c r="A68" s="241" t="s">
        <v>2</v>
      </c>
      <c r="B68" s="173">
        <f>IF(B$28&gt;=0,(F$22+C$43+B$53+B$63),(F$22+C$43+B$53+B$63+C$32))</f>
        <v>0</v>
      </c>
      <c r="C68" s="143"/>
      <c r="D68" s="10"/>
      <c r="E68" s="10"/>
      <c r="F68" s="10"/>
      <c r="G68" s="384"/>
      <c r="H68" s="241" t="s">
        <v>2</v>
      </c>
      <c r="I68" s="173">
        <f>IF(I$28&gt;=0,(M$22+J$43+I$53+I$63),(M$22+J$43+I$53+I$63+J$32))</f>
        <v>0</v>
      </c>
      <c r="J68" s="143"/>
      <c r="K68" s="10"/>
      <c r="L68" s="10"/>
      <c r="M68" s="10"/>
    </row>
    <row r="69" spans="1:13" ht="16.75" thickBot="1" x14ac:dyDescent="0.95">
      <c r="A69" s="382" t="s">
        <v>22</v>
      </c>
      <c r="B69" s="382"/>
      <c r="C69" s="10"/>
      <c r="D69" s="10"/>
      <c r="E69" s="10"/>
      <c r="F69" s="10"/>
      <c r="G69" s="384"/>
      <c r="H69" s="382" t="s">
        <v>22</v>
      </c>
      <c r="I69" s="382"/>
      <c r="J69" s="10"/>
      <c r="K69" s="10"/>
      <c r="L69" s="10"/>
      <c r="M69" s="10"/>
    </row>
    <row r="70" spans="1:13" ht="31.15" customHeight="1" x14ac:dyDescent="0.8">
      <c r="A70" s="337" t="s">
        <v>98</v>
      </c>
      <c r="B70" s="176"/>
      <c r="C70" s="11"/>
      <c r="D70" s="177"/>
      <c r="E70" s="10"/>
      <c r="F70" s="10"/>
      <c r="G70" s="384"/>
      <c r="H70" s="337" t="s">
        <v>98</v>
      </c>
      <c r="I70" s="176"/>
      <c r="J70" s="11"/>
      <c r="K70" s="177"/>
      <c r="L70" s="10"/>
      <c r="M70" s="10"/>
    </row>
    <row r="71" spans="1:13" ht="16" x14ac:dyDescent="0.8">
      <c r="A71" s="178" t="s">
        <v>71</v>
      </c>
      <c r="B71" s="179" t="s">
        <v>99</v>
      </c>
      <c r="C71" s="11" t="s">
        <v>100</v>
      </c>
      <c r="E71" s="10"/>
      <c r="F71" s="10"/>
      <c r="G71" s="384"/>
      <c r="H71" s="178" t="s">
        <v>71</v>
      </c>
      <c r="I71" s="179" t="s">
        <v>101</v>
      </c>
      <c r="J71" s="11" t="s">
        <v>100</v>
      </c>
      <c r="K71" s="10"/>
      <c r="L71" s="10"/>
      <c r="M71" s="10"/>
    </row>
    <row r="72" spans="1:13" ht="16" x14ac:dyDescent="0.8">
      <c r="A72" s="180" t="s">
        <v>102</v>
      </c>
      <c r="B72" s="197">
        <v>0</v>
      </c>
      <c r="C72" s="181" t="s">
        <v>103</v>
      </c>
      <c r="D72" s="10"/>
      <c r="E72" s="10"/>
      <c r="F72" s="10"/>
      <c r="G72" s="384"/>
      <c r="H72" s="180" t="s">
        <v>104</v>
      </c>
      <c r="I72" s="197">
        <v>0</v>
      </c>
      <c r="J72" s="181" t="s">
        <v>103</v>
      </c>
      <c r="K72" s="10"/>
      <c r="L72" s="10"/>
      <c r="M72" s="10"/>
    </row>
    <row r="73" spans="1:13" ht="30" customHeight="1" x14ac:dyDescent="0.8">
      <c r="A73" s="345" t="s">
        <v>183</v>
      </c>
      <c r="B73" s="182"/>
      <c r="C73" s="182"/>
      <c r="D73" s="182"/>
      <c r="E73" s="182"/>
      <c r="F73" s="182"/>
      <c r="G73" s="384"/>
      <c r="H73" s="182"/>
      <c r="I73" s="182"/>
      <c r="J73" s="182"/>
      <c r="K73" s="182"/>
      <c r="L73" s="182"/>
      <c r="M73" s="182"/>
    </row>
    <row r="74" spans="1:13" s="184" customFormat="1" ht="16" x14ac:dyDescent="0.8">
      <c r="A74" s="358" t="s">
        <v>182</v>
      </c>
      <c r="B74" s="183"/>
      <c r="C74" s="183"/>
      <c r="D74" s="183"/>
      <c r="E74" s="183"/>
      <c r="F74" s="183"/>
      <c r="G74" s="384"/>
      <c r="H74" s="183"/>
      <c r="I74" s="183"/>
      <c r="J74" s="183"/>
      <c r="K74" s="183"/>
      <c r="L74" s="183"/>
      <c r="M74" s="183"/>
    </row>
    <row r="75" spans="1:13" ht="16" x14ac:dyDescent="0.8">
      <c r="A75" s="380" t="s">
        <v>24</v>
      </c>
      <c r="B75" s="380"/>
      <c r="C75" s="380"/>
      <c r="D75" s="380"/>
      <c r="E75" s="380"/>
      <c r="F75" s="380"/>
      <c r="G75" s="380"/>
      <c r="H75" s="380"/>
      <c r="I75" s="380"/>
      <c r="J75" s="380"/>
      <c r="K75" s="380"/>
      <c r="L75" s="380"/>
      <c r="M75" s="380"/>
    </row>
    <row r="76" spans="1:13" ht="16" hidden="1" x14ac:dyDescent="0.8"/>
    <row r="77" spans="1:13" ht="16" hidden="1" x14ac:dyDescent="0.8"/>
    <row r="78" spans="1:13" ht="16" hidden="1" x14ac:dyDescent="0.8"/>
    <row r="79" spans="1:13" ht="16" hidden="1" x14ac:dyDescent="0.8"/>
  </sheetData>
  <sheetProtection algorithmName="SHA-512" hashValue="3g3A79qo4y8FI9RWN/lGpqFeUP49R+SE5xgTBYtAahw8DApu9eUebeeM20D3DKVy7kDs1aNj7tQNdr6atPBpYQ==" saltValue="HHuJ63kYQQxNIpEIH9RH1Q==" spinCount="100000" sheet="1" formatColumns="0" formatRows="0"/>
  <mergeCells count="14">
    <mergeCell ref="A75:M75"/>
    <mergeCell ref="A23:F23"/>
    <mergeCell ref="H23:M23"/>
    <mergeCell ref="A33:C33"/>
    <mergeCell ref="H33:J33"/>
    <mergeCell ref="A44:C44"/>
    <mergeCell ref="H44:J44"/>
    <mergeCell ref="G1:G74"/>
    <mergeCell ref="A64:B64"/>
    <mergeCell ref="H64:I64"/>
    <mergeCell ref="A54:B54"/>
    <mergeCell ref="H54:I54"/>
    <mergeCell ref="A69:B69"/>
    <mergeCell ref="H69:I69"/>
  </mergeCells>
  <conditionalFormatting sqref="A55">
    <cfRule type="containsText" dxfId="168" priority="2" operator="containsText" text="not valid">
      <formula>NOT(ISERROR(SEARCH("not valid",A55)))</formula>
    </cfRule>
  </conditionalFormatting>
  <conditionalFormatting sqref="H55">
    <cfRule type="containsText" dxfId="167" priority="1" operator="containsText" text="not valid">
      <formula>NOT(ISERROR(SEARCH("not valid",H55)))</formula>
    </cfRule>
  </conditionalFormatting>
  <dataValidations count="1">
    <dataValidation type="list" allowBlank="1" showInputMessage="1" showErrorMessage="1" sqref="B38:B42 I38:I42" xr:uid="{00000000-0002-0000-2100-000000000000}">
      <formula1>Exception_c</formula1>
    </dataValidation>
  </dataValidations>
  <hyperlinks>
    <hyperlink ref="C72" r:id="rId1" xr:uid="{00000000-0004-0000-2100-000000000000}"/>
    <hyperlink ref="J72" r:id="rId2" xr:uid="{00000000-0004-0000-2100-000001000000}"/>
    <hyperlink ref="A74" r:id="rId3" xr:uid="{CBD3B1E8-81D3-467C-99FA-3E3F50F71FBB}"/>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rgb="FF0070C0"/>
  </sheetPr>
  <dimension ref="A1:F43"/>
  <sheetViews>
    <sheetView showGridLines="0" workbookViewId="0">
      <selection activeCell="A5" sqref="A5"/>
    </sheetView>
  </sheetViews>
  <sheetFormatPr defaultColWidth="0" defaultRowHeight="14.75" zeroHeight="1" x14ac:dyDescent="0.75"/>
  <cols>
    <col min="1" max="1" width="43.40625" bestFit="1" customWidth="1"/>
    <col min="2" max="5" width="33.7265625" customWidth="1"/>
    <col min="6" max="6" width="0.86328125" customWidth="1"/>
    <col min="7" max="16384" width="9.1328125" hidden="1"/>
  </cols>
  <sheetData>
    <row r="1" spans="1:5" ht="21" x14ac:dyDescent="1">
      <c r="A1" s="302" t="str">
        <f>CONCATENATE("Summary of Year 10: State Fiscal Year ",'2. Getting Started'!B6+9)</f>
        <v>Summary of Year 10: State Fiscal Year 2033</v>
      </c>
      <c r="B1" s="300"/>
      <c r="C1" s="300"/>
      <c r="D1" s="21" t="s">
        <v>14</v>
      </c>
      <c r="E1" s="20" t="str">
        <f>IF('2. Getting Started'!B2="","",'2. Getting Started'!B2)</f>
        <v/>
      </c>
    </row>
    <row r="2" spans="1:5" ht="18.5" x14ac:dyDescent="0.9">
      <c r="A2" s="2" t="str">
        <f>CONCATENATE("State fiscal year ",'2. Getting Started'!B6+9," covers the period ",'2. Getting Started'!B4,", ",'2. Getting Started'!B6+8," through ",'2. Getting Started'!B5,", ",'2. Getting Started'!B6+9)</f>
        <v>State fiscal year 2033 covers the period July 1, 2032 through June 30, 2033</v>
      </c>
      <c r="B2" s="300"/>
      <c r="C2" s="300"/>
      <c r="D2" s="301"/>
      <c r="E2" s="300"/>
    </row>
    <row r="3" spans="1:5" ht="18.5" x14ac:dyDescent="0.9">
      <c r="A3" s="8"/>
      <c r="B3" s="18"/>
      <c r="C3" s="18"/>
      <c r="D3" s="201"/>
      <c r="E3" s="18"/>
    </row>
    <row r="4" spans="1:5" ht="16" x14ac:dyDescent="0.8">
      <c r="A4" s="5" t="s">
        <v>7</v>
      </c>
      <c r="B4" s="4"/>
      <c r="C4" s="4"/>
      <c r="D4" s="4"/>
      <c r="E4" s="4"/>
    </row>
    <row r="5" spans="1:5" x14ac:dyDescent="0.75">
      <c r="A5" s="260" t="s">
        <v>125</v>
      </c>
      <c r="B5" s="244" t="s">
        <v>0</v>
      </c>
      <c r="C5" s="244" t="s">
        <v>2</v>
      </c>
      <c r="D5" s="244" t="s">
        <v>3</v>
      </c>
      <c r="E5" s="245" t="s">
        <v>4</v>
      </c>
    </row>
    <row r="6" spans="1:5" x14ac:dyDescent="0.75">
      <c r="A6" s="243" t="s">
        <v>44</v>
      </c>
      <c r="B6" s="3" t="str">
        <f>IF('2. Getting Started'!B10="","",IF('38. Total Local Funds'!F70="Met",'2. Getting Started'!$B$6+7,IF('38. Total Local Funds'!F62="Met",'2. Getting Started'!$B$6+6,IF('38. Total Local Funds'!F54="Met",'2. Getting Started'!$B$6+5,IF('38. Total Local Funds'!F46="Met",'2. Getting Started'!$B$6+4,IF('38. Total Local Funds'!F38="Met",'2. Getting Started'!$B$6+3,IF('38. Total Local Funds'!F30="Met",'2. Getting Started'!$B$6+2,IF('38. Total Local Funds'!$F22="Met",'2. Getting Started'!$B$6+1,IF('38. Total Local Funds'!$F14="Met",'2. Getting Started'!$B$6,'2. Getting Started'!$B10)))))))))</f>
        <v/>
      </c>
      <c r="C6" s="3" t="str">
        <f>IF('2. Getting Started'!B11="","",IF('39. Total State &amp; Local Funds'!F70="Met",'2. Getting Started'!$B$6+7,IF('39. Total State &amp; Local Funds'!F62="Met",'2. Getting Started'!$B$6+6,IF('39. Total State &amp; Local Funds'!F54="Met",'2. Getting Started'!$B$6+5,IF('39.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6" s="3" t="str">
        <f>IF('2. Getting Started'!B12="","",IF('40. Local Funds Per Capita'!F71="Met",'2. Getting Started'!$B$6+7,IF('40. Local Funds Per Capita'!F63="Met",'2. Getting Started'!$B$6+6,IF('40. Local Funds Per Capita'!F55="Met",'2. Getting Started'!$B$6+5,IF('40.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6" s="257" t="str">
        <f>IF('2. Getting Started'!B13="","",IF('41. State &amp; Local Funds Per Cap'!F71="Met",'2. Getting Started'!$B$6+7,IF('41. State &amp; Local Funds Per Cap'!F63="Met",'2. Getting Started'!$B$6+6,IF('41. State &amp; Local Funds Per Cap'!F55="Met",'2. Getting Started'!$B$6+5,IF('41.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7" spans="1:5" x14ac:dyDescent="0.75">
      <c r="A7" s="243" t="s">
        <v>45</v>
      </c>
      <c r="B7" s="204" t="str">
        <f>IF(B6="","",IF(B6='2. Getting Started'!$B$6+7,'26. Year 8 Amounts'!K30,IF(B6='2. Getting Started'!$B$6+6,'23. Year 7 Amounts'!K30,IF(B6='2. Getting Started'!$B$6+5,'20. Year 6 Amounts'!K30,IF(B6='2. Getting Started'!$B$6+4,'17. Year 5 Amounts'!K30,IF(B6='2. Getting Started'!$B$6+3,'14. Year 4 Amounts'!K30,IF(B6='2. Getting Started'!$B$6+2,'11. Year 3 Amounts'!K30,IF(B6='2. Getting Started'!$B$6+1,'8. Year 2 Amounts'!K30,IF(B6='2. Getting Started'!$B$6,'5. Year 1 Amounts'!K30,'2. Getting Started'!$C10)))))))))</f>
        <v/>
      </c>
      <c r="C7" s="204" t="str">
        <f>IF(C6="","",IF(C6='2. Getting Started'!$B$6+7,'26. Year 8 Amounts'!M30,IF(C6='2. Getting Started'!$B$6+6,'23. Year 7 Amounts'!M30,IF(C6='2. Getting Started'!$B$6+5,'20. Year 6 Amounts'!M30,IF(C6='2. Getting Started'!$B$6+4,'17. Year 5 Amounts'!M30,IF(C6='2. Getting Started'!$B$6+3,'14. Year 4 Amounts'!M30,IF(C6='2. Getting Started'!$B$6+2,'11. Year 3 Amounts'!M30,IF(C6='2. Getting Started'!$B$6+1,'8. Year 2 Amounts'!M30,IF(C6='2. Getting Started'!$B$6,'5. Year 1 Amounts'!M30,'2. Getting Started'!$C11)))))))))</f>
        <v/>
      </c>
      <c r="D7" s="204" t="str">
        <f>IF(D6="","",IF(D6='2. Getting Started'!$B$6+7,'26. Year 8 Amounts'!K31,IF(D6='2. Getting Started'!$B$6+6,'23. Year 7 Amounts'!K31,IF(D6='2. Getting Started'!$B$6+5,'20. Year 6 Amounts'!K31,IF(D6='2. Getting Started'!$B$6+4,'17. Year 5 Amounts'!K31,IF(D6='2. Getting Started'!$B$6+3,'14. Year 4 Amounts'!K31,IF(D6='2. Getting Started'!$B$6+2,'11. Year 3 Amounts'!K31,IF(D6='2. Getting Started'!$B$6+1,'8. Year 2 Amounts'!K31,IF(D6='2. Getting Started'!$B$6,'5. Year 1 Amounts'!K31,'2. Getting Started'!$C12)))))))))</f>
        <v/>
      </c>
      <c r="E7" s="267" t="str">
        <f>IF(E6="","",IF(E6='2. Getting Started'!$B$6+7,'26. Year 8 Amounts'!M31,IF(E6='2. Getting Started'!$B$6+6,'23. Year 7 Amounts'!M31,IF(E6='2. Getting Started'!$B$6+5,'20. Year 6 Amounts'!M31,IF(E6='2. Getting Started'!$B$6+4,'17. Year 5 Amounts'!M31,IF(E6='2. Getting Started'!$B$6+3,'14. Year 4 Amounts'!M31,IF(E6='2. Getting Started'!$B$6+2,'11. Year 3 Amounts'!M31,IF(E6='2. Getting Started'!$B$6+1,'8. Year 2 Amounts'!M31,IF(E6='2. Getting Started'!$B$6,'5. Year 1 Amounts'!M31,'2. Getting Started'!$C13)))))))))</f>
        <v/>
      </c>
    </row>
    <row r="8" spans="1:5" x14ac:dyDescent="0.75">
      <c r="A8" s="243" t="s">
        <v>9</v>
      </c>
      <c r="B8" s="204" t="str">
        <f>'32. Year 10 Amounts'!D30</f>
        <v/>
      </c>
      <c r="C8" s="204" t="str">
        <f>'32. Year 10 Amounts'!F30</f>
        <v/>
      </c>
      <c r="D8" s="204" t="str">
        <f>'32. Year 10 Amounts'!D31</f>
        <v/>
      </c>
      <c r="E8" s="267" t="str">
        <f>'32. Year 10 Amounts'!F31</f>
        <v/>
      </c>
    </row>
    <row r="9" spans="1:5" x14ac:dyDescent="0.75">
      <c r="A9" s="243" t="s">
        <v>117</v>
      </c>
      <c r="B9" s="200" t="str">
        <f>IF(B8="","",IF(B8&gt;=B7,"Met",IF(AND(B8&lt;B7,'38. Total Local Funds'!$B86="Met"),"Met with Exceptions &amp; Adjustments","Did Not Meet")))</f>
        <v/>
      </c>
      <c r="C9" s="200" t="str">
        <f>IF(C8="","",IF(C8&gt;=C7,"Met",IF(AND(C8&lt;C7,'39. Total State &amp; Local Funds'!$B86="Met"),"Met with Exceptions &amp; Adjustments","Did Not Meet")))</f>
        <v/>
      </c>
      <c r="D9" s="200" t="str">
        <f>IF(D8="","",IF(D8&gt;=D7,"Met",IF(AND(D8&lt;D7,'40. Local Funds Per Capita'!$B87="Met"),"Met with Exceptions &amp; Adjustments","Did Not Meet")))</f>
        <v/>
      </c>
      <c r="E9" s="259" t="str">
        <f>IF(E8="","",IF(E8&gt;=E7,"Met",IF(AND(E8&lt;E7,'41. State &amp; Local Funds Per Cap'!$B87="Met"),"Met with Exceptions &amp; Adjustments","Did Not Meet")))</f>
        <v/>
      </c>
    </row>
    <row r="10" spans="1:5" x14ac:dyDescent="0.75">
      <c r="A10" s="246" t="s">
        <v>46</v>
      </c>
      <c r="B10" s="256" t="str">
        <f>IF(B9="","",IF(B9="Did Not Meet",'38. Total Local Funds'!$B84-'38. Total Local Funds'!$B85,0))</f>
        <v/>
      </c>
      <c r="C10" s="256" t="str">
        <f>IF(C9="","",IF(C9="Did Not Meet",'39. Total State &amp; Local Funds'!$B84-'39. Total State &amp; Local Funds'!$B85,0))</f>
        <v/>
      </c>
      <c r="D10" s="256" t="str">
        <f>IF(D9="","",IF(D9="Did Not Meet",(('40. Local Funds Per Capita'!$B85-'40. Local Funds Per Capita'!$B86)*'32. Year 10 Amounts'!B1),0))</f>
        <v/>
      </c>
      <c r="E10" s="261" t="str">
        <f>IF(E9="","",IF(E9="Did Not Meet",(('41. State &amp; Local Funds Per Cap'!$B85-'41. State &amp; Local Funds Per Cap'!$B86)*'32. Year 10 Amounts'!B1),0))</f>
        <v/>
      </c>
    </row>
    <row r="11" spans="1:5" x14ac:dyDescent="0.75">
      <c r="A11" s="373" t="s">
        <v>175</v>
      </c>
      <c r="B11" s="373"/>
      <c r="C11" s="373"/>
      <c r="D11" s="373"/>
      <c r="E11" s="373"/>
    </row>
    <row r="12" spans="1:5" ht="16" x14ac:dyDescent="0.8">
      <c r="A12" s="5" t="s">
        <v>10</v>
      </c>
      <c r="B12" s="5"/>
      <c r="C12" s="5"/>
      <c r="D12" s="5"/>
      <c r="E12" s="5"/>
    </row>
    <row r="13" spans="1:5" x14ac:dyDescent="0.75">
      <c r="A13" s="260" t="s">
        <v>125</v>
      </c>
      <c r="B13" s="244" t="s">
        <v>0</v>
      </c>
      <c r="C13" s="244" t="s">
        <v>2</v>
      </c>
      <c r="D13" s="244" t="s">
        <v>3</v>
      </c>
      <c r="E13" s="245" t="s">
        <v>4</v>
      </c>
    </row>
    <row r="14" spans="1:5" x14ac:dyDescent="0.75">
      <c r="A14" s="243" t="s">
        <v>44</v>
      </c>
      <c r="B14" s="3" t="str">
        <f>IF('2. Getting Started'!B10="","",IF('38. Total Local Funds'!F78="Met",'2. Getting Started'!B6+8,IF('38. Total Local Funds'!F70="Met",'2. Getting Started'!B6+7,IF('38. Total Local Funds'!F62="Met",'2. Getting Started'!B6+6,IF('38. Total Local Funds'!F54="Met",'2. Getting Started'!B6+5,IF('38. Total Local Funds'!F46="Met",'2. Getting Started'!B6+4,IF('38. Total Local Funds'!F38="Met",'2. Getting Started'!$B$6+3,IF('38. Total Local Funds'!F30="Met",'2. Getting Started'!$B$6+2,IF('38. Total Local Funds'!F22="Met",'2. Getting Started'!$B$6+1,IF('38. Total Local Funds'!$F14="Met",'2. Getting Started'!$B$6,'2. Getting Started'!$B10))))))))))</f>
        <v/>
      </c>
      <c r="C14" s="3" t="str">
        <f>IF('2. Getting Started'!B11="","",IF('39. Total State &amp; Local Funds'!F78="Met",'2. Getting Started'!B6+8,IF('39. Total State &amp; Local Funds'!F70="Met",'2. Getting Started'!B6+7,IF('39. Total State &amp; Local Funds'!F62="Met",'2. Getting Started'!B6+6,IF('39. Total State &amp; Local Funds'!F54="Met",'2. Getting Started'!B6+5,IF('39.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14" s="3" t="str">
        <f>IF('2. Getting Started'!B12="","",IF('40. Local Funds Per Capita'!F79="Met",'2. Getting Started'!B6+8,IF('40. Local Funds Per Capita'!F71="Met",'2. Getting Started'!B6+7,IF('40. Local Funds Per Capita'!F63="Met",'2. Getting Started'!B6+6,IF('40. Local Funds Per Capita'!F55="Met",'2. Getting Started'!B6+5,IF('40.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14" s="257" t="str">
        <f>IF('2. Getting Started'!B13="","",IF('41. State &amp; Local Funds Per Cap'!F79="Met",'2. Getting Started'!B6+8,IF('41. State &amp; Local Funds Per Cap'!F71="Met",'2. Getting Started'!B6+7,IF('41. State &amp; Local Funds Per Cap'!F63="Met",'2. Getting Started'!B6+6,IF('41. State &amp; Local Funds Per Cap'!F55="Met",'2. Getting Started'!B6+5,IF('41.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15" spans="1:5" x14ac:dyDescent="0.75">
      <c r="A15" s="243" t="s">
        <v>45</v>
      </c>
      <c r="B15" s="17" t="str">
        <f>IF(B14="","",IF(B14='2. Getting Started'!B6+8,'29. Year 9 Amounts'!K30,IF(B14='2. Getting Started'!B6+7,'26. Year 8 Amounts'!K30,IF(B14='2. Getting Started'!B6+6,'23. Year 7 Amounts'!K30,IF(B14='2. Getting Started'!B6+5,'20. Year 6 Amounts'!K30,IF(B14='2. Getting Started'!B6+4,'17. Year 5 Amounts'!K30,IF(B14='2. Getting Started'!$B$6+3,'14. Year 4 Amounts'!K30,IF(B14='2. Getting Started'!$B$6+2,'11. Year 3 Amounts'!K30,IF(B14='2. Getting Started'!$B$6+1,'8. Year 2 Amounts'!K30,IF(B14='2. Getting Started'!$B$6,'5. Year 1 Amounts'!K30,'2. Getting Started'!$C10))))))))))</f>
        <v/>
      </c>
      <c r="C15" s="17" t="str">
        <f>IF(C14="","",IF(C14='2. Getting Started'!B6+8,'29. Year 9 Amounts'!M30,IF(C14='2. Getting Started'!B6+7,'26. Year 8 Amounts'!M30,IF(C14='2. Getting Started'!B6+6,'23. Year 7 Amounts'!M30,IF(C14='2. Getting Started'!B6+5,'20. Year 6 Amounts'!M30,IF(C14='2. Getting Started'!B6+4,'17. Year 5 Amounts'!M30,IF(C14='2. Getting Started'!$B$6+3,'14. Year 4 Amounts'!M30,IF(C14='2. Getting Started'!$B$6+2,'11. Year 3 Amounts'!M30,IF(C14='2. Getting Started'!$B$6+1,'8. Year 2 Amounts'!M30,IF(C14='2. Getting Started'!$B$6,'5. Year 1 Amounts'!M30,'2. Getting Started'!$C11))))))))))</f>
        <v/>
      </c>
      <c r="D15" s="17" t="str">
        <f>IF(D14="","",IF(D14='2. Getting Started'!B6+8,'29. Year 9 Amounts'!K31,IF(D14='2. Getting Started'!B6+7,'26. Year 8 Amounts'!K31,IF(D14='2. Getting Started'!B6+6,'23. Year 7 Amounts'!K31,IF(D14='2. Getting Started'!B6+5,'20. Year 6 Amounts'!K31,IF(D14='2. Getting Started'!B6+4,'17. Year 5 Amounts'!K31,IF(D14='2. Getting Started'!$B$6+3,'14. Year 4 Amounts'!K31,IF(D14='2. Getting Started'!$B$6+2,'11. Year 3 Amounts'!K31,IF(D14='2. Getting Started'!$B$6+1,'8. Year 2 Amounts'!K31,IF(D14='2. Getting Started'!$B$6,'5. Year 1 Amounts'!K31,'2. Getting Started'!$C12))))))))))</f>
        <v/>
      </c>
      <c r="E15" s="258" t="str">
        <f>IF(E14="","",IF(E14='2. Getting Started'!B6+8,'29. Year 9 Amounts'!M31,IF(E14='2. Getting Started'!B6+7,'26. Year 8 Amounts'!M31,IF(E14='2. Getting Started'!B6+6,'23. Year 7 Amounts'!M31,IF(E14='2. Getting Started'!B6+5,'20. Year 6 Amounts'!M31,IF(E14='2. Getting Started'!B6+4,'17. Year 5 Amounts'!M31,IF(E14='2. Getting Started'!$B$6+3,'14. Year 4 Amounts'!M31,IF(E14='2. Getting Started'!$B$6+2,'11. Year 3 Amounts'!M31,IF(E14='2. Getting Started'!$B$6+1,'8. Year 2 Amounts'!M31,IF(E14='2. Getting Started'!$B$6,'5. Year 1 Amounts'!M31,'2. Getting Started'!$C13))))))))))</f>
        <v/>
      </c>
    </row>
    <row r="16" spans="1:5" x14ac:dyDescent="0.75">
      <c r="A16" s="243" t="s">
        <v>11</v>
      </c>
      <c r="B16" s="17" t="str">
        <f>'32. Year 10 Amounts'!K30</f>
        <v/>
      </c>
      <c r="C16" s="17" t="str">
        <f>'32. Year 10 Amounts'!M30</f>
        <v/>
      </c>
      <c r="D16" s="17" t="str">
        <f>'32. Year 10 Amounts'!K31</f>
        <v/>
      </c>
      <c r="E16" s="258" t="str">
        <f>'32. Year 10 Amounts'!M31</f>
        <v/>
      </c>
    </row>
    <row r="17" spans="1:5" x14ac:dyDescent="0.75">
      <c r="A17" s="243" t="s">
        <v>117</v>
      </c>
      <c r="B17" s="200" t="str">
        <f>IF(B16="","",IF(B16&gt;=B15,"Met",IF(AND(B16&lt;B15,'38. Total Local Funds'!F86="Met"),"Met with Exceptions &amp; Adjustments","Did Not Meet")))</f>
        <v/>
      </c>
      <c r="C17" s="200" t="str">
        <f>IF(C16="","",IF(C16&gt;=C15,"Met",IF(AND(C16&lt;C15,'39. Total State &amp; Local Funds'!F86="Met"),"Met with Exceptions &amp; Adjustments","Did Not Meet")))</f>
        <v/>
      </c>
      <c r="D17" s="200" t="str">
        <f>IF(D16="","",IF(D16&gt;=D15,"Met",IF(AND(D16&lt;D15,'40. Local Funds Per Capita'!F87="Met"),"Met with Exceptions &amp; Adjustments","Did Not Meet")))</f>
        <v/>
      </c>
      <c r="E17" s="259" t="str">
        <f>IF(E16="","",IF(E16&gt;=E15,"Met",IF(AND(E16&lt;E15,'41. State &amp; Local Funds Per Cap'!F87="Met"),"Met with Exceptions &amp; Adjustments","Did Not Meet")))</f>
        <v/>
      </c>
    </row>
    <row r="18" spans="1:5" x14ac:dyDescent="0.75">
      <c r="A18" s="246" t="s">
        <v>46</v>
      </c>
      <c r="B18" s="256" t="str">
        <f>IF(B17="","",IF(B17="Did Not Meet",'38. Total Local Funds'!F84-'38. Total Local Funds'!F85,0))</f>
        <v/>
      </c>
      <c r="C18" s="256" t="str">
        <f>IF(C17="","",IF(C17="Did Not Meet",'39. Total State &amp; Local Funds'!F84-'39. Total State &amp; Local Funds'!F85,0))</f>
        <v/>
      </c>
      <c r="D18" s="256" t="str">
        <f>IF(D17="","",IF(D17="Did Not Meet",(('40. Local Funds Per Capita'!F85-'40. Local Funds Per Capita'!F86)*'32. Year 10 Amounts'!I1),0))</f>
        <v/>
      </c>
      <c r="E18" s="261" t="str">
        <f>IF(E17="","",IF(E17="Did Not Meet",(('41. State &amp; Local Funds Per Cap'!F85-'41. State &amp; Local Funds Per Cap'!F86)*'32. Year 10 Amounts'!I1),0))</f>
        <v/>
      </c>
    </row>
    <row r="19" spans="1:5" x14ac:dyDescent="0.75">
      <c r="A19" s="373" t="s">
        <v>175</v>
      </c>
      <c r="B19" s="373"/>
      <c r="C19" s="373"/>
      <c r="D19" s="373"/>
      <c r="E19" s="373"/>
    </row>
    <row r="20" spans="1:5" ht="16" x14ac:dyDescent="0.8">
      <c r="A20" s="198"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9"/>
    </row>
    <row r="21" spans="1:5" x14ac:dyDescent="0.75">
      <c r="A21" s="260" t="s">
        <v>126</v>
      </c>
      <c r="B21" s="271" t="s">
        <v>158</v>
      </c>
    </row>
    <row r="22" spans="1:5" x14ac:dyDescent="0.75">
      <c r="A22" s="243" t="s">
        <v>110</v>
      </c>
      <c r="B22" s="272"/>
    </row>
    <row r="23" spans="1:5" x14ac:dyDescent="0.75">
      <c r="A23" s="243" t="s">
        <v>111</v>
      </c>
      <c r="B23" s="272"/>
    </row>
    <row r="24" spans="1:5" x14ac:dyDescent="0.75">
      <c r="A24" s="243" t="s">
        <v>112</v>
      </c>
      <c r="B24" s="258">
        <f>B22+B23</f>
        <v>0</v>
      </c>
    </row>
    <row r="25" spans="1:5" x14ac:dyDescent="0.75">
      <c r="A25" s="243" t="s">
        <v>113</v>
      </c>
      <c r="B25" s="258">
        <f>MIN(B24,B18,C18,D18,E18)</f>
        <v>0</v>
      </c>
    </row>
    <row r="26" spans="1:5" x14ac:dyDescent="0.75">
      <c r="A26" s="243" t="s">
        <v>114</v>
      </c>
      <c r="B26" s="263"/>
    </row>
    <row r="27" spans="1:5" x14ac:dyDescent="0.75">
      <c r="A27" s="246" t="s">
        <v>115</v>
      </c>
      <c r="B27" s="264"/>
    </row>
    <row r="28" spans="1:5" x14ac:dyDescent="0.75">
      <c r="A28" s="373" t="s">
        <v>175</v>
      </c>
      <c r="B28" s="373"/>
      <c r="C28" s="373"/>
      <c r="D28" s="373"/>
      <c r="E28" s="373"/>
    </row>
    <row r="29" spans="1:5" ht="16" x14ac:dyDescent="0.8">
      <c r="A29" s="322" t="s">
        <v>149</v>
      </c>
    </row>
    <row r="30" spans="1:5" x14ac:dyDescent="0.75">
      <c r="A30" s="373" t="s">
        <v>175</v>
      </c>
      <c r="B30" s="373"/>
      <c r="C30" s="373"/>
      <c r="D30" s="373"/>
      <c r="E30" s="373"/>
    </row>
    <row r="31" spans="1:5" x14ac:dyDescent="0.75">
      <c r="A31" s="2" t="str">
        <f>CONCATENATE("Exceptions and Adjustment Claimed for State Fiscal Year ",'2. Getting Started'!B6+9)</f>
        <v>Exceptions and Adjustment Claimed for State Fiscal Year 2033</v>
      </c>
    </row>
    <row r="32" spans="1:5" x14ac:dyDescent="0.75">
      <c r="A32" s="2"/>
      <c r="B32" s="323" t="s">
        <v>148</v>
      </c>
      <c r="C32" s="4"/>
      <c r="D32" s="323" t="s">
        <v>152</v>
      </c>
      <c r="E32" s="4"/>
    </row>
    <row r="33" spans="1:5" x14ac:dyDescent="0.75">
      <c r="A33" s="217" t="s">
        <v>151</v>
      </c>
      <c r="B33" s="324" t="s">
        <v>155</v>
      </c>
      <c r="C33" s="325" t="s">
        <v>156</v>
      </c>
      <c r="D33" s="326" t="s">
        <v>153</v>
      </c>
      <c r="E33" s="325" t="s">
        <v>154</v>
      </c>
    </row>
    <row r="34" spans="1:5" x14ac:dyDescent="0.75">
      <c r="A34" s="223" t="s">
        <v>140</v>
      </c>
      <c r="B34" s="17">
        <f>'33. Year 10 Exc &amp; Adj'!F22</f>
        <v>0</v>
      </c>
      <c r="C34" s="258">
        <f>'33. Year 10 Exc &amp; Adj'!F22</f>
        <v>0</v>
      </c>
      <c r="D34" s="327">
        <f>'33. Year 10 Exc &amp; Adj'!M22</f>
        <v>0</v>
      </c>
      <c r="E34" s="17">
        <f>'33. Year 10 Exc &amp; Adj'!M22</f>
        <v>0</v>
      </c>
    </row>
    <row r="35" spans="1:5" x14ac:dyDescent="0.75">
      <c r="A35" s="223" t="s">
        <v>141</v>
      </c>
      <c r="B35" s="17" t="str">
        <f>'33. Year 10 Exc &amp; Adj'!B32</f>
        <v/>
      </c>
      <c r="C35" s="258" t="str">
        <f>'33. Year 10 Exc &amp; Adj'!C32</f>
        <v/>
      </c>
      <c r="D35" s="327" t="str">
        <f>'33. Year 10 Exc &amp; Adj'!I32</f>
        <v/>
      </c>
      <c r="E35" s="258" t="str">
        <f>'33. Year 10 Exc &amp; Adj'!J32</f>
        <v/>
      </c>
    </row>
    <row r="36" spans="1:5" x14ac:dyDescent="0.75">
      <c r="A36" s="223" t="s">
        <v>142</v>
      </c>
      <c r="B36" s="17">
        <f>'33. Year 10 Exc &amp; Adj'!C43</f>
        <v>0</v>
      </c>
      <c r="C36" s="258">
        <f>'33. Year 10 Exc &amp; Adj'!C43</f>
        <v>0</v>
      </c>
      <c r="D36" s="327">
        <f>'33. Year 10 Exc &amp; Adj'!J43</f>
        <v>0</v>
      </c>
      <c r="E36" s="17">
        <f>'33. Year 10 Exc &amp; Adj'!J43</f>
        <v>0</v>
      </c>
    </row>
    <row r="37" spans="1:5" x14ac:dyDescent="0.75">
      <c r="A37" s="223" t="s">
        <v>143</v>
      </c>
      <c r="B37" s="17">
        <f>'33. Year 10 Exc &amp; Adj'!B53</f>
        <v>0</v>
      </c>
      <c r="C37" s="258">
        <f>'33. Year 10 Exc &amp; Adj'!B53</f>
        <v>0</v>
      </c>
      <c r="D37" s="327">
        <f>'33. Year 10 Exc &amp; Adj'!I53</f>
        <v>0</v>
      </c>
      <c r="E37" s="17">
        <f>'33. Year 10 Exc &amp; Adj'!I53</f>
        <v>0</v>
      </c>
    </row>
    <row r="38" spans="1:5" x14ac:dyDescent="0.75">
      <c r="A38" s="223" t="str">
        <f>IF('3b. High Cost Fund'!$B12="No","This exception is not valid for your state.","Exception (e)")</f>
        <v>This exception is not valid for your state.</v>
      </c>
      <c r="B38" s="332" t="str">
        <f>IF('3b. High Cost Fund'!$B12="No","",'33. Year 10 Exc &amp; Adj'!B63)</f>
        <v/>
      </c>
      <c r="C38" s="333" t="str">
        <f>IF('3b. High Cost Fund'!$B12="No","",'33. Year 10 Exc &amp; Adj'!B63)</f>
        <v/>
      </c>
      <c r="D38" s="327" t="str">
        <f>IF('3b. High Cost Fund'!$B12="No","",'33. Year 10 Exc &amp; Adj'!I63)</f>
        <v/>
      </c>
      <c r="E38" s="332" t="str">
        <f>IF('3b. High Cost Fund'!$B12="No","",'33. Year 10 Exc &amp; Adj'!I63)</f>
        <v/>
      </c>
    </row>
    <row r="39" spans="1:5" x14ac:dyDescent="0.75">
      <c r="A39" s="223" t="s">
        <v>144</v>
      </c>
      <c r="B39" s="17">
        <f>AdjDataYear10Budget[Projected Adjustment]</f>
        <v>0</v>
      </c>
      <c r="C39" s="17">
        <f>AdjDataYear10Budget[Projected Adjustment]</f>
        <v>0</v>
      </c>
      <c r="D39" s="328">
        <f>AdjDataYear10Expenditures[[Adjustment ]]</f>
        <v>0</v>
      </c>
      <c r="E39" s="17">
        <f>AdjDataYear10Expenditures[[Adjustment ]]</f>
        <v>0</v>
      </c>
    </row>
    <row r="40" spans="1:5" x14ac:dyDescent="0.75">
      <c r="A40" s="246" t="s">
        <v>124</v>
      </c>
      <c r="B40" s="329">
        <f>SUM(B34:B39)</f>
        <v>0</v>
      </c>
      <c r="C40" s="330">
        <f>SUM(C34:C39)</f>
        <v>0</v>
      </c>
      <c r="D40" s="331">
        <f>SUM(D34:D39)</f>
        <v>0</v>
      </c>
      <c r="E40" s="330">
        <f>SUM(E34:E39)</f>
        <v>0</v>
      </c>
    </row>
    <row r="41" spans="1:5" ht="27" customHeight="1" x14ac:dyDescent="0.75">
      <c r="A41" s="345" t="s">
        <v>183</v>
      </c>
      <c r="B41" s="346"/>
      <c r="C41" s="346"/>
      <c r="D41" s="346"/>
      <c r="E41" s="346"/>
    </row>
    <row r="42" spans="1:5" ht="16" x14ac:dyDescent="0.8">
      <c r="A42" s="358" t="s">
        <v>182</v>
      </c>
    </row>
    <row r="43" spans="1:5" x14ac:dyDescent="0.75">
      <c r="A43" s="373" t="s">
        <v>24</v>
      </c>
      <c r="B43" s="373"/>
      <c r="C43" s="373"/>
      <c r="D43" s="373"/>
      <c r="E43" s="373"/>
    </row>
  </sheetData>
  <sheetProtection formatColumns="0" formatRows="0"/>
  <mergeCells count="5">
    <mergeCell ref="A11:E11"/>
    <mergeCell ref="A19:E19"/>
    <mergeCell ref="A28:E28"/>
    <mergeCell ref="A30:E30"/>
    <mergeCell ref="A43:E43"/>
  </mergeCells>
  <conditionalFormatting sqref="B9:E9">
    <cfRule type="containsText" dxfId="166" priority="3" operator="containsText" text="Did Not Meet">
      <formula>NOT(ISERROR(SEARCH("Did Not Meet",B9)))</formula>
    </cfRule>
    <cfRule type="containsText" dxfId="165" priority="4" operator="containsText" text="Met">
      <formula>NOT(ISERROR(SEARCH("Met",B9)))</formula>
    </cfRule>
  </conditionalFormatting>
  <conditionalFormatting sqref="B17:E17">
    <cfRule type="containsText" dxfId="164" priority="1" operator="containsText" text="Did Not Meet">
      <formula>NOT(ISERROR(SEARCH("Did Not Meet",B17)))</formula>
    </cfRule>
    <cfRule type="containsText" dxfId="163" priority="2" operator="containsText" text="Met">
      <formula>NOT(ISERROR(SEARCH("Met",B17)))</formula>
    </cfRule>
  </conditionalFormatting>
  <hyperlinks>
    <hyperlink ref="A29" location="'4. Multi-Year MOE Summary'!A13" display="Go to the Multi-Year MOE Summary" xr:uid="{00000000-0004-0000-2200-000000000000}"/>
    <hyperlink ref="A42" r:id="rId1" xr:uid="{C86F3BB9-4BB3-47FA-B58E-77A8E78E1FDD}"/>
  </hyperlinks>
  <pageMargins left="0.7" right="0.7" top="0.75" bottom="0.75" header="0.3" footer="0.3"/>
  <pageSetup orientation="landscape" verticalDpi="300" r:id="rId2"/>
  <tableParts count="4">
    <tablePart r:id="rId3"/>
    <tablePart r:id="rId4"/>
    <tablePart r:id="rId5"/>
    <tablePart r:id="rId6"/>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FF0000"/>
    <pageSetUpPr autoPageBreaks="0"/>
  </sheetPr>
  <dimension ref="A1:N35"/>
  <sheetViews>
    <sheetView showGridLines="0" workbookViewId="0">
      <pane ySplit="4" topLeftCell="A5" activePane="bottomLeft" state="frozen"/>
      <selection activeCell="A5" sqref="A5"/>
      <selection pane="bottomLeft" activeCell="A5" sqref="A5"/>
    </sheetView>
  </sheetViews>
  <sheetFormatPr defaultColWidth="0" defaultRowHeight="0" customHeight="1" zeroHeight="1" x14ac:dyDescent="0.75"/>
  <cols>
    <col min="1" max="1" width="39.40625" style="20" bestFit="1" customWidth="1"/>
    <col min="2" max="3" width="12.86328125" style="20" customWidth="1"/>
    <col min="4" max="6" width="23.7265625" style="20" customWidth="1"/>
    <col min="7" max="7" width="5.40625" style="20" customWidth="1"/>
    <col min="8" max="8" width="39.40625" style="20" customWidth="1"/>
    <col min="9" max="10" width="12.86328125" style="20" customWidth="1"/>
    <col min="11" max="13" width="23.7265625" style="20" customWidth="1"/>
    <col min="14" max="14" width="0.86328125" style="20" customWidth="1"/>
    <col min="15" max="16384" width="10.54296875" style="20" hidden="1"/>
  </cols>
  <sheetData>
    <row r="1" spans="1:13" ht="16.75" thickBot="1" x14ac:dyDescent="0.9">
      <c r="A1" s="19" t="s">
        <v>48</v>
      </c>
      <c r="B1" s="48"/>
      <c r="D1" s="21" t="s">
        <v>14</v>
      </c>
      <c r="E1" s="20" t="str">
        <f>IF('2. Getting Started'!B2="","",'2. Getting Started'!B2)</f>
        <v/>
      </c>
      <c r="G1" s="376" t="s">
        <v>22</v>
      </c>
      <c r="H1" s="19"/>
      <c r="I1" s="205"/>
      <c r="K1" s="21"/>
    </row>
    <row r="2" spans="1:13" s="25" customFormat="1" ht="37.9" customHeight="1" thickBot="1" x14ac:dyDescent="0.9">
      <c r="A2" s="22" t="str">
        <f>CONCATENATE("Eligibility Standard - State Fiscal Year ",'2. Getting Started'!B6+10," -  LEA Effort - Budgeted Amounts")</f>
        <v>Eligibility Standard - State Fiscal Year 2034 -  LEA Effort - Budgeted Amounts</v>
      </c>
      <c r="B2" s="23"/>
      <c r="C2" s="23"/>
      <c r="D2" s="23"/>
      <c r="E2" s="23"/>
      <c r="F2" s="24"/>
      <c r="G2" s="376"/>
      <c r="H2" s="206" t="str">
        <f>CONCATENATE("Compliance Standard - State Fiscal Year ",'2. Getting Started'!B6+10," - LEA Effort - Final Expenditures")</f>
        <v>Compliance Standard - State Fiscal Year 2034 - LEA Effort - Final Expenditures</v>
      </c>
      <c r="I2" s="207"/>
      <c r="J2" s="207"/>
      <c r="K2" s="207"/>
      <c r="L2" s="207"/>
      <c r="M2" s="32"/>
    </row>
    <row r="3" spans="1:13" s="25" customFormat="1" ht="24" customHeight="1" x14ac:dyDescent="0.75">
      <c r="A3" s="26"/>
      <c r="B3" s="27"/>
      <c r="D3" s="28" t="str">
        <f>CONCATENATE("SFY ",'2. Getting Started'!$B6+10," Budget")</f>
        <v>SFY 2034 Budget</v>
      </c>
      <c r="E3" s="29"/>
      <c r="F3" s="30"/>
      <c r="G3" s="376"/>
      <c r="H3" s="215" t="s">
        <v>47</v>
      </c>
      <c r="I3" s="209"/>
      <c r="J3" s="209"/>
      <c r="K3" s="208"/>
      <c r="L3" s="208"/>
      <c r="M3" s="210"/>
    </row>
    <row r="4" spans="1:13" s="37" customFormat="1" ht="19.25" thickBot="1" x14ac:dyDescent="1.05">
      <c r="A4" s="33" t="s">
        <v>50</v>
      </c>
      <c r="B4" s="34" t="s">
        <v>51</v>
      </c>
      <c r="C4" s="35" t="s">
        <v>52</v>
      </c>
      <c r="D4" s="36" t="s">
        <v>53</v>
      </c>
      <c r="E4" s="36" t="s">
        <v>54</v>
      </c>
      <c r="F4" s="36" t="s">
        <v>8</v>
      </c>
      <c r="G4" s="376"/>
      <c r="H4" s="211"/>
      <c r="I4" s="212"/>
      <c r="J4" s="212"/>
      <c r="K4" s="213"/>
      <c r="L4" s="213"/>
      <c r="M4" s="214"/>
    </row>
    <row r="5" spans="1:13" ht="16" x14ac:dyDescent="0.75">
      <c r="A5" s="49"/>
      <c r="B5" s="50"/>
      <c r="C5" s="51"/>
      <c r="D5" s="52"/>
      <c r="E5" s="52"/>
      <c r="F5" s="38" t="str">
        <f>IF(AND(D5="",E5=""),"",SUM(D5:E5))</f>
        <v/>
      </c>
      <c r="G5" s="376"/>
      <c r="H5" s="386" t="s">
        <v>175</v>
      </c>
      <c r="I5" s="386"/>
      <c r="J5" s="386"/>
      <c r="K5" s="386"/>
      <c r="L5" s="386"/>
      <c r="M5" s="386"/>
    </row>
    <row r="6" spans="1:13" ht="16" x14ac:dyDescent="0.75">
      <c r="A6" s="49"/>
      <c r="B6" s="50"/>
      <c r="C6" s="51"/>
      <c r="D6" s="52"/>
      <c r="E6" s="52"/>
      <c r="F6" s="38" t="str">
        <f t="shared" ref="F6:F29" si="0">IF(AND(D6="",E6=""),"",SUM(D6:E6))</f>
        <v/>
      </c>
      <c r="G6" s="376"/>
      <c r="H6" s="387"/>
      <c r="I6" s="387"/>
      <c r="J6" s="387"/>
      <c r="K6" s="387"/>
      <c r="L6" s="387"/>
      <c r="M6" s="387"/>
    </row>
    <row r="7" spans="1:13" ht="16" x14ac:dyDescent="0.75">
      <c r="A7" s="49"/>
      <c r="B7" s="50"/>
      <c r="C7" s="51"/>
      <c r="D7" s="52"/>
      <c r="E7" s="52"/>
      <c r="F7" s="38" t="str">
        <f t="shared" si="0"/>
        <v/>
      </c>
      <c r="G7" s="376"/>
      <c r="H7" s="387"/>
      <c r="I7" s="387"/>
      <c r="J7" s="387"/>
      <c r="K7" s="387"/>
      <c r="L7" s="387"/>
      <c r="M7" s="387"/>
    </row>
    <row r="8" spans="1:13" ht="16" x14ac:dyDescent="0.75">
      <c r="A8" s="49"/>
      <c r="B8" s="50"/>
      <c r="C8" s="51"/>
      <c r="D8" s="52"/>
      <c r="E8" s="52"/>
      <c r="F8" s="38" t="str">
        <f t="shared" si="0"/>
        <v/>
      </c>
      <c r="G8" s="376"/>
      <c r="H8" s="387"/>
      <c r="I8" s="387"/>
      <c r="J8" s="387"/>
      <c r="K8" s="387"/>
      <c r="L8" s="387"/>
      <c r="M8" s="387"/>
    </row>
    <row r="9" spans="1:13" ht="16" x14ac:dyDescent="0.75">
      <c r="A9" s="49"/>
      <c r="B9" s="50"/>
      <c r="C9" s="51"/>
      <c r="D9" s="52"/>
      <c r="E9" s="52"/>
      <c r="F9" s="38" t="str">
        <f t="shared" si="0"/>
        <v/>
      </c>
      <c r="G9" s="376"/>
      <c r="H9" s="387"/>
      <c r="I9" s="387"/>
      <c r="J9" s="387"/>
      <c r="K9" s="387"/>
      <c r="L9" s="387"/>
      <c r="M9" s="387"/>
    </row>
    <row r="10" spans="1:13" ht="16" x14ac:dyDescent="0.75">
      <c r="A10" s="49"/>
      <c r="B10" s="50"/>
      <c r="C10" s="51"/>
      <c r="D10" s="52"/>
      <c r="E10" s="52"/>
      <c r="F10" s="38" t="str">
        <f t="shared" si="0"/>
        <v/>
      </c>
      <c r="G10" s="376"/>
      <c r="H10" s="387"/>
      <c r="I10" s="387"/>
      <c r="J10" s="387"/>
      <c r="K10" s="387"/>
      <c r="L10" s="387"/>
      <c r="M10" s="387"/>
    </row>
    <row r="11" spans="1:13" ht="16" x14ac:dyDescent="0.75">
      <c r="A11" s="49"/>
      <c r="B11" s="50"/>
      <c r="C11" s="51"/>
      <c r="D11" s="52"/>
      <c r="E11" s="52"/>
      <c r="F11" s="38" t="str">
        <f t="shared" si="0"/>
        <v/>
      </c>
      <c r="G11" s="376"/>
      <c r="H11" s="387"/>
      <c r="I11" s="387"/>
      <c r="J11" s="387"/>
      <c r="K11" s="387"/>
      <c r="L11" s="387"/>
      <c r="M11" s="387"/>
    </row>
    <row r="12" spans="1:13" ht="16" x14ac:dyDescent="0.75">
      <c r="A12" s="49"/>
      <c r="B12" s="50"/>
      <c r="C12" s="51"/>
      <c r="D12" s="52"/>
      <c r="E12" s="52"/>
      <c r="F12" s="38" t="str">
        <f t="shared" si="0"/>
        <v/>
      </c>
      <c r="G12" s="376"/>
      <c r="H12" s="387"/>
      <c r="I12" s="387"/>
      <c r="J12" s="387"/>
      <c r="K12" s="387"/>
      <c r="L12" s="387"/>
      <c r="M12" s="387"/>
    </row>
    <row r="13" spans="1:13" ht="16" x14ac:dyDescent="0.75">
      <c r="A13" s="49"/>
      <c r="B13" s="50"/>
      <c r="C13" s="51"/>
      <c r="D13" s="52"/>
      <c r="E13" s="52"/>
      <c r="F13" s="38" t="str">
        <f t="shared" si="0"/>
        <v/>
      </c>
      <c r="G13" s="376"/>
      <c r="H13" s="387"/>
      <c r="I13" s="387"/>
      <c r="J13" s="387"/>
      <c r="K13" s="387"/>
      <c r="L13" s="387"/>
      <c r="M13" s="387"/>
    </row>
    <row r="14" spans="1:13" ht="16" x14ac:dyDescent="0.75">
      <c r="A14" s="49"/>
      <c r="B14" s="50"/>
      <c r="C14" s="51"/>
      <c r="D14" s="52"/>
      <c r="E14" s="52"/>
      <c r="F14" s="38" t="str">
        <f t="shared" si="0"/>
        <v/>
      </c>
      <c r="G14" s="376"/>
      <c r="H14" s="387"/>
      <c r="I14" s="387"/>
      <c r="J14" s="387"/>
      <c r="K14" s="387"/>
      <c r="L14" s="387"/>
      <c r="M14" s="387"/>
    </row>
    <row r="15" spans="1:13" ht="16" x14ac:dyDescent="0.75">
      <c r="A15" s="49"/>
      <c r="B15" s="50"/>
      <c r="C15" s="51"/>
      <c r="D15" s="52"/>
      <c r="E15" s="52"/>
      <c r="F15" s="38" t="str">
        <f t="shared" si="0"/>
        <v/>
      </c>
      <c r="G15" s="376"/>
      <c r="H15" s="387"/>
      <c r="I15" s="387"/>
      <c r="J15" s="387"/>
      <c r="K15" s="387"/>
      <c r="L15" s="387"/>
      <c r="M15" s="387"/>
    </row>
    <row r="16" spans="1:13" ht="16" x14ac:dyDescent="0.75">
      <c r="A16" s="49"/>
      <c r="B16" s="50"/>
      <c r="C16" s="51"/>
      <c r="D16" s="52"/>
      <c r="E16" s="52"/>
      <c r="F16" s="38" t="str">
        <f t="shared" si="0"/>
        <v/>
      </c>
      <c r="G16" s="376"/>
      <c r="H16" s="387"/>
      <c r="I16" s="387"/>
      <c r="J16" s="387"/>
      <c r="K16" s="387"/>
      <c r="L16" s="387"/>
      <c r="M16" s="387"/>
    </row>
    <row r="17" spans="1:13" ht="16" x14ac:dyDescent="0.75">
      <c r="A17" s="49"/>
      <c r="B17" s="50"/>
      <c r="C17" s="51"/>
      <c r="D17" s="52"/>
      <c r="E17" s="52"/>
      <c r="F17" s="38" t="str">
        <f t="shared" si="0"/>
        <v/>
      </c>
      <c r="G17" s="376"/>
      <c r="H17" s="387"/>
      <c r="I17" s="387"/>
      <c r="J17" s="387"/>
      <c r="K17" s="387"/>
      <c r="L17" s="387"/>
      <c r="M17" s="387"/>
    </row>
    <row r="18" spans="1:13" ht="16" x14ac:dyDescent="0.75">
      <c r="A18" s="49"/>
      <c r="B18" s="50"/>
      <c r="C18" s="51"/>
      <c r="D18" s="52"/>
      <c r="E18" s="52"/>
      <c r="F18" s="38" t="str">
        <f t="shared" si="0"/>
        <v/>
      </c>
      <c r="G18" s="376"/>
      <c r="H18" s="387"/>
      <c r="I18" s="387"/>
      <c r="J18" s="387"/>
      <c r="K18" s="387"/>
      <c r="L18" s="387"/>
      <c r="M18" s="387"/>
    </row>
    <row r="19" spans="1:13" ht="16" x14ac:dyDescent="0.75">
      <c r="A19" s="49"/>
      <c r="B19" s="50"/>
      <c r="C19" s="51"/>
      <c r="D19" s="52"/>
      <c r="E19" s="52"/>
      <c r="F19" s="38" t="str">
        <f t="shared" si="0"/>
        <v/>
      </c>
      <c r="G19" s="376"/>
      <c r="H19" s="387"/>
      <c r="I19" s="387"/>
      <c r="J19" s="387"/>
      <c r="K19" s="387"/>
      <c r="L19" s="387"/>
      <c r="M19" s="387"/>
    </row>
    <row r="20" spans="1:13" ht="16" x14ac:dyDescent="0.75">
      <c r="A20" s="49"/>
      <c r="B20" s="50"/>
      <c r="C20" s="51"/>
      <c r="D20" s="52"/>
      <c r="E20" s="52"/>
      <c r="F20" s="38" t="str">
        <f t="shared" si="0"/>
        <v/>
      </c>
      <c r="G20" s="376"/>
      <c r="H20" s="387"/>
      <c r="I20" s="387"/>
      <c r="J20" s="387"/>
      <c r="K20" s="387"/>
      <c r="L20" s="387"/>
      <c r="M20" s="387"/>
    </row>
    <row r="21" spans="1:13" ht="16" x14ac:dyDescent="0.75">
      <c r="A21" s="49"/>
      <c r="B21" s="50"/>
      <c r="C21" s="51"/>
      <c r="D21" s="52"/>
      <c r="E21" s="52"/>
      <c r="F21" s="38" t="str">
        <f t="shared" si="0"/>
        <v/>
      </c>
      <c r="G21" s="376"/>
      <c r="H21" s="387"/>
      <c r="I21" s="387"/>
      <c r="J21" s="387"/>
      <c r="K21" s="387"/>
      <c r="L21" s="387"/>
      <c r="M21" s="387"/>
    </row>
    <row r="22" spans="1:13" ht="16" x14ac:dyDescent="0.75">
      <c r="A22" s="49"/>
      <c r="B22" s="50"/>
      <c r="C22" s="51"/>
      <c r="D22" s="52"/>
      <c r="E22" s="52"/>
      <c r="F22" s="38" t="str">
        <f t="shared" si="0"/>
        <v/>
      </c>
      <c r="G22" s="376"/>
      <c r="H22" s="387"/>
      <c r="I22" s="387"/>
      <c r="J22" s="387"/>
      <c r="K22" s="387"/>
      <c r="L22" s="387"/>
      <c r="M22" s="387"/>
    </row>
    <row r="23" spans="1:13" ht="16" x14ac:dyDescent="0.75">
      <c r="A23" s="49"/>
      <c r="B23" s="50"/>
      <c r="C23" s="51"/>
      <c r="D23" s="52"/>
      <c r="E23" s="52"/>
      <c r="F23" s="38" t="str">
        <f t="shared" si="0"/>
        <v/>
      </c>
      <c r="G23" s="376"/>
      <c r="H23" s="387"/>
      <c r="I23" s="387"/>
      <c r="J23" s="387"/>
      <c r="K23" s="387"/>
      <c r="L23" s="387"/>
      <c r="M23" s="387"/>
    </row>
    <row r="24" spans="1:13" ht="16" x14ac:dyDescent="0.75">
      <c r="A24" s="49"/>
      <c r="B24" s="50"/>
      <c r="C24" s="51"/>
      <c r="D24" s="52"/>
      <c r="E24" s="52"/>
      <c r="F24" s="38" t="str">
        <f t="shared" si="0"/>
        <v/>
      </c>
      <c r="G24" s="376"/>
      <c r="H24" s="387"/>
      <c r="I24" s="387"/>
      <c r="J24" s="387"/>
      <c r="K24" s="387"/>
      <c r="L24" s="387"/>
      <c r="M24" s="387"/>
    </row>
    <row r="25" spans="1:13" ht="16" x14ac:dyDescent="0.75">
      <c r="A25" s="49"/>
      <c r="B25" s="50"/>
      <c r="C25" s="51"/>
      <c r="D25" s="52"/>
      <c r="E25" s="52"/>
      <c r="F25" s="38" t="str">
        <f t="shared" si="0"/>
        <v/>
      </c>
      <c r="G25" s="376"/>
      <c r="H25" s="387"/>
      <c r="I25" s="387"/>
      <c r="J25" s="387"/>
      <c r="K25" s="387"/>
      <c r="L25" s="387"/>
      <c r="M25" s="387"/>
    </row>
    <row r="26" spans="1:13" ht="16" x14ac:dyDescent="0.75">
      <c r="A26" s="49"/>
      <c r="B26" s="50"/>
      <c r="C26" s="51"/>
      <c r="D26" s="52"/>
      <c r="E26" s="52"/>
      <c r="F26" s="38" t="str">
        <f t="shared" si="0"/>
        <v/>
      </c>
      <c r="G26" s="376"/>
      <c r="H26" s="387"/>
      <c r="I26" s="387"/>
      <c r="J26" s="387"/>
      <c r="K26" s="387"/>
      <c r="L26" s="387"/>
      <c r="M26" s="387"/>
    </row>
    <row r="27" spans="1:13" ht="16" x14ac:dyDescent="0.75">
      <c r="A27" s="49"/>
      <c r="B27" s="50"/>
      <c r="C27" s="51"/>
      <c r="D27" s="52"/>
      <c r="E27" s="52"/>
      <c r="F27" s="38" t="str">
        <f t="shared" si="0"/>
        <v/>
      </c>
      <c r="G27" s="376"/>
      <c r="H27" s="387"/>
      <c r="I27" s="387"/>
      <c r="J27" s="387"/>
      <c r="K27" s="387"/>
      <c r="L27" s="387"/>
      <c r="M27" s="387"/>
    </row>
    <row r="28" spans="1:13" ht="16" x14ac:dyDescent="0.75">
      <c r="A28" s="49"/>
      <c r="B28" s="50"/>
      <c r="C28" s="51"/>
      <c r="D28" s="52"/>
      <c r="E28" s="52"/>
      <c r="F28" s="38" t="str">
        <f t="shared" si="0"/>
        <v/>
      </c>
      <c r="G28" s="376"/>
      <c r="H28" s="387"/>
      <c r="I28" s="387"/>
      <c r="J28" s="387"/>
      <c r="K28" s="387"/>
      <c r="L28" s="387"/>
      <c r="M28" s="387"/>
    </row>
    <row r="29" spans="1:13" ht="16.75" thickBot="1" x14ac:dyDescent="0.9">
      <c r="A29" s="53"/>
      <c r="B29" s="54"/>
      <c r="C29" s="55"/>
      <c r="D29" s="56"/>
      <c r="E29" s="56"/>
      <c r="F29" s="38" t="str">
        <f t="shared" si="0"/>
        <v/>
      </c>
      <c r="G29" s="376"/>
      <c r="H29" s="387"/>
      <c r="I29" s="387"/>
      <c r="J29" s="387"/>
      <c r="K29" s="387"/>
      <c r="L29" s="387"/>
      <c r="M29" s="387"/>
    </row>
    <row r="30" spans="1:13" ht="19.25" thickBot="1" x14ac:dyDescent="0.9">
      <c r="A30" s="39"/>
      <c r="B30" s="40"/>
      <c r="C30" s="41" t="s">
        <v>56</v>
      </c>
      <c r="D30" s="42" t="str">
        <f>IF(AND(D5="",D6="",D7="",D8="",D9="",D10="",D11="",D12="",D13="",D14="",D15="",D16="",D17="",D18="",D19="",D20="",D21="",D22="",D23="",D24="",D25="",D26="",D27="",D28="",D29=""),"",SUM(D5:D29))</f>
        <v/>
      </c>
      <c r="E30" s="43"/>
      <c r="F30" s="42" t="str">
        <f>IF(AND(F5="",F6="",F7="",F8="",F9="",F10="",F11="",F12="",F13="",F14="",F15="",F16="",F17="",F18="",F19="",F20="",F21="",F22="",F23="",F24="",F25="",F26="",F27="",F28="",F29=""),"",SUM(F5:F29))</f>
        <v/>
      </c>
      <c r="G30" s="376"/>
      <c r="H30" s="387"/>
      <c r="I30" s="387"/>
      <c r="J30" s="387"/>
      <c r="K30" s="387"/>
      <c r="L30" s="387"/>
      <c r="M30" s="387"/>
    </row>
    <row r="31" spans="1:13" ht="19.25" thickBot="1" x14ac:dyDescent="0.9">
      <c r="A31" s="39"/>
      <c r="B31" s="39"/>
      <c r="C31" s="44" t="s">
        <v>57</v>
      </c>
      <c r="D31" s="42" t="str">
        <f>IF(OR($B1="",D30=""),"",(D30/$B1))</f>
        <v/>
      </c>
      <c r="E31" s="39"/>
      <c r="F31" s="42" t="str">
        <f>IF(OR($B1="",F30=""),"",(F30/$B1))</f>
        <v/>
      </c>
      <c r="G31" s="376"/>
      <c r="H31" s="387"/>
      <c r="I31" s="387"/>
      <c r="J31" s="387"/>
      <c r="K31" s="387"/>
      <c r="L31" s="387"/>
      <c r="M31" s="387"/>
    </row>
    <row r="32" spans="1:13" s="25" customFormat="1" ht="18.5" x14ac:dyDescent="0.65">
      <c r="A32" s="345" t="s">
        <v>183</v>
      </c>
      <c r="B32" s="45"/>
      <c r="C32" s="45"/>
      <c r="D32" s="45"/>
      <c r="E32" s="45"/>
      <c r="F32" s="45"/>
      <c r="G32" s="45"/>
      <c r="H32" s="387"/>
      <c r="I32" s="387"/>
      <c r="J32" s="387"/>
      <c r="K32" s="387"/>
      <c r="L32" s="387"/>
      <c r="M32" s="387"/>
    </row>
    <row r="33" spans="1:13" s="47" customFormat="1" ht="16" x14ac:dyDescent="0.8">
      <c r="A33" s="358" t="s">
        <v>182</v>
      </c>
      <c r="B33" s="46"/>
      <c r="C33" s="46"/>
      <c r="D33" s="46"/>
      <c r="E33" s="46"/>
      <c r="F33" s="46"/>
      <c r="G33" s="46"/>
      <c r="H33" s="387"/>
      <c r="I33" s="387"/>
      <c r="J33" s="387"/>
      <c r="K33" s="387"/>
      <c r="L33" s="387"/>
      <c r="M33" s="387"/>
    </row>
    <row r="34" spans="1:13" s="25" customFormat="1" ht="18.5" x14ac:dyDescent="0.75">
      <c r="A34" s="377" t="s">
        <v>24</v>
      </c>
      <c r="B34" s="377"/>
      <c r="C34" s="377"/>
      <c r="D34" s="377"/>
      <c r="E34" s="377"/>
      <c r="F34" s="377"/>
      <c r="G34" s="377"/>
      <c r="H34" s="377"/>
      <c r="I34" s="377"/>
      <c r="J34" s="377"/>
      <c r="K34" s="377"/>
      <c r="L34" s="377"/>
      <c r="M34" s="377"/>
    </row>
    <row r="35" spans="1:13" ht="16" hidden="1" x14ac:dyDescent="0.75"/>
  </sheetData>
  <sheetProtection algorithmName="SHA-512" hashValue="0CjK9UL6bANOhXjUe6/vBZQ3zp2phL9hv3PuqHDgS6UuBYvVwgvo4WWU48EjnlwJI1xD0CSb+0qouT3kSQdbrg==" saltValue="AmfccB0Eo4aegV4+EKWiJQ==" spinCount="100000" sheet="1" formatColumns="0" formatRows="0"/>
  <mergeCells count="3">
    <mergeCell ref="G1:G31"/>
    <mergeCell ref="A34:M34"/>
    <mergeCell ref="H5:M33"/>
  </mergeCells>
  <dataValidations count="1">
    <dataValidation allowBlank="1" showInputMessage="1" showErrorMessage="1" prompt="Don't forget to enter Projected Child Count in Cell B1." sqref="A5" xr:uid="{00000000-0002-0000-2300-000000000000}"/>
  </dataValidations>
  <hyperlinks>
    <hyperlink ref="A33" r:id="rId1" xr:uid="{EE83ED9D-D95F-4FA9-94DC-02390980018B}"/>
  </hyperlinks>
  <pageMargins left="0.75" right="0.75" top="1" bottom="1" header="0.5" footer="0.5"/>
  <pageSetup orientation="portrait" horizontalDpi="4294967292" verticalDpi="4294967292" r:id="rId2"/>
  <tableParts count="1">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theme="5"/>
    <pageSetUpPr autoPageBreaks="0"/>
  </sheetPr>
  <dimension ref="A1:AB79"/>
  <sheetViews>
    <sheetView showGridLines="0" zoomScale="90" zoomScaleNormal="90" zoomScalePageLayoutView="90" workbookViewId="0">
      <pane ySplit="3" topLeftCell="A4" activePane="bottomLeft" state="frozen"/>
      <selection activeCell="A5" sqref="A5"/>
      <selection pane="bottomLeft" activeCell="A8" sqref="A8"/>
    </sheetView>
  </sheetViews>
  <sheetFormatPr defaultColWidth="0" defaultRowHeight="0" customHeight="1" zeroHeight="1" x14ac:dyDescent="0.8"/>
  <cols>
    <col min="1" max="1" width="40.26953125" style="57" customWidth="1"/>
    <col min="2" max="2" width="32.86328125" style="57" bestFit="1" customWidth="1"/>
    <col min="3" max="3" width="28" style="57" customWidth="1"/>
    <col min="4" max="5" width="28.26953125" style="57" customWidth="1"/>
    <col min="6" max="6" width="34" style="57" bestFit="1" customWidth="1"/>
    <col min="7" max="7" width="28.26953125" style="57" customWidth="1"/>
    <col min="8" max="12" width="12.26953125" style="57" hidden="1" customWidth="1"/>
    <col min="13" max="13" width="13.7265625" style="57" hidden="1" customWidth="1"/>
    <col min="14" max="28" width="0" style="57" hidden="1" customWidth="1"/>
    <col min="29" max="16384" width="12.26953125" style="57" hidden="1"/>
  </cols>
  <sheetData>
    <row r="1" spans="1:14" ht="25.9" customHeight="1" x14ac:dyDescent="0.8">
      <c r="A1" s="368" t="s">
        <v>58</v>
      </c>
      <c r="D1" s="58" t="s">
        <v>14</v>
      </c>
      <c r="E1" s="10" t="str">
        <f>IF('2. Getting Started'!$B2="","",'2. Getting Started'!$B2)</f>
        <v/>
      </c>
    </row>
    <row r="2" spans="1:14" ht="25.9" customHeight="1" thickBot="1" x14ac:dyDescent="0.95">
      <c r="A2" s="369" t="s">
        <v>171</v>
      </c>
      <c r="D2" s="58"/>
      <c r="E2" s="10"/>
    </row>
    <row r="3" spans="1:14" ht="25.9" customHeight="1" thickBot="1" x14ac:dyDescent="0.95">
      <c r="A3" s="59" t="str">
        <f>CONCATENATE("Eligibility Standard -- Exceptions to MOE as Permitted by 34 CFR §300.204 and Adjustment to MOE as Permitted by 34 CFR §300.205 -- Projections for State Fiscal Year ",'2. Getting Started'!B6+10," Budget")</f>
        <v>Eligibility Standard -- Exceptions to MOE as Permitted by 34 CFR §300.204 and Adjustment to MOE as Permitted by 34 CFR §300.205 -- Projections for State Fiscal Year 2034 Budget</v>
      </c>
      <c r="B3" s="60"/>
      <c r="C3" s="60"/>
      <c r="D3" s="60"/>
      <c r="E3" s="60"/>
      <c r="F3" s="61"/>
      <c r="G3" s="62"/>
      <c r="I3" s="63"/>
      <c r="J3" s="63"/>
      <c r="K3" s="63"/>
      <c r="L3" s="63"/>
      <c r="M3" s="63"/>
      <c r="N3" s="63"/>
    </row>
    <row r="4" spans="1:14" ht="16" x14ac:dyDescent="0.8">
      <c r="A4" s="64" t="s">
        <v>59</v>
      </c>
      <c r="B4" s="65"/>
      <c r="C4" s="66"/>
      <c r="D4" s="66"/>
      <c r="E4" s="66"/>
      <c r="F4" s="67"/>
      <c r="G4" s="68"/>
      <c r="H4" s="69"/>
      <c r="I4" s="69"/>
      <c r="J4" s="69"/>
      <c r="K4" s="69"/>
      <c r="L4" s="69"/>
      <c r="M4" s="69"/>
    </row>
    <row r="5" spans="1:14" ht="16" x14ac:dyDescent="0.8">
      <c r="A5" s="70" t="s">
        <v>60</v>
      </c>
      <c r="B5" s="71"/>
      <c r="C5" s="68"/>
      <c r="D5" s="68"/>
      <c r="E5" s="68"/>
      <c r="F5" s="72"/>
      <c r="G5" s="68"/>
      <c r="H5" s="73"/>
      <c r="I5" s="73"/>
      <c r="J5" s="73"/>
      <c r="K5" s="73"/>
      <c r="L5" s="73"/>
    </row>
    <row r="6" spans="1:14" ht="35.65" customHeight="1" thickBot="1" x14ac:dyDescent="0.95">
      <c r="A6" s="74" t="s">
        <v>61</v>
      </c>
      <c r="B6" s="75"/>
      <c r="C6" s="75"/>
      <c r="D6" s="75"/>
      <c r="E6" s="75"/>
      <c r="F6" s="76"/>
      <c r="G6" s="75"/>
      <c r="H6" s="73"/>
      <c r="I6" s="73"/>
      <c r="J6" s="73"/>
      <c r="K6" s="73"/>
      <c r="L6" s="73"/>
      <c r="M6" s="73"/>
    </row>
    <row r="7" spans="1:14" ht="16" x14ac:dyDescent="0.8">
      <c r="A7" s="77" t="s">
        <v>62</v>
      </c>
      <c r="B7" s="78" t="s">
        <v>63</v>
      </c>
      <c r="C7" s="79" t="s">
        <v>64</v>
      </c>
      <c r="D7" s="79" t="s">
        <v>65</v>
      </c>
      <c r="E7" s="80" t="s">
        <v>66</v>
      </c>
      <c r="F7" s="81" t="s">
        <v>67</v>
      </c>
      <c r="G7" s="82"/>
      <c r="H7" s="73"/>
      <c r="I7" s="73"/>
    </row>
    <row r="8" spans="1:14" ht="16" x14ac:dyDescent="0.8">
      <c r="A8" s="370"/>
      <c r="B8" s="186"/>
      <c r="C8" s="186"/>
      <c r="D8" s="187"/>
      <c r="E8" s="187"/>
      <c r="F8" s="83">
        <f>D8+E8</f>
        <v>0</v>
      </c>
      <c r="G8" s="84"/>
      <c r="H8" s="84"/>
      <c r="I8" s="84"/>
    </row>
    <row r="9" spans="1:14" ht="16" x14ac:dyDescent="0.8">
      <c r="A9" s="185"/>
      <c r="B9" s="186"/>
      <c r="C9" s="186"/>
      <c r="D9" s="187"/>
      <c r="E9" s="187"/>
      <c r="F9" s="83">
        <f>D9+E9</f>
        <v>0</v>
      </c>
      <c r="G9" s="84"/>
      <c r="H9" s="84"/>
      <c r="I9" s="84"/>
    </row>
    <row r="10" spans="1:14" ht="16" x14ac:dyDescent="0.8">
      <c r="A10" s="185"/>
      <c r="B10" s="186"/>
      <c r="C10" s="186"/>
      <c r="D10" s="187"/>
      <c r="E10" s="187"/>
      <c r="F10" s="83">
        <f>D10+E10</f>
        <v>0</v>
      </c>
      <c r="G10" s="84"/>
      <c r="H10" s="84"/>
      <c r="I10" s="84"/>
    </row>
    <row r="11" spans="1:14" ht="16" x14ac:dyDescent="0.8">
      <c r="A11" s="185"/>
      <c r="B11" s="186"/>
      <c r="C11" s="186"/>
      <c r="D11" s="187"/>
      <c r="E11" s="187"/>
      <c r="F11" s="83">
        <f>D11+E11</f>
        <v>0</v>
      </c>
      <c r="G11" s="84"/>
      <c r="H11" s="84"/>
      <c r="I11" s="84"/>
    </row>
    <row r="12" spans="1:14" ht="16" x14ac:dyDescent="0.8">
      <c r="A12" s="185"/>
      <c r="B12" s="186"/>
      <c r="C12" s="186"/>
      <c r="D12" s="187"/>
      <c r="E12" s="187"/>
      <c r="F12" s="83">
        <f>D12+E12</f>
        <v>0</v>
      </c>
      <c r="G12" s="84"/>
      <c r="H12" s="84"/>
      <c r="I12" s="84"/>
    </row>
    <row r="13" spans="1:14" ht="16.75" thickBot="1" x14ac:dyDescent="0.95">
      <c r="A13" s="85"/>
      <c r="B13" s="86"/>
      <c r="C13" s="87" t="s">
        <v>69</v>
      </c>
      <c r="D13" s="88">
        <f t="shared" ref="D13:F13" si="0">SUM(D8:D12)</f>
        <v>0</v>
      </c>
      <c r="E13" s="88">
        <f t="shared" si="0"/>
        <v>0</v>
      </c>
      <c r="F13" s="89">
        <f t="shared" si="0"/>
        <v>0</v>
      </c>
      <c r="G13" s="84"/>
      <c r="H13" s="84"/>
      <c r="I13" s="84"/>
    </row>
    <row r="14" spans="1:14" ht="40.15" customHeight="1" thickBot="1" x14ac:dyDescent="0.95">
      <c r="A14" s="90" t="s">
        <v>70</v>
      </c>
      <c r="B14" s="91"/>
      <c r="C14" s="91"/>
      <c r="D14" s="91"/>
      <c r="E14" s="91"/>
      <c r="F14" s="92"/>
      <c r="G14" s="75"/>
      <c r="H14" s="73"/>
      <c r="I14" s="73"/>
      <c r="J14" s="73"/>
      <c r="K14" s="73"/>
      <c r="L14" s="73"/>
      <c r="M14" s="93"/>
    </row>
    <row r="15" spans="1:14" ht="16" x14ac:dyDescent="0.8">
      <c r="A15" s="94" t="s">
        <v>62</v>
      </c>
      <c r="B15" s="95" t="s">
        <v>63</v>
      </c>
      <c r="C15" s="96" t="s">
        <v>176</v>
      </c>
      <c r="D15" s="79" t="s">
        <v>65</v>
      </c>
      <c r="E15" s="80" t="s">
        <v>66</v>
      </c>
      <c r="F15" s="81" t="s">
        <v>67</v>
      </c>
      <c r="G15" s="97"/>
      <c r="H15" s="63"/>
      <c r="I15" s="98"/>
    </row>
    <row r="16" spans="1:14" ht="16" x14ac:dyDescent="0.8">
      <c r="A16" s="188"/>
      <c r="B16" s="189"/>
      <c r="C16" s="99"/>
      <c r="D16" s="187"/>
      <c r="E16" s="187"/>
      <c r="F16" s="83">
        <f t="shared" ref="F16:F20" si="1">D16+E16</f>
        <v>0</v>
      </c>
      <c r="G16" s="84"/>
      <c r="H16" s="84"/>
      <c r="I16" s="84"/>
    </row>
    <row r="17" spans="1:13" ht="16" x14ac:dyDescent="0.8">
      <c r="A17" s="188"/>
      <c r="B17" s="189"/>
      <c r="C17" s="99"/>
      <c r="D17" s="187"/>
      <c r="E17" s="187"/>
      <c r="F17" s="83">
        <f t="shared" si="1"/>
        <v>0</v>
      </c>
      <c r="G17" s="84"/>
      <c r="H17" s="84"/>
      <c r="I17" s="84"/>
    </row>
    <row r="18" spans="1:13" ht="16" x14ac:dyDescent="0.8">
      <c r="A18" s="188"/>
      <c r="B18" s="189"/>
      <c r="C18" s="99"/>
      <c r="D18" s="187"/>
      <c r="E18" s="187"/>
      <c r="F18" s="83">
        <f t="shared" si="1"/>
        <v>0</v>
      </c>
      <c r="G18" s="84"/>
      <c r="H18" s="84"/>
      <c r="I18" s="84"/>
    </row>
    <row r="19" spans="1:13" ht="16" x14ac:dyDescent="0.8">
      <c r="A19" s="188"/>
      <c r="B19" s="189"/>
      <c r="C19" s="99"/>
      <c r="D19" s="187"/>
      <c r="E19" s="187"/>
      <c r="F19" s="83">
        <f t="shared" si="1"/>
        <v>0</v>
      </c>
      <c r="G19" s="84"/>
      <c r="H19" s="84"/>
      <c r="I19" s="84"/>
    </row>
    <row r="20" spans="1:13" ht="16" x14ac:dyDescent="0.8">
      <c r="A20" s="188"/>
      <c r="B20" s="189"/>
      <c r="C20" s="99"/>
      <c r="D20" s="187"/>
      <c r="E20" s="187"/>
      <c r="F20" s="83">
        <f t="shared" si="1"/>
        <v>0</v>
      </c>
      <c r="G20" s="84"/>
      <c r="H20" s="84"/>
      <c r="I20" s="84"/>
    </row>
    <row r="21" spans="1:13" ht="16" x14ac:dyDescent="0.8">
      <c r="A21" s="100"/>
      <c r="B21" s="101"/>
      <c r="C21" s="102" t="s">
        <v>72</v>
      </c>
      <c r="D21" s="103">
        <f t="shared" ref="D21:F21" si="2">SUM(D16:D20)</f>
        <v>0</v>
      </c>
      <c r="E21" s="103">
        <f t="shared" si="2"/>
        <v>0</v>
      </c>
      <c r="F21" s="83">
        <f t="shared" si="2"/>
        <v>0</v>
      </c>
      <c r="G21" s="84"/>
      <c r="H21" s="84"/>
      <c r="I21" s="84"/>
    </row>
    <row r="22" spans="1:13" ht="16.75" thickBot="1" x14ac:dyDescent="0.95">
      <c r="A22" s="104"/>
      <c r="B22" s="105"/>
      <c r="C22" s="106"/>
      <c r="D22" s="106"/>
      <c r="E22" s="107" t="s">
        <v>73</v>
      </c>
      <c r="F22" s="108">
        <f>F13-F21</f>
        <v>0</v>
      </c>
      <c r="G22" s="109"/>
      <c r="H22" s="93"/>
      <c r="I22" s="93"/>
      <c r="J22" s="93"/>
      <c r="K22" s="93"/>
      <c r="L22" s="93"/>
      <c r="M22" s="93"/>
    </row>
    <row r="23" spans="1:13" ht="16.75" thickBot="1" x14ac:dyDescent="0.95">
      <c r="A23" s="378" t="s">
        <v>22</v>
      </c>
      <c r="B23" s="378"/>
      <c r="C23" s="378"/>
      <c r="D23" s="378"/>
      <c r="E23" s="378"/>
      <c r="F23" s="378"/>
      <c r="G23" s="10"/>
      <c r="H23" s="93"/>
      <c r="I23" s="93"/>
      <c r="J23" s="93"/>
      <c r="K23" s="93"/>
      <c r="L23" s="93"/>
      <c r="M23" s="93"/>
    </row>
    <row r="24" spans="1:13" ht="16" x14ac:dyDescent="0.8">
      <c r="A24" s="111" t="s">
        <v>105</v>
      </c>
      <c r="B24" s="112"/>
      <c r="C24" s="112"/>
      <c r="D24" s="62"/>
      <c r="E24" s="119"/>
      <c r="F24" s="119"/>
      <c r="G24" s="10"/>
      <c r="H24" s="118"/>
      <c r="I24" s="118"/>
      <c r="J24" s="118"/>
      <c r="K24" s="118"/>
    </row>
    <row r="25" spans="1:13" ht="16" x14ac:dyDescent="0.8">
      <c r="A25" s="120" t="s">
        <v>71</v>
      </c>
      <c r="B25" s="121" t="s">
        <v>77</v>
      </c>
      <c r="C25" s="122"/>
      <c r="D25" s="123"/>
      <c r="E25" s="122"/>
      <c r="F25" s="122"/>
      <c r="G25" s="10"/>
      <c r="H25" s="118"/>
      <c r="I25" s="118"/>
      <c r="J25" s="118"/>
      <c r="K25" s="118"/>
    </row>
    <row r="26" spans="1:13" ht="16" x14ac:dyDescent="0.8">
      <c r="A26" s="124" t="str">
        <f>CONCATENATE("SFY ",'2. Getting Started'!B6+10," Projected Child Count")</f>
        <v>SFY 2034 Projected Child Count</v>
      </c>
      <c r="B26" s="125" t="str">
        <f>IF('35. Year 11 Amounts'!B1="","",'35. Year 11 Amounts'!B1)</f>
        <v/>
      </c>
      <c r="C26" s="122"/>
      <c r="D26" s="123"/>
      <c r="E26" s="122"/>
      <c r="F26" s="122"/>
      <c r="G26" s="10"/>
      <c r="H26" s="118"/>
      <c r="I26" s="118"/>
      <c r="J26" s="118"/>
      <c r="K26" s="118"/>
    </row>
    <row r="27" spans="1:13" ht="16" x14ac:dyDescent="0.8">
      <c r="A27" s="124" t="str">
        <f>CONCATENATE("SFY ",'2. Getting Started'!B6+9," Projected Child Count")</f>
        <v>SFY 2033 Projected Child Count</v>
      </c>
      <c r="B27" s="125" t="str">
        <f>IF('32. Year 10 Amounts'!B1="","",'32. Year 10 Amounts'!B1)</f>
        <v/>
      </c>
      <c r="C27" s="118"/>
      <c r="D27" s="127"/>
      <c r="E27" s="118"/>
      <c r="F27" s="122"/>
      <c r="G27" s="122"/>
      <c r="H27" s="128"/>
      <c r="I27" s="128"/>
      <c r="J27" s="128"/>
      <c r="K27" s="128"/>
    </row>
    <row r="28" spans="1:13" ht="16" x14ac:dyDescent="0.8">
      <c r="A28" s="126" t="s">
        <v>78</v>
      </c>
      <c r="B28" s="129" t="str">
        <f>IF(B26="","",B26-B27)</f>
        <v/>
      </c>
      <c r="C28" s="122" t="str">
        <f>IF(B28="","",IF(B28&gt;=0,"Not eligible for this exception",""))</f>
        <v/>
      </c>
      <c r="D28" s="123"/>
      <c r="E28" s="122"/>
      <c r="F28" s="122"/>
      <c r="G28" s="130"/>
      <c r="H28" s="131"/>
      <c r="I28" s="131"/>
      <c r="J28" s="131"/>
      <c r="K28" s="131"/>
    </row>
    <row r="29" spans="1:13" ht="16" x14ac:dyDescent="0.8">
      <c r="A29" s="132" t="s">
        <v>79</v>
      </c>
      <c r="B29" s="133" t="str">
        <f>IF(B26="","",IF(B28&lt;=0,ABS(B28/B27),""))</f>
        <v/>
      </c>
      <c r="C29" s="134"/>
      <c r="D29" s="135"/>
      <c r="E29" s="134"/>
      <c r="F29" s="10"/>
      <c r="G29" s="10"/>
      <c r="H29" s="136"/>
      <c r="I29" s="136"/>
      <c r="J29" s="137"/>
      <c r="K29" s="137"/>
    </row>
    <row r="30" spans="1:13" ht="16" x14ac:dyDescent="0.8">
      <c r="A30" s="114" t="s">
        <v>71</v>
      </c>
      <c r="B30" s="115" t="s">
        <v>0</v>
      </c>
      <c r="C30" s="115" t="s">
        <v>2</v>
      </c>
      <c r="D30" s="10"/>
      <c r="E30" s="71"/>
      <c r="F30" s="71"/>
      <c r="G30" s="10"/>
      <c r="H30" s="137"/>
      <c r="I30" s="137"/>
    </row>
    <row r="31" spans="1:13" ht="16" x14ac:dyDescent="0.8">
      <c r="A31" s="138" t="str">
        <f>CONCATENATE("SFY ",'2. Getting Started'!B6+9," Budget")</f>
        <v>SFY 2033 Budget</v>
      </c>
      <c r="B31" s="139" t="str">
        <f>IF('32. Year 10 Amounts'!D30="","",'32. Year 10 Amounts'!D30)</f>
        <v/>
      </c>
      <c r="C31" s="139" t="str">
        <f>IF('32. Year 10 Amounts'!F30="","",'32. Year 10 Amounts'!F30)</f>
        <v/>
      </c>
      <c r="D31" s="140"/>
      <c r="E31" s="73"/>
      <c r="F31" s="73"/>
      <c r="G31" s="71"/>
    </row>
    <row r="32" spans="1:13" ht="16" x14ac:dyDescent="0.8">
      <c r="A32" s="116" t="s">
        <v>80</v>
      </c>
      <c r="B32" s="142" t="str">
        <f>IF(OR($B26="",B29="",B31=""),"",($B29*B31))</f>
        <v/>
      </c>
      <c r="C32" s="142" t="str">
        <f>IF(OR($B26="",B29="",C31=""),"",($B29*C31))</f>
        <v/>
      </c>
      <c r="D32" s="141"/>
      <c r="E32" s="117"/>
      <c r="F32" s="117"/>
      <c r="G32" s="119"/>
    </row>
    <row r="33" spans="1:22" ht="16.75" thickBot="1" x14ac:dyDescent="0.95">
      <c r="A33" s="379" t="s">
        <v>22</v>
      </c>
      <c r="B33" s="379"/>
      <c r="C33" s="379"/>
      <c r="D33" s="122"/>
      <c r="E33" s="122"/>
      <c r="F33" s="122"/>
      <c r="G33" s="143"/>
      <c r="J33" s="117"/>
      <c r="K33" s="117"/>
      <c r="L33" s="117"/>
      <c r="M33" s="117"/>
      <c r="N33" s="117"/>
      <c r="O33" s="73"/>
      <c r="P33" s="117"/>
      <c r="Q33" s="117"/>
      <c r="R33" s="117"/>
      <c r="S33" s="117"/>
      <c r="T33" s="117"/>
      <c r="U33" s="117"/>
    </row>
    <row r="34" spans="1:22" ht="16" x14ac:dyDescent="0.8">
      <c r="A34" s="111" t="s">
        <v>82</v>
      </c>
      <c r="B34" s="144"/>
      <c r="C34" s="145"/>
      <c r="D34" s="146"/>
      <c r="E34" s="130"/>
      <c r="F34" s="130"/>
      <c r="G34" s="143"/>
      <c r="J34" s="117"/>
      <c r="K34" s="117"/>
      <c r="L34" s="117"/>
      <c r="M34" s="117"/>
      <c r="N34" s="117"/>
      <c r="O34" s="117"/>
      <c r="P34" s="117"/>
      <c r="Q34" s="117"/>
      <c r="R34" s="117"/>
      <c r="S34" s="117"/>
      <c r="T34" s="117"/>
      <c r="U34" s="117"/>
    </row>
    <row r="35" spans="1:22" ht="16" x14ac:dyDescent="0.8">
      <c r="A35" s="147" t="s">
        <v>83</v>
      </c>
      <c r="B35" s="71"/>
      <c r="C35" s="148"/>
      <c r="D35" s="149"/>
      <c r="E35" s="10"/>
      <c r="F35" s="10"/>
      <c r="G35" s="143"/>
      <c r="J35" s="73"/>
      <c r="K35" s="73"/>
      <c r="L35" s="73"/>
      <c r="M35" s="73"/>
      <c r="N35" s="73"/>
      <c r="O35" s="73"/>
      <c r="P35" s="73"/>
      <c r="Q35" s="73"/>
      <c r="R35" s="73"/>
      <c r="S35" s="73"/>
      <c r="T35" s="73"/>
      <c r="U35" s="73"/>
    </row>
    <row r="36" spans="1:22" ht="16" x14ac:dyDescent="0.8">
      <c r="A36" s="150" t="s">
        <v>84</v>
      </c>
      <c r="B36" s="71"/>
      <c r="C36" s="151"/>
      <c r="D36" s="149"/>
      <c r="E36" s="10"/>
      <c r="F36" s="10"/>
      <c r="G36" s="143"/>
      <c r="K36" s="73"/>
      <c r="L36" s="73"/>
      <c r="M36" s="73"/>
      <c r="N36" s="73"/>
      <c r="O36" s="73"/>
      <c r="P36" s="73"/>
      <c r="Q36" s="73"/>
      <c r="R36" s="73"/>
      <c r="S36" s="73"/>
      <c r="T36" s="73"/>
      <c r="U36" s="73"/>
      <c r="V36" s="73"/>
    </row>
    <row r="37" spans="1:22" ht="16" x14ac:dyDescent="0.8">
      <c r="A37" s="152" t="s">
        <v>85</v>
      </c>
      <c r="B37" s="153" t="s">
        <v>86</v>
      </c>
      <c r="C37" s="154" t="s">
        <v>87</v>
      </c>
      <c r="D37" s="117"/>
      <c r="E37" s="143"/>
      <c r="F37" s="143"/>
      <c r="G37" s="155"/>
      <c r="J37" s="93"/>
      <c r="K37" s="93"/>
      <c r="L37" s="93"/>
      <c r="M37" s="93"/>
      <c r="N37" s="93"/>
      <c r="O37" s="93"/>
      <c r="P37" s="93"/>
      <c r="Q37" s="93"/>
      <c r="R37" s="93"/>
      <c r="S37" s="93"/>
      <c r="T37" s="93"/>
      <c r="U37" s="93"/>
    </row>
    <row r="38" spans="1:22" ht="16" x14ac:dyDescent="0.8">
      <c r="A38" s="190"/>
      <c r="B38" s="191"/>
      <c r="C38" s="192"/>
      <c r="D38" s="143"/>
      <c r="E38" s="143"/>
      <c r="F38" s="143"/>
      <c r="G38" s="155"/>
      <c r="J38" s="93"/>
      <c r="K38" s="93"/>
      <c r="L38" s="93"/>
      <c r="M38" s="93"/>
      <c r="N38" s="93"/>
      <c r="O38" s="93"/>
      <c r="P38" s="93"/>
      <c r="Q38" s="93"/>
      <c r="R38" s="93"/>
      <c r="S38" s="93"/>
      <c r="T38" s="93"/>
      <c r="U38" s="93"/>
    </row>
    <row r="39" spans="1:22" ht="16" x14ac:dyDescent="0.8">
      <c r="A39" s="190"/>
      <c r="B39" s="191"/>
      <c r="C39" s="192"/>
      <c r="D39" s="143"/>
      <c r="E39" s="71"/>
      <c r="F39" s="71"/>
      <c r="G39" s="71"/>
      <c r="J39" s="93"/>
      <c r="K39" s="93"/>
      <c r="L39" s="93"/>
      <c r="M39" s="93"/>
      <c r="N39" s="93"/>
      <c r="O39" s="93"/>
      <c r="P39" s="93"/>
      <c r="Q39" s="93"/>
      <c r="R39" s="93"/>
      <c r="S39" s="93"/>
      <c r="T39" s="93"/>
      <c r="U39" s="93"/>
    </row>
    <row r="40" spans="1:22" ht="16" x14ac:dyDescent="0.8">
      <c r="A40" s="190"/>
      <c r="B40" s="191"/>
      <c r="C40" s="192"/>
      <c r="D40" s="143"/>
      <c r="E40" s="71"/>
      <c r="F40" s="71"/>
      <c r="G40" s="71"/>
      <c r="J40" s="93"/>
      <c r="K40" s="93"/>
      <c r="L40" s="93"/>
      <c r="M40" s="93"/>
      <c r="N40" s="93"/>
      <c r="O40" s="93"/>
      <c r="P40" s="93"/>
      <c r="Q40" s="93"/>
      <c r="R40" s="93"/>
      <c r="S40" s="93"/>
      <c r="T40" s="93"/>
      <c r="U40" s="93"/>
    </row>
    <row r="41" spans="1:22" ht="16" x14ac:dyDescent="0.8">
      <c r="A41" s="190"/>
      <c r="B41" s="191"/>
      <c r="C41" s="192"/>
      <c r="D41" s="143"/>
      <c r="E41" s="119"/>
      <c r="F41" s="119"/>
      <c r="G41" s="119"/>
      <c r="J41" s="93"/>
      <c r="K41" s="93"/>
      <c r="L41" s="93"/>
      <c r="M41" s="93"/>
      <c r="N41" s="93"/>
      <c r="O41" s="93"/>
      <c r="P41" s="93"/>
      <c r="Q41" s="93"/>
      <c r="R41" s="93"/>
      <c r="S41" s="93"/>
      <c r="T41" s="93"/>
      <c r="U41" s="93"/>
    </row>
    <row r="42" spans="1:22" ht="16" x14ac:dyDescent="0.8">
      <c r="A42" s="190"/>
      <c r="B42" s="191"/>
      <c r="C42" s="192"/>
      <c r="D42" s="143"/>
      <c r="F42" s="10"/>
      <c r="G42" s="10"/>
      <c r="J42" s="73"/>
      <c r="K42" s="73"/>
      <c r="L42" s="73"/>
      <c r="M42" s="73"/>
      <c r="N42" s="73"/>
      <c r="O42" s="73"/>
      <c r="P42" s="73"/>
      <c r="Q42" s="73"/>
      <c r="R42" s="73"/>
      <c r="S42" s="73"/>
      <c r="T42" s="73"/>
      <c r="U42" s="73"/>
    </row>
    <row r="43" spans="1:22" ht="16" x14ac:dyDescent="0.8">
      <c r="A43" s="156" t="s">
        <v>89</v>
      </c>
      <c r="B43" s="157"/>
      <c r="C43" s="158">
        <f>SUM(C38:C42)</f>
        <v>0</v>
      </c>
      <c r="D43" s="143"/>
      <c r="E43" s="73"/>
      <c r="F43" s="71"/>
      <c r="G43" s="10"/>
      <c r="J43" s="73"/>
      <c r="K43" s="73"/>
      <c r="L43" s="73"/>
      <c r="M43" s="73"/>
      <c r="N43" s="73"/>
      <c r="O43" s="73"/>
      <c r="P43" s="73"/>
      <c r="Q43" s="73"/>
      <c r="R43" s="73"/>
      <c r="S43" s="73"/>
      <c r="T43" s="73"/>
      <c r="U43" s="73"/>
    </row>
    <row r="44" spans="1:22" ht="16.75" thickBot="1" x14ac:dyDescent="0.95">
      <c r="A44" s="381" t="s">
        <v>22</v>
      </c>
      <c r="B44" s="381"/>
      <c r="C44" s="381"/>
      <c r="D44" s="71"/>
      <c r="E44" s="71"/>
      <c r="F44" s="71"/>
      <c r="G44" s="143"/>
      <c r="J44" s="93"/>
      <c r="K44" s="93"/>
      <c r="L44" s="93"/>
      <c r="M44" s="93"/>
      <c r="N44" s="93"/>
      <c r="O44" s="93"/>
      <c r="P44" s="93"/>
      <c r="Q44" s="93"/>
      <c r="R44" s="93"/>
      <c r="S44" s="93"/>
      <c r="T44" s="93"/>
      <c r="U44" s="93"/>
    </row>
    <row r="45" spans="1:22" ht="16" x14ac:dyDescent="0.8">
      <c r="A45" s="111" t="s">
        <v>91</v>
      </c>
      <c r="B45" s="113"/>
      <c r="C45" s="119"/>
      <c r="D45" s="119"/>
      <c r="E45" s="119"/>
      <c r="F45" s="119"/>
      <c r="G45" s="143"/>
      <c r="I45" s="93"/>
      <c r="J45" s="93"/>
      <c r="K45" s="93"/>
      <c r="L45" s="93"/>
      <c r="M45" s="93"/>
      <c r="N45" s="93"/>
      <c r="O45" s="93"/>
      <c r="P45" s="93"/>
      <c r="Q45" s="93"/>
      <c r="R45" s="93"/>
      <c r="S45" s="93"/>
      <c r="T45" s="93"/>
    </row>
    <row r="46" spans="1:22" ht="26.65" customHeight="1" x14ac:dyDescent="0.8">
      <c r="A46" s="70" t="s">
        <v>92</v>
      </c>
      <c r="B46" s="151"/>
      <c r="C46" s="119"/>
      <c r="D46" s="71"/>
      <c r="E46" s="73"/>
      <c r="F46" s="73"/>
      <c r="G46" s="143"/>
      <c r="I46" s="93"/>
      <c r="J46" s="93"/>
      <c r="K46" s="93"/>
      <c r="L46" s="93"/>
      <c r="M46" s="93"/>
      <c r="N46" s="93"/>
      <c r="O46" s="93"/>
      <c r="P46" s="93"/>
      <c r="Q46" s="93"/>
      <c r="R46" s="93"/>
      <c r="S46" s="93"/>
      <c r="T46" s="93"/>
    </row>
    <row r="47" spans="1:22" ht="16" x14ac:dyDescent="0.8">
      <c r="A47" s="159" t="s">
        <v>93</v>
      </c>
      <c r="B47" s="160" t="s">
        <v>94</v>
      </c>
      <c r="C47" s="117"/>
      <c r="D47" s="117"/>
      <c r="E47" s="143"/>
      <c r="F47" s="109"/>
      <c r="G47" s="10"/>
      <c r="I47" s="93"/>
      <c r="J47" s="93"/>
      <c r="K47" s="93"/>
      <c r="L47" s="93"/>
      <c r="M47" s="93"/>
      <c r="N47" s="93"/>
      <c r="O47" s="93"/>
      <c r="P47" s="93"/>
      <c r="Q47" s="93"/>
      <c r="R47" s="93"/>
      <c r="S47" s="93"/>
      <c r="T47" s="93"/>
    </row>
    <row r="48" spans="1:22" ht="60" customHeight="1" x14ac:dyDescent="0.8">
      <c r="A48" s="193"/>
      <c r="B48" s="194"/>
      <c r="C48" s="143"/>
      <c r="D48" s="143"/>
      <c r="E48" s="143"/>
      <c r="F48" s="71"/>
      <c r="G48" s="10"/>
      <c r="I48" s="93"/>
      <c r="J48" s="93"/>
      <c r="K48" s="93"/>
      <c r="L48" s="93"/>
      <c r="M48" s="93"/>
      <c r="N48" s="93"/>
      <c r="O48" s="93"/>
      <c r="P48" s="93"/>
      <c r="Q48" s="93"/>
      <c r="R48" s="93"/>
      <c r="S48" s="93"/>
      <c r="T48" s="93"/>
    </row>
    <row r="49" spans="1:20" ht="60" customHeight="1" x14ac:dyDescent="0.8">
      <c r="A49" s="193"/>
      <c r="B49" s="194"/>
      <c r="C49" s="143"/>
      <c r="D49" s="143"/>
      <c r="E49" s="155"/>
      <c r="F49" s="155"/>
      <c r="G49" s="155"/>
      <c r="I49" s="93"/>
      <c r="J49" s="93"/>
      <c r="K49" s="93"/>
      <c r="L49" s="93"/>
      <c r="M49" s="93"/>
      <c r="N49" s="93"/>
      <c r="O49" s="93"/>
      <c r="P49" s="93"/>
      <c r="Q49" s="93"/>
      <c r="R49" s="93"/>
      <c r="S49" s="93"/>
      <c r="T49" s="93"/>
    </row>
    <row r="50" spans="1:20" ht="60" customHeight="1" x14ac:dyDescent="0.8">
      <c r="A50" s="193"/>
      <c r="B50" s="194"/>
      <c r="C50" s="143"/>
      <c r="D50" s="143"/>
      <c r="E50" s="71"/>
      <c r="F50" s="71"/>
      <c r="G50" s="71"/>
    </row>
    <row r="51" spans="1:20" ht="60" customHeight="1" x14ac:dyDescent="0.8">
      <c r="A51" s="193"/>
      <c r="B51" s="194"/>
      <c r="C51" s="143"/>
      <c r="D51" s="143"/>
      <c r="E51" s="161"/>
      <c r="F51" s="161"/>
      <c r="G51" s="162"/>
    </row>
    <row r="52" spans="1:20" ht="60" customHeight="1" x14ac:dyDescent="0.8">
      <c r="A52" s="193"/>
      <c r="B52" s="194"/>
      <c r="C52" s="143"/>
      <c r="D52" s="143"/>
      <c r="E52" s="162"/>
      <c r="F52" s="162"/>
      <c r="G52" s="122"/>
    </row>
    <row r="53" spans="1:20" ht="16" x14ac:dyDescent="0.8">
      <c r="A53" s="163" t="s">
        <v>89</v>
      </c>
      <c r="B53" s="164">
        <f>SUM(B48:B52)</f>
        <v>0</v>
      </c>
      <c r="C53" s="143"/>
      <c r="D53" s="143"/>
      <c r="E53" s="73"/>
      <c r="G53" s="10"/>
    </row>
    <row r="54" spans="1:20" ht="16.75" thickBot="1" x14ac:dyDescent="0.95">
      <c r="A54" s="379" t="s">
        <v>22</v>
      </c>
      <c r="B54" s="379"/>
      <c r="C54" s="10"/>
      <c r="D54" s="71"/>
      <c r="E54" s="71"/>
      <c r="F54" s="71"/>
      <c r="G54" s="143"/>
    </row>
    <row r="55" spans="1:20" ht="16" x14ac:dyDescent="0.8">
      <c r="A55" s="166" t="str">
        <f>IF('3b. High Cost Fund'!$B13="No","This exception is not valid in your state.","Exception (e) The assumption of cost by the high cost fund operated by the")</f>
        <v>This exception is not valid in your state.</v>
      </c>
      <c r="B55" s="145"/>
      <c r="C55" s="146"/>
      <c r="D55" s="130"/>
      <c r="E55" s="130"/>
      <c r="F55" s="143"/>
      <c r="G55" s="143"/>
    </row>
    <row r="56" spans="1:20" ht="28.15" customHeight="1" x14ac:dyDescent="0.8">
      <c r="A56" s="70" t="str">
        <f>IF('3b. High Cost Fund'!$B13="No","","SEA under §300.704. MUST be explicitly permitted by the SEA.")</f>
        <v/>
      </c>
      <c r="B56" s="167"/>
      <c r="C56" s="168"/>
      <c r="D56" s="169"/>
      <c r="E56" s="162"/>
      <c r="F56" s="143"/>
      <c r="G56" s="143"/>
    </row>
    <row r="57" spans="1:20" ht="16" x14ac:dyDescent="0.8">
      <c r="A57" s="170" t="s">
        <v>85</v>
      </c>
      <c r="B57" s="171" t="s">
        <v>96</v>
      </c>
      <c r="C57" s="117"/>
      <c r="D57" s="143"/>
      <c r="E57" s="143"/>
      <c r="F57" s="10"/>
      <c r="G57" s="10"/>
    </row>
    <row r="58" spans="1:20" ht="15.4" customHeight="1" x14ac:dyDescent="0.8">
      <c r="A58" s="195"/>
      <c r="B58" s="196"/>
      <c r="C58" s="338" t="str">
        <f>IF(AND(B58&lt;&gt;"",'3b. High Cost Fund'!$B13="No"),"Invalid entry. This exception is valid only in states with high-cost funds. If your state has a high-cost fund, please indicate that on tab 3b.","")</f>
        <v/>
      </c>
      <c r="D58" s="143"/>
      <c r="E58" s="143"/>
      <c r="F58" s="10"/>
      <c r="G58" s="10"/>
    </row>
    <row r="59" spans="1:20" ht="16" x14ac:dyDescent="0.8">
      <c r="A59" s="195"/>
      <c r="B59" s="196"/>
      <c r="C59" s="143"/>
      <c r="D59" s="10"/>
      <c r="E59" s="10"/>
      <c r="F59" s="10"/>
      <c r="G59" s="10"/>
    </row>
    <row r="60" spans="1:20" ht="16" x14ac:dyDescent="0.8">
      <c r="A60" s="195"/>
      <c r="B60" s="196"/>
      <c r="C60" s="143"/>
      <c r="D60" s="10"/>
      <c r="E60" s="10"/>
      <c r="F60" s="10"/>
      <c r="G60" s="10"/>
    </row>
    <row r="61" spans="1:20" ht="16" x14ac:dyDescent="0.8">
      <c r="A61" s="195"/>
      <c r="B61" s="196"/>
      <c r="C61" s="143"/>
      <c r="D61" s="10"/>
      <c r="E61" s="10"/>
      <c r="F61" s="10"/>
      <c r="G61" s="10"/>
    </row>
    <row r="62" spans="1:20" ht="16" x14ac:dyDescent="0.8">
      <c r="A62" s="195"/>
      <c r="B62" s="196"/>
      <c r="C62" s="143"/>
      <c r="D62" s="10"/>
      <c r="E62" s="10"/>
      <c r="F62" s="10"/>
      <c r="G62" s="10"/>
    </row>
    <row r="63" spans="1:20" ht="16" x14ac:dyDescent="0.8">
      <c r="A63" s="172" t="s">
        <v>89</v>
      </c>
      <c r="B63" s="173">
        <f>IF('3b. High Cost Fund'!$B13="No",0,SUM(B58:B62))</f>
        <v>0</v>
      </c>
      <c r="C63" s="143"/>
      <c r="D63" s="10"/>
      <c r="E63" s="10"/>
      <c r="F63" s="10"/>
      <c r="G63" s="10"/>
    </row>
    <row r="64" spans="1:20" ht="16.75" thickBot="1" x14ac:dyDescent="0.95">
      <c r="A64" s="379" t="s">
        <v>22</v>
      </c>
      <c r="B64" s="379"/>
      <c r="C64" s="143"/>
      <c r="D64" s="10"/>
      <c r="E64" s="10"/>
      <c r="F64" s="10"/>
      <c r="G64" s="10"/>
    </row>
    <row r="65" spans="1:7" ht="16" x14ac:dyDescent="0.8">
      <c r="A65" s="347" t="s">
        <v>107</v>
      </c>
      <c r="B65" s="348"/>
      <c r="C65" s="143"/>
      <c r="D65" s="10"/>
      <c r="E65" s="10"/>
      <c r="F65" s="10"/>
      <c r="G65" s="10"/>
    </row>
    <row r="66" spans="1:7" ht="16" x14ac:dyDescent="0.8">
      <c r="A66" s="242" t="s">
        <v>123</v>
      </c>
      <c r="B66" s="265" t="s">
        <v>124</v>
      </c>
      <c r="C66" s="143"/>
      <c r="D66" s="10"/>
      <c r="E66" s="10"/>
      <c r="F66" s="10"/>
      <c r="G66" s="10"/>
    </row>
    <row r="67" spans="1:7" ht="16" x14ac:dyDescent="0.8">
      <c r="A67" s="102" t="s">
        <v>0</v>
      </c>
      <c r="B67" s="240">
        <f>IF(B$28&gt;=0,(F$22+C$43+B$53+B$63),(F$22+C$43+B$53+B$63+B$32))</f>
        <v>0</v>
      </c>
      <c r="C67" s="143"/>
      <c r="D67" s="10"/>
      <c r="E67" s="10"/>
      <c r="F67" s="10"/>
      <c r="G67" s="10"/>
    </row>
    <row r="68" spans="1:7" ht="16" x14ac:dyDescent="0.8">
      <c r="A68" s="241" t="s">
        <v>2</v>
      </c>
      <c r="B68" s="173">
        <f>IF(B$28&gt;=0,(F$22+C$43+B$53+B$63),(F$22+C$43+B$53+B$63+C$32))</f>
        <v>0</v>
      </c>
      <c r="C68" s="143"/>
      <c r="D68" s="10"/>
      <c r="E68" s="10"/>
      <c r="F68" s="10"/>
      <c r="G68" s="10"/>
    </row>
    <row r="69" spans="1:7" ht="16.75" thickBot="1" x14ac:dyDescent="0.95">
      <c r="A69" s="382" t="s">
        <v>22</v>
      </c>
      <c r="B69" s="382"/>
      <c r="C69" s="10"/>
      <c r="D69" s="10"/>
      <c r="E69" s="10"/>
      <c r="F69" s="10"/>
      <c r="G69" s="10"/>
    </row>
    <row r="70" spans="1:7" ht="31.15" customHeight="1" x14ac:dyDescent="0.8">
      <c r="A70" s="337" t="s">
        <v>98</v>
      </c>
      <c r="B70" s="176"/>
      <c r="C70" s="11"/>
      <c r="D70" s="177"/>
      <c r="E70" s="10"/>
      <c r="F70" s="10"/>
      <c r="G70" s="10"/>
    </row>
    <row r="71" spans="1:7" ht="16" x14ac:dyDescent="0.8">
      <c r="A71" s="178" t="s">
        <v>71</v>
      </c>
      <c r="B71" s="179" t="s">
        <v>99</v>
      </c>
      <c r="C71" s="11" t="s">
        <v>100</v>
      </c>
      <c r="E71" s="10"/>
      <c r="F71" s="10"/>
      <c r="G71" s="10"/>
    </row>
    <row r="72" spans="1:7" ht="16" x14ac:dyDescent="0.8">
      <c r="A72" s="180" t="s">
        <v>102</v>
      </c>
      <c r="B72" s="197">
        <v>0</v>
      </c>
      <c r="C72" s="181" t="s">
        <v>103</v>
      </c>
      <c r="D72" s="10"/>
      <c r="E72" s="10"/>
      <c r="F72" s="10"/>
      <c r="G72" s="10"/>
    </row>
    <row r="73" spans="1:7" ht="30" customHeight="1" x14ac:dyDescent="0.8">
      <c r="A73" s="345" t="s">
        <v>183</v>
      </c>
      <c r="B73" s="182"/>
      <c r="C73" s="182"/>
      <c r="D73" s="182"/>
      <c r="E73" s="182"/>
      <c r="F73" s="182"/>
      <c r="G73" s="182"/>
    </row>
    <row r="74" spans="1:7" s="184" customFormat="1" ht="16" x14ac:dyDescent="0.8">
      <c r="A74" s="358" t="s">
        <v>182</v>
      </c>
      <c r="B74" s="183"/>
      <c r="C74" s="183"/>
      <c r="D74" s="183"/>
      <c r="E74" s="183"/>
      <c r="F74" s="183"/>
      <c r="G74" s="183"/>
    </row>
    <row r="75" spans="1:7" ht="16" x14ac:dyDescent="0.8">
      <c r="A75" s="380" t="s">
        <v>24</v>
      </c>
      <c r="B75" s="380"/>
      <c r="C75" s="380"/>
      <c r="D75" s="380"/>
      <c r="E75" s="380"/>
      <c r="F75" s="380"/>
      <c r="G75" s="380"/>
    </row>
    <row r="76" spans="1:7" ht="16" hidden="1" x14ac:dyDescent="0.8"/>
    <row r="77" spans="1:7" ht="16" hidden="1" x14ac:dyDescent="0.8"/>
    <row r="78" spans="1:7" ht="16" hidden="1" x14ac:dyDescent="0.8"/>
    <row r="79" spans="1:7" ht="16" hidden="1" x14ac:dyDescent="0.8"/>
  </sheetData>
  <sheetProtection algorithmName="SHA-512" hashValue="Ba2ZpEievsD5A4SwNAnJLYQaOAnMdHRokfR+XaSxigGy1Vxq+5DHScYwrQDD0F6T7xbxZgWPOZGOcB9X+ul9pw==" saltValue="VD9q5d85RiP/FBVFs04xRQ==" spinCount="100000" sheet="1" formatColumns="0" formatRows="0"/>
  <mergeCells count="7">
    <mergeCell ref="A54:B54"/>
    <mergeCell ref="A69:B69"/>
    <mergeCell ref="A75:G75"/>
    <mergeCell ref="A23:F23"/>
    <mergeCell ref="A33:C33"/>
    <mergeCell ref="A44:C44"/>
    <mergeCell ref="A64:B64"/>
  </mergeCells>
  <conditionalFormatting sqref="A55">
    <cfRule type="containsText" dxfId="162" priority="1" operator="containsText" text="not valid">
      <formula>NOT(ISERROR(SEARCH("not valid",A55)))</formula>
    </cfRule>
  </conditionalFormatting>
  <dataValidations count="1">
    <dataValidation type="list" allowBlank="1" showInputMessage="1" showErrorMessage="1" sqref="B38:B42" xr:uid="{00000000-0002-0000-2400-000000000000}">
      <formula1>Exception_c</formula1>
    </dataValidation>
  </dataValidations>
  <hyperlinks>
    <hyperlink ref="C72" r:id="rId1" xr:uid="{00000000-0004-0000-2400-000000000000}"/>
    <hyperlink ref="A74" r:id="rId2" xr:uid="{DB513888-D370-486D-A14B-CDCFAAD19A32}"/>
  </hyperlinks>
  <pageMargins left="0.75" right="0.75" top="1" bottom="1" header="0.5" footer="0.5"/>
  <pageSetup orientation="portrait" horizontalDpi="4294967292" verticalDpi="4294967292" r:id="rId3"/>
  <tableParts count="9">
    <tablePart r:id="rId4"/>
    <tablePart r:id="rId5"/>
    <tablePart r:id="rId6"/>
    <tablePart r:id="rId7"/>
    <tablePart r:id="rId8"/>
    <tablePart r:id="rId9"/>
    <tablePart r:id="rId10"/>
    <tablePart r:id="rId11"/>
    <tablePart r:id="rId1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tabColor rgb="FF0070C0"/>
  </sheetPr>
  <dimension ref="A1:F32"/>
  <sheetViews>
    <sheetView showGridLines="0" workbookViewId="0">
      <selection activeCell="D16" sqref="D16"/>
    </sheetView>
  </sheetViews>
  <sheetFormatPr defaultColWidth="0" defaultRowHeight="14.75" zeroHeight="1" x14ac:dyDescent="0.75"/>
  <cols>
    <col min="1" max="1" width="43.40625" bestFit="1" customWidth="1"/>
    <col min="2" max="5" width="33.7265625" customWidth="1"/>
    <col min="6" max="6" width="0.86328125" customWidth="1"/>
    <col min="7" max="16384" width="9.1328125" hidden="1"/>
  </cols>
  <sheetData>
    <row r="1" spans="1:5" ht="21" x14ac:dyDescent="1">
      <c r="A1" s="302" t="str">
        <f>CONCATENATE("Summary of Year 11: State Fiscal Year ",'2. Getting Started'!B6+10)</f>
        <v>Summary of Year 11: State Fiscal Year 2034</v>
      </c>
      <c r="B1" s="300"/>
      <c r="C1" s="300"/>
      <c r="D1" s="21" t="s">
        <v>14</v>
      </c>
      <c r="E1" s="20" t="str">
        <f>IF('2. Getting Started'!B2="","",'2. Getting Started'!B2)</f>
        <v/>
      </c>
    </row>
    <row r="2" spans="1:5" ht="18.5" x14ac:dyDescent="0.9">
      <c r="A2" s="2" t="str">
        <f>CONCATENATE("State fiscal year ",'2. Getting Started'!B6+10," covers the period ",'2. Getting Started'!B4,", ",'2. Getting Started'!B6+9," through ",'2. Getting Started'!B5,", ",'2. Getting Started'!B6+10)</f>
        <v>State fiscal year 2034 covers the period July 1, 2033 through June 30, 2034</v>
      </c>
      <c r="B2" s="300"/>
      <c r="C2" s="300"/>
      <c r="D2" s="301"/>
      <c r="E2" s="300"/>
    </row>
    <row r="3" spans="1:5" ht="18.5" x14ac:dyDescent="0.9">
      <c r="A3" s="8"/>
      <c r="B3" s="18"/>
      <c r="C3" s="18"/>
      <c r="D3" s="201"/>
      <c r="E3" s="18"/>
    </row>
    <row r="4" spans="1:5" ht="16" x14ac:dyDescent="0.8">
      <c r="A4" s="5" t="s">
        <v>7</v>
      </c>
      <c r="B4" s="4"/>
      <c r="C4" s="4"/>
      <c r="D4" s="4"/>
      <c r="E4" s="4"/>
    </row>
    <row r="5" spans="1:5" x14ac:dyDescent="0.75">
      <c r="A5" s="260" t="s">
        <v>125</v>
      </c>
      <c r="B5" s="244" t="s">
        <v>0</v>
      </c>
      <c r="C5" s="244" t="s">
        <v>2</v>
      </c>
      <c r="D5" s="244" t="s">
        <v>3</v>
      </c>
      <c r="E5" s="245" t="s">
        <v>4</v>
      </c>
    </row>
    <row r="6" spans="1:5" x14ac:dyDescent="0.75">
      <c r="A6" s="243" t="s">
        <v>44</v>
      </c>
      <c r="B6" s="3" t="str">
        <f>IF('2. Getting Started'!B10="","",IF('38. Total Local Funds'!F78="Met",'2. Getting Started'!$B$6+8,IF('38. Total Local Funds'!F70="Met",'2. Getting Started'!$B$6+7,IF('38. Total Local Funds'!F62="Met",'2. Getting Started'!$B$6+6,IF('38. Total Local Funds'!F54="Met",'2. Getting Started'!$B$6+5,IF('38. Total Local Funds'!F46="Met",'2. Getting Started'!$B$6+4,IF('38. Total Local Funds'!F38="Met",'2. Getting Started'!$B$6+3,IF('38. Total Local Funds'!F30="Met",'2. Getting Started'!$B$6+2,IF('38. Total Local Funds'!$F22="Met",'2. Getting Started'!$B$6+1,IF('38. Total Local Funds'!$F14="Met",'2. Getting Started'!$B$6,'2. Getting Started'!$B10))))))))))</f>
        <v/>
      </c>
      <c r="C6" s="3" t="str">
        <f>IF('2. Getting Started'!B11="","",IF('39. Total State &amp; Local Funds'!F78="Met",'2. Getting Started'!$B$6+8,IF('39. Total State &amp; Local Funds'!F70="Met",'2. Getting Started'!$B$6+7,IF('39. Total State &amp; Local Funds'!F62="Met",'2. Getting Started'!$B$6+6,IF('39. Total State &amp; Local Funds'!F54="Met",'2. Getting Started'!$B$6+5,IF('39.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6" s="3" t="str">
        <f>IF('2. Getting Started'!B12="","",IF('40. Local Funds Per Capita'!F79="Met",'2. Getting Started'!$B$6+8,IF('40. Local Funds Per Capita'!F71="Met",'2. Getting Started'!$B$6+7,IF('40. Local Funds Per Capita'!F63="Met",'2. Getting Started'!$B$6+6,IF('40. Local Funds Per Capita'!F55="Met",'2. Getting Started'!$B$6+5,IF('40.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6" s="257" t="str">
        <f>IF('2. Getting Started'!B13="","",IF('41. State &amp; Local Funds Per Cap'!F79="Met",'2. Getting Started'!$B$6+8,IF('41. State &amp; Local Funds Per Cap'!F71="Met",'2. Getting Started'!$B$6+7,IF('41. State &amp; Local Funds Per Cap'!F63="Met",'2. Getting Started'!$B$6+6,IF('41. State &amp; Local Funds Per Cap'!F55="Met",'2. Getting Started'!$B$6+5,IF('41.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7" spans="1:5" x14ac:dyDescent="0.75">
      <c r="A7" s="243" t="s">
        <v>45</v>
      </c>
      <c r="B7" s="204" t="str">
        <f>IF(B6="","",IF(B6='2. Getting Started'!$B$6+8,'29. Year 9 Amounts'!K30,IF(B6='2. Getting Started'!$B$6+7,'26. Year 8 Amounts'!K30,IF(B6='2. Getting Started'!$B$6+6,'23. Year 7 Amounts'!K30,IF(B6='2. Getting Started'!$B$6+5,'20. Year 6 Amounts'!K30,IF(B6='2. Getting Started'!$B$6+4,'17. Year 5 Amounts'!K30,IF(B6='2. Getting Started'!$B$6+3,'14. Year 4 Amounts'!K30,IF(B6='2. Getting Started'!$B$6+2,'11. Year 3 Amounts'!K30,IF(B6='2. Getting Started'!$B$6+1,'8. Year 2 Amounts'!K30,IF(B6='2. Getting Started'!$B$6,'5. Year 1 Amounts'!K30,'2. Getting Started'!$C10))))))))))</f>
        <v/>
      </c>
      <c r="C7" s="204" t="str">
        <f>IF(C6="","",IF(C6='2. Getting Started'!$B$6+8,'29. Year 9 Amounts'!M30,IF(C6='2. Getting Started'!$B$6+7,'26. Year 8 Amounts'!M30,IF(C6='2. Getting Started'!$B$6+6,'23. Year 7 Amounts'!M30,IF(C6='2. Getting Started'!$B$6+5,'20. Year 6 Amounts'!M30,IF(C6='2. Getting Started'!$B$6+4,'17. Year 5 Amounts'!M30,IF(C6='2. Getting Started'!$B$6+3,'14. Year 4 Amounts'!M30,IF(C6='2. Getting Started'!$B$6+2,'11. Year 3 Amounts'!M30,IF(C6='2. Getting Started'!$B$6+1,'8. Year 2 Amounts'!M30,IF(C6='2. Getting Started'!$B$6,'5. Year 1 Amounts'!M30,'2. Getting Started'!$C11))))))))))</f>
        <v/>
      </c>
      <c r="D7" s="204" t="str">
        <f>IF(D6="","",IF(D6='2. Getting Started'!$B$6+8,'29. Year 9 Amounts'!K31,IF(D6='2. Getting Started'!$B$6+7,'26. Year 8 Amounts'!K31,IF(D6='2. Getting Started'!$B$6+6,'23. Year 7 Amounts'!K31,IF(D6='2. Getting Started'!$B$6+5,'20. Year 6 Amounts'!K31,IF(D6='2. Getting Started'!$B$6+4,'17. Year 5 Amounts'!K31,IF(D6='2. Getting Started'!$B$6+3,'14. Year 4 Amounts'!K31,IF(D6='2. Getting Started'!$B$6+2,'11. Year 3 Amounts'!K31,IF(D6='2. Getting Started'!$B$6+1,'8. Year 2 Amounts'!K31,IF(D6='2. Getting Started'!$B$6,'5. Year 1 Amounts'!K31,'2. Getting Started'!$C12))))))))))</f>
        <v/>
      </c>
      <c r="E7" s="267" t="str">
        <f>IF(E6="","",IF(E6='2. Getting Started'!$B$6+8,'29. Year 9 Amounts'!M31,IF(E6='2. Getting Started'!$B$6+7,'26. Year 8 Amounts'!M31,IF(E6='2. Getting Started'!$B$6+6,'23. Year 7 Amounts'!M31,IF(E6='2. Getting Started'!$B$6+5,'20. Year 6 Amounts'!M31,IF(E6='2. Getting Started'!$B$6+4,'17. Year 5 Amounts'!M31,IF(E6='2. Getting Started'!$B$6+3,'14. Year 4 Amounts'!M31,IF(E6='2. Getting Started'!$B$6+2,'11. Year 3 Amounts'!M31,IF(E6='2. Getting Started'!$B$6+1,'8. Year 2 Amounts'!M31,IF(E6='2. Getting Started'!$B$6,'5. Year 1 Amounts'!M31,'2. Getting Started'!$C13))))))))))</f>
        <v/>
      </c>
    </row>
    <row r="8" spans="1:5" x14ac:dyDescent="0.75">
      <c r="A8" s="243" t="s">
        <v>9</v>
      </c>
      <c r="B8" s="204" t="str">
        <f>'35. Year 11 Amounts'!D30</f>
        <v/>
      </c>
      <c r="C8" s="204" t="str">
        <f>'35. Year 11 Amounts'!F30</f>
        <v/>
      </c>
      <c r="D8" s="204" t="str">
        <f>'35. Year 11 Amounts'!D31</f>
        <v/>
      </c>
      <c r="E8" s="267" t="str">
        <f>'35. Year 11 Amounts'!F31</f>
        <v/>
      </c>
    </row>
    <row r="9" spans="1:5" x14ac:dyDescent="0.75">
      <c r="A9" s="243" t="s">
        <v>117</v>
      </c>
      <c r="B9" s="200" t="str">
        <f>IF(B8="","",IF(B8&gt;=B7,"Met",IF(AND(B8&lt;B7,'38. Total Local Funds'!$B94="Met"),"Met with Exceptions &amp; Adjustments","Did Not Meet")))</f>
        <v/>
      </c>
      <c r="C9" s="200" t="str">
        <f>IF(C8="","",IF(C8&gt;=C7,"Met",IF(AND(C8&lt;C7,'39. Total State &amp; Local Funds'!$B94="Met"),"Met with Exceptions &amp; Adjustments","Did Not Meet")))</f>
        <v/>
      </c>
      <c r="D9" s="200" t="str">
        <f>IF(D8="","",IF(D8&gt;=D7,"Met",IF(AND(D8&lt;D7,'40. Local Funds Per Capita'!$B95="Met"),"Met with Exceptions &amp; Adjustments","Did Not Meet")))</f>
        <v/>
      </c>
      <c r="E9" s="259" t="str">
        <f>IF(E8="","",IF(E8&gt;=E7,"Met",IF(AND(E8&lt;E7,'41. State &amp; Local Funds Per Cap'!$B95="Met"),"Met with Exceptions &amp; Adjustments","Did Not Meet")))</f>
        <v/>
      </c>
    </row>
    <row r="10" spans="1:5" x14ac:dyDescent="0.75">
      <c r="A10" s="246" t="s">
        <v>46</v>
      </c>
      <c r="B10" s="256" t="str">
        <f>IF(B9="","",IF(B9="Did Not Meet",'38. Total Local Funds'!$B92-'38. Total Local Funds'!$B93,0))</f>
        <v/>
      </c>
      <c r="C10" s="256" t="str">
        <f>IF(C9="","",IF(C9="Did Not Meet",'39. Total State &amp; Local Funds'!$B92-'39. Total State &amp; Local Funds'!$B93,0))</f>
        <v/>
      </c>
      <c r="D10" s="256" t="str">
        <f>IF(D9="","",IF(D9="Did Not Meet",(('40. Local Funds Per Capita'!$B93-'40. Local Funds Per Capita'!$B94)*'35. Year 11 Amounts'!B1),0))</f>
        <v/>
      </c>
      <c r="E10" s="261" t="str">
        <f>IF(E9="","",IF(E9="Did Not Meet",(('41. State &amp; Local Funds Per Cap'!$B93-'41. State &amp; Local Funds Per Cap'!$B94)*'35. Year 11 Amounts'!B1),0))</f>
        <v/>
      </c>
    </row>
    <row r="11" spans="1:5" x14ac:dyDescent="0.75">
      <c r="A11" s="373" t="s">
        <v>175</v>
      </c>
      <c r="B11" s="373"/>
      <c r="C11" s="373"/>
      <c r="D11" s="373"/>
      <c r="E11" s="373"/>
    </row>
    <row r="12" spans="1:5" ht="16" x14ac:dyDescent="0.8">
      <c r="A12" s="5" t="s">
        <v>10</v>
      </c>
      <c r="B12" s="5"/>
      <c r="C12" s="5"/>
      <c r="D12" s="5"/>
      <c r="E12" s="5"/>
    </row>
    <row r="13" spans="1:5" x14ac:dyDescent="0.75">
      <c r="A13" s="260" t="s">
        <v>125</v>
      </c>
      <c r="B13" s="244" t="s">
        <v>0</v>
      </c>
      <c r="C13" s="244" t="s">
        <v>2</v>
      </c>
      <c r="D13" s="244" t="s">
        <v>3</v>
      </c>
      <c r="E13" s="245" t="s">
        <v>4</v>
      </c>
    </row>
    <row r="14" spans="1:5" x14ac:dyDescent="0.75">
      <c r="A14" s="243" t="s">
        <v>44</v>
      </c>
      <c r="B14" s="276"/>
      <c r="C14" s="277"/>
      <c r="D14" s="277"/>
      <c r="E14" s="278"/>
    </row>
    <row r="15" spans="1:5" x14ac:dyDescent="0.75">
      <c r="A15" s="243" t="s">
        <v>45</v>
      </c>
      <c r="B15" s="279"/>
      <c r="C15" s="280"/>
      <c r="D15" s="280"/>
      <c r="E15" s="281"/>
    </row>
    <row r="16" spans="1:5" x14ac:dyDescent="0.75">
      <c r="A16" s="243" t="s">
        <v>11</v>
      </c>
      <c r="B16" s="250" t="s">
        <v>119</v>
      </c>
      <c r="C16" s="251"/>
      <c r="D16" s="251"/>
      <c r="E16" s="252"/>
    </row>
    <row r="17" spans="1:5" x14ac:dyDescent="0.75">
      <c r="A17" s="243" t="s">
        <v>117</v>
      </c>
      <c r="B17" s="279"/>
      <c r="C17" s="280"/>
      <c r="D17" s="280"/>
      <c r="E17" s="281"/>
    </row>
    <row r="18" spans="1:5" x14ac:dyDescent="0.75">
      <c r="A18" s="246" t="s">
        <v>46</v>
      </c>
      <c r="B18" s="282"/>
      <c r="C18" s="283"/>
      <c r="D18" s="283"/>
      <c r="E18" s="284"/>
    </row>
    <row r="19" spans="1:5" x14ac:dyDescent="0.75">
      <c r="A19" s="373" t="s">
        <v>175</v>
      </c>
      <c r="B19" s="373"/>
      <c r="C19" s="373"/>
      <c r="D19" s="373"/>
      <c r="E19" s="373"/>
    </row>
    <row r="20" spans="1:5" x14ac:dyDescent="0.75">
      <c r="A20" s="2" t="str">
        <f>CONCATENATE("Exceptions and Adjustment Claimed for State Fiscal Year ",'2. Getting Started'!B6+10)</f>
        <v>Exceptions and Adjustment Claimed for State Fiscal Year 2034</v>
      </c>
    </row>
    <row r="21" spans="1:5" x14ac:dyDescent="0.75">
      <c r="A21" s="2"/>
      <c r="B21" s="323" t="s">
        <v>148</v>
      </c>
      <c r="C21" s="4"/>
    </row>
    <row r="22" spans="1:5" x14ac:dyDescent="0.75">
      <c r="A22" s="260" t="s">
        <v>151</v>
      </c>
      <c r="B22" s="244" t="s">
        <v>155</v>
      </c>
      <c r="C22" s="245" t="s">
        <v>156</v>
      </c>
    </row>
    <row r="23" spans="1:5" x14ac:dyDescent="0.75">
      <c r="A23" s="223" t="s">
        <v>140</v>
      </c>
      <c r="B23" s="17">
        <f>'36. Year 11 Exc &amp; Adj'!F12</f>
        <v>0</v>
      </c>
      <c r="C23" s="258">
        <f>'36. Year 11 Exc &amp; Adj'!F12</f>
        <v>0</v>
      </c>
    </row>
    <row r="24" spans="1:5" x14ac:dyDescent="0.75">
      <c r="A24" s="223" t="s">
        <v>141</v>
      </c>
      <c r="B24" s="17" t="str">
        <f>'36. Year 11 Exc &amp; Adj'!B32</f>
        <v/>
      </c>
      <c r="C24" s="258" t="str">
        <f>'36. Year 11 Exc &amp; Adj'!C32</f>
        <v/>
      </c>
    </row>
    <row r="25" spans="1:5" x14ac:dyDescent="0.75">
      <c r="A25" s="223" t="s">
        <v>142</v>
      </c>
      <c r="B25" s="17">
        <f>'36. Year 11 Exc &amp; Adj'!C33</f>
        <v>0</v>
      </c>
      <c r="C25" s="258">
        <f>'36. Year 11 Exc &amp; Adj'!C33</f>
        <v>0</v>
      </c>
    </row>
    <row r="26" spans="1:5" x14ac:dyDescent="0.75">
      <c r="A26" s="223" t="s">
        <v>143</v>
      </c>
      <c r="B26" s="17">
        <f>'36. Year 11 Exc &amp; Adj'!B43</f>
        <v>0</v>
      </c>
      <c r="C26" s="258">
        <f>'36. Year 11 Exc &amp; Adj'!B43</f>
        <v>0</v>
      </c>
    </row>
    <row r="27" spans="1:5" x14ac:dyDescent="0.75">
      <c r="A27" s="223" t="str">
        <f>IF('3b. High Cost Fund'!$B13="No","This exception is not valid for your state.","Exception (e)")</f>
        <v>This exception is not valid for your state.</v>
      </c>
      <c r="B27" s="17" t="str">
        <f>IF('3b. High Cost Fund'!$B13="No","",'36. Year 11 Exc &amp; Adj'!B53)</f>
        <v/>
      </c>
      <c r="C27" s="258" t="str">
        <f>IF('3b. High Cost Fund'!$B13="No","",'36. Year 11 Exc &amp; Adj'!B53)</f>
        <v/>
      </c>
    </row>
    <row r="28" spans="1:5" x14ac:dyDescent="0.75">
      <c r="A28" s="223" t="s">
        <v>144</v>
      </c>
      <c r="B28" s="17">
        <f>AdjDataYear11Budget[Projected Adjustment]</f>
        <v>0</v>
      </c>
      <c r="C28" s="258">
        <f>AdjDataYear11Budget[Projected Adjustment]</f>
        <v>0</v>
      </c>
    </row>
    <row r="29" spans="1:5" x14ac:dyDescent="0.75">
      <c r="A29" s="246" t="s">
        <v>124</v>
      </c>
      <c r="B29" s="329">
        <f>SUM(B23:B28)</f>
        <v>0</v>
      </c>
      <c r="C29" s="330">
        <f>SUM(C23:C28)</f>
        <v>0</v>
      </c>
    </row>
    <row r="30" spans="1:5" ht="28.5" customHeight="1" x14ac:dyDescent="0.75">
      <c r="A30" s="345" t="s">
        <v>183</v>
      </c>
      <c r="B30" s="346"/>
      <c r="C30" s="346"/>
      <c r="D30" s="346"/>
      <c r="E30" s="346"/>
    </row>
    <row r="31" spans="1:5" ht="16" x14ac:dyDescent="0.8">
      <c r="A31" s="358" t="s">
        <v>182</v>
      </c>
    </row>
    <row r="32" spans="1:5" x14ac:dyDescent="0.75">
      <c r="A32" s="373" t="s">
        <v>24</v>
      </c>
      <c r="B32" s="373"/>
      <c r="C32" s="373"/>
      <c r="D32" s="373"/>
      <c r="E32" s="373"/>
    </row>
  </sheetData>
  <sheetProtection algorithmName="SHA-512" hashValue="H5jBTw17g4m+i4sqd5qscycG5nUzhE+j9S2J7ifIOZ+w5R+n8/UZhmuggxdUI6t52t1nBHpI/mf8FjCq6NQtIA==" saltValue="mJ6KB1OPdVBi/DHwa3RqKQ==" spinCount="100000" sheet="1" objects="1" scenarios="1" formatColumns="0" formatRows="0"/>
  <mergeCells count="3">
    <mergeCell ref="A11:E11"/>
    <mergeCell ref="A19:E19"/>
    <mergeCell ref="A32:E32"/>
  </mergeCells>
  <conditionalFormatting sqref="B9:E9">
    <cfRule type="containsText" dxfId="161" priority="1" operator="containsText" text="Did Not Meet">
      <formula>NOT(ISERROR(SEARCH("Did Not Meet",B9)))</formula>
    </cfRule>
    <cfRule type="containsText" dxfId="160" priority="2" operator="containsText" text="Met">
      <formula>NOT(ISERROR(SEARCH("Met",B9)))</formula>
    </cfRule>
  </conditionalFormatting>
  <hyperlinks>
    <hyperlink ref="A31" r:id="rId1" xr:uid="{D5726DF2-9CD0-4F39-BA9F-A103FCDFFA3D}"/>
  </hyperlinks>
  <pageMargins left="0.7" right="0.7" top="0.75" bottom="0.75" header="0.3" footer="0.3"/>
  <pageSetup orientation="landscape" verticalDpi="300" r:id="rId2"/>
  <tableParts count="3">
    <tablePart r:id="rId3"/>
    <tablePart r:id="rId4"/>
    <tablePart r:id="rId5"/>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tabColor theme="7"/>
  </sheetPr>
  <dimension ref="A1:I97"/>
  <sheetViews>
    <sheetView showGridLines="0" zoomScaleNormal="100" workbookViewId="0">
      <selection activeCell="A9" sqref="A9"/>
    </sheetView>
  </sheetViews>
  <sheetFormatPr defaultColWidth="0" defaultRowHeight="14.75" zeroHeight="1" x14ac:dyDescent="0.75"/>
  <cols>
    <col min="1" max="1" width="43.54296875" customWidth="1"/>
    <col min="2" max="2" width="25.86328125" bestFit="1" customWidth="1"/>
    <col min="3" max="4" width="9.1328125" customWidth="1"/>
    <col min="5" max="5" width="43.54296875" customWidth="1"/>
    <col min="6" max="6" width="26.1328125" bestFit="1" customWidth="1"/>
    <col min="7" max="7" width="0.86328125" customWidth="1"/>
    <col min="8" max="8" width="27" hidden="1" customWidth="1"/>
    <col min="9" max="9" width="9.1328125" hidden="1" customWidth="1"/>
    <col min="10" max="16384" width="9.1328125" hidden="1"/>
  </cols>
  <sheetData>
    <row r="1" spans="1:9" ht="33.75" customHeight="1" x14ac:dyDescent="0.75">
      <c r="A1" s="303" t="s">
        <v>172</v>
      </c>
      <c r="B1" s="304"/>
      <c r="C1" s="389" t="s">
        <v>175</v>
      </c>
      <c r="D1" s="389"/>
      <c r="E1" s="21" t="s">
        <v>14</v>
      </c>
      <c r="F1" s="20" t="str">
        <f>IF('2. Getting Started'!B2="","",'2. Getting Started'!B2)</f>
        <v/>
      </c>
    </row>
    <row r="2" spans="1:9" ht="18.75" customHeight="1" x14ac:dyDescent="0.9">
      <c r="A2" s="18" t="s">
        <v>13</v>
      </c>
      <c r="B2" s="4"/>
      <c r="C2" s="389"/>
      <c r="D2" s="389"/>
      <c r="E2" s="18" t="s">
        <v>6</v>
      </c>
      <c r="F2" s="4"/>
      <c r="H2" s="2" t="s">
        <v>12</v>
      </c>
    </row>
    <row r="3" spans="1:9" ht="39" customHeight="1" x14ac:dyDescent="0.8">
      <c r="A3" s="16" t="str">
        <f>CONCATENATE("Prior to Year 1: SFY ",'2. Getting Started'!B6)</f>
        <v>Prior to Year 1: SFY 2024</v>
      </c>
      <c r="B3" s="16"/>
      <c r="C3" s="389"/>
      <c r="D3" s="389"/>
      <c r="E3" s="16" t="str">
        <f>CONCATENATE("Prior to Year 1: SFY ",'2. Getting Started'!B6)</f>
        <v>Prior to Year 1: SFY 2024</v>
      </c>
      <c r="F3" s="16"/>
      <c r="H3" s="2"/>
    </row>
    <row r="4" spans="1:9" ht="29.5" x14ac:dyDescent="0.75">
      <c r="A4" s="224" t="str">
        <f>CONCATENATE("Last year before SFY ",'2. Getting Started'!B6," that the compliance standard was met for total local funds")</f>
        <v>Last year before SFY 2024 that the compliance standard was met for total local funds</v>
      </c>
      <c r="B4" s="257" t="str">
        <f>IF('2. Getting Started'!B10="","",'2. Getting Started'!B10)</f>
        <v/>
      </c>
      <c r="C4" s="389"/>
      <c r="D4" s="389"/>
      <c r="E4" s="224" t="str">
        <f>CONCATENATE("Last year before SFY ",'2. Getting Started'!B6," that the compliance standard was met for total local funds")</f>
        <v>Last year before SFY 2024 that the compliance standard was met for total local funds</v>
      </c>
      <c r="F4" s="257" t="str">
        <f>IF('2. Getting Started'!B10="","",'2. Getting Started'!B10)</f>
        <v/>
      </c>
      <c r="H4" s="1" t="s">
        <v>21</v>
      </c>
      <c r="I4">
        <f>'2. Getting Started'!B6-'2. Getting Started'!B10</f>
        <v>2024</v>
      </c>
    </row>
    <row r="5" spans="1:9" ht="15" customHeight="1" x14ac:dyDescent="0.75">
      <c r="A5" s="223" t="s">
        <v>1</v>
      </c>
      <c r="B5" s="258" t="str">
        <f>IF('2. Getting Started'!C10="","",'2. Getting Started'!C10)</f>
        <v/>
      </c>
      <c r="C5" s="389"/>
      <c r="D5" s="389"/>
      <c r="E5" s="223" t="s">
        <v>1</v>
      </c>
      <c r="F5" s="258" t="str">
        <f>IF('2. Getting Started'!C10="","",'2. Getting Started'!C10)</f>
        <v/>
      </c>
    </row>
    <row r="6" spans="1:9" ht="15" customHeight="1" x14ac:dyDescent="0.75">
      <c r="A6" s="228" t="s">
        <v>5</v>
      </c>
      <c r="B6" s="261" t="str">
        <f>IF(B5="","",IF(I4=1,0,IF(I4&gt;1,VLOOKUP(I4,'3a. Intervening Years'!I4:K22,2))))</f>
        <v/>
      </c>
      <c r="C6" s="389"/>
      <c r="D6" s="389"/>
      <c r="E6" s="228" t="s">
        <v>5</v>
      </c>
      <c r="F6" s="261" t="str">
        <f>IF(F5="","",IF(I4=1,0,IF(I4&gt;1,VLOOKUP(I4,'3a. Intervening Years'!I4:K22,2))))</f>
        <v/>
      </c>
    </row>
    <row r="7" spans="1:9" ht="15" customHeight="1" x14ac:dyDescent="0.75">
      <c r="A7" s="388" t="s">
        <v>175</v>
      </c>
      <c r="B7" s="388"/>
      <c r="C7" s="389"/>
      <c r="D7" s="389"/>
      <c r="E7" s="388" t="s">
        <v>175</v>
      </c>
      <c r="F7" s="388"/>
    </row>
    <row r="8" spans="1:9" ht="15.75" customHeight="1" x14ac:dyDescent="0.8">
      <c r="A8" s="5" t="str">
        <f>CONCATENATE("Year 1: SFY ",'2. Getting Started'!B$6)</f>
        <v>Year 1: SFY 2024</v>
      </c>
      <c r="B8" s="4"/>
      <c r="C8" s="389"/>
      <c r="D8" s="389"/>
      <c r="E8" s="5" t="str">
        <f>CONCATENATE("Year 1: SFY ",'2. Getting Started'!B$6)</f>
        <v>Year 1: SFY 2024</v>
      </c>
      <c r="F8" s="4"/>
    </row>
    <row r="9" spans="1:9" ht="15" customHeight="1" x14ac:dyDescent="0.75">
      <c r="A9" s="365" t="s">
        <v>185</v>
      </c>
      <c r="B9" s="360"/>
      <c r="C9" s="389"/>
      <c r="D9" s="389"/>
      <c r="E9" s="223" t="str">
        <f>CONCATENATE("Starting MOE Threshold for SFY ",'2. Getting Started'!B$6)</f>
        <v>Starting MOE Threshold for SFY 2024</v>
      </c>
      <c r="F9" s="258" t="str">
        <f>IF(F5="","",(F5-F6))</f>
        <v/>
      </c>
    </row>
    <row r="10" spans="1:9" ht="15" customHeight="1" x14ac:dyDescent="0.75">
      <c r="A10" s="366" t="s">
        <v>186</v>
      </c>
      <c r="B10" s="362"/>
      <c r="C10" s="389"/>
      <c r="D10" s="389"/>
      <c r="E10" s="223" t="str">
        <f>CONCATENATE("SFY ",'2. Getting Started'!B$6," Exceptions")</f>
        <v>SFY 2024 Exceptions</v>
      </c>
      <c r="F10" s="258">
        <f>'6. Year 1 Exc &amp; Adj'!I67</f>
        <v>0</v>
      </c>
    </row>
    <row r="11" spans="1:9" ht="15" customHeight="1" x14ac:dyDescent="0.75">
      <c r="A11" s="361" t="s">
        <v>187</v>
      </c>
      <c r="B11" s="362"/>
      <c r="C11" s="389"/>
      <c r="D11" s="389"/>
      <c r="E11" s="223" t="str">
        <f>CONCATENATE("SFY ",'2. Getting Started'!B$6," Adjustment")</f>
        <v>SFY 2024 Adjustment</v>
      </c>
      <c r="F11" s="258">
        <f>AdjDataYear1Expenditures[[Adjustment ]]</f>
        <v>0</v>
      </c>
    </row>
    <row r="12" spans="1:9" ht="15" customHeight="1" x14ac:dyDescent="0.75">
      <c r="A12" s="361"/>
      <c r="B12" s="362"/>
      <c r="C12" s="389"/>
      <c r="D12" s="389"/>
      <c r="E12" s="223" t="str">
        <f>CONCATENATE("Adjusted MOE Threshold for SFY ",'2. Getting Started'!B$6)</f>
        <v>Adjusted MOE Threshold for SFY 2024</v>
      </c>
      <c r="F12" s="258" t="str">
        <f>IF(F9="","",(F9-F10-F11))</f>
        <v/>
      </c>
    </row>
    <row r="13" spans="1:9" ht="15" customHeight="1" x14ac:dyDescent="0.75">
      <c r="A13" s="361"/>
      <c r="B13" s="362"/>
      <c r="C13" s="389"/>
      <c r="D13" s="389"/>
      <c r="E13" s="223" t="str">
        <f>CONCATENATE("Final Expenditures for SFY ",'2. Getting Started'!B$6)</f>
        <v>Final Expenditures for SFY 2024</v>
      </c>
      <c r="F13" s="258" t="str">
        <f>'5. Year 1 Amounts'!K30</f>
        <v/>
      </c>
    </row>
    <row r="14" spans="1:9" ht="15" customHeight="1" x14ac:dyDescent="0.75">
      <c r="A14" s="363"/>
      <c r="B14" s="364"/>
      <c r="C14" s="389"/>
      <c r="D14" s="389"/>
      <c r="E14" s="275" t="str">
        <f>CONCATENATE("MOE Result for SFY ",'2. Getting Started'!B$6)</f>
        <v>MOE Result for SFY 2024</v>
      </c>
      <c r="F14" s="285" t="str">
        <f>IF(F13="","",IF(F13&gt;=F12,"Met","Did Not Meet"))</f>
        <v/>
      </c>
    </row>
    <row r="15" spans="1:9" ht="15" customHeight="1" x14ac:dyDescent="0.75">
      <c r="A15" s="388" t="s">
        <v>175</v>
      </c>
      <c r="B15" s="388"/>
      <c r="C15" s="389"/>
      <c r="D15" s="389"/>
      <c r="E15" s="388" t="s">
        <v>175</v>
      </c>
      <c r="F15" s="388"/>
    </row>
    <row r="16" spans="1:9" ht="15.75" customHeight="1" x14ac:dyDescent="0.8">
      <c r="A16" s="5" t="str">
        <f>CONCATENATE("Year 2: SFY ",'2. Getting Started'!B$6+1)</f>
        <v>Year 2: SFY 2025</v>
      </c>
      <c r="B16" s="4"/>
      <c r="C16" s="389"/>
      <c r="D16" s="389"/>
      <c r="E16" s="5" t="str">
        <f>CONCATENATE("Year 2: SFY ",'2. Getting Started'!B$6+1)</f>
        <v>Year 2: SFY 2025</v>
      </c>
      <c r="F16" s="4"/>
    </row>
    <row r="17" spans="1:6" ht="15" customHeight="1" x14ac:dyDescent="0.75">
      <c r="A17" s="223" t="str">
        <f>CONCATENATE("Starting MOE Threshold for SFY ",'2. Getting Started'!B$6+1)</f>
        <v>Starting MOE Threshold for SFY 2025</v>
      </c>
      <c r="B17" s="258" t="str">
        <f>IF(B5="","",(B5-B6))</f>
        <v/>
      </c>
      <c r="C17" s="389"/>
      <c r="D17" s="389"/>
      <c r="E17" s="223" t="str">
        <f>CONCATENATE("Starting MOE Threshold for SFY ",'2. Getting Started'!B$6+1)</f>
        <v>Starting MOE Threshold for SFY 2025</v>
      </c>
      <c r="F17" s="258" t="str">
        <f>IF(F14="Met",F13,F12)</f>
        <v/>
      </c>
    </row>
    <row r="18" spans="1:6" ht="15" customHeight="1" x14ac:dyDescent="0.75">
      <c r="A18" s="223" t="str">
        <f>CONCATENATE("SFY ",'2. Getting Started'!B$6," + ",'2. Getting Started'!B$6+1," Projected Exceptions")</f>
        <v>SFY 2024 + 2025 Projected Exceptions</v>
      </c>
      <c r="B18" s="258">
        <f>'6. Year 1 Exc &amp; Adj'!B67+'9. Year 2 Exc &amp; Adj'!B67</f>
        <v>0</v>
      </c>
      <c r="C18" s="389"/>
      <c r="D18" s="389"/>
      <c r="E18" s="223" t="str">
        <f>CONCATENATE("SFY ",'2. Getting Started'!B$6+1," Exceptions")</f>
        <v>SFY 2025 Exceptions</v>
      </c>
      <c r="F18" s="258">
        <f>'9. Year 2 Exc &amp; Adj'!I67</f>
        <v>0</v>
      </c>
    </row>
    <row r="19" spans="1:6" ht="15" customHeight="1" x14ac:dyDescent="0.75">
      <c r="A19" s="223" t="str">
        <f>CONCATENATE("SFY ",'2. Getting Started'!B$6," + ",'2. Getting Started'!B$6+1," Projected Adjustments")</f>
        <v>SFY 2024 + 2025 Projected Adjustments</v>
      </c>
      <c r="B19" s="258">
        <f>AdjDataYear1Budget[Projected Adjustment]+AdjDataYear2Budget[Projected Adjustment]</f>
        <v>0</v>
      </c>
      <c r="C19" s="389"/>
      <c r="D19" s="389"/>
      <c r="E19" s="223" t="str">
        <f>CONCATENATE("SFY ",'2. Getting Started'!B$6+1," Adjustment")</f>
        <v>SFY 2025 Adjustment</v>
      </c>
      <c r="F19" s="258">
        <f>AdjDataYear2Expenditures[[Adjustment ]]</f>
        <v>0</v>
      </c>
    </row>
    <row r="20" spans="1:6" ht="15" customHeight="1" x14ac:dyDescent="0.75">
      <c r="A20" s="223" t="str">
        <f>CONCATENATE("Adjusted MOE Threshold for SFY ",'2. Getting Started'!B$6+1)</f>
        <v>Adjusted MOE Threshold for SFY 2025</v>
      </c>
      <c r="B20" s="258" t="str">
        <f>IF(B17="","",(B17-B18-B19))</f>
        <v/>
      </c>
      <c r="C20" s="389"/>
      <c r="D20" s="389"/>
      <c r="E20" s="223" t="str">
        <f>CONCATENATE("Adjusted MOE Threshold for SFY ",'2. Getting Started'!B$6+1)</f>
        <v>Adjusted MOE Threshold for SFY 2025</v>
      </c>
      <c r="F20" s="258" t="str">
        <f>IF(F17="","",(F17-F18-F19))</f>
        <v/>
      </c>
    </row>
    <row r="21" spans="1:6" ht="15" customHeight="1" x14ac:dyDescent="0.75">
      <c r="A21" s="223" t="str">
        <f>CONCATENATE("Budgeted Amount for SFY ",'2. Getting Started'!B$6+1)</f>
        <v>Budgeted Amount for SFY 2025</v>
      </c>
      <c r="B21" s="258" t="str">
        <f>'8. Year 2 Amounts'!D30</f>
        <v/>
      </c>
      <c r="C21" s="389"/>
      <c r="D21" s="389"/>
      <c r="E21" s="223" t="str">
        <f>CONCATENATE("Final Expenditures for SFY ",'2. Getting Started'!B$6+1)</f>
        <v>Final Expenditures for SFY 2025</v>
      </c>
      <c r="F21" s="258" t="str">
        <f>'8. Year 2 Amounts'!K30</f>
        <v/>
      </c>
    </row>
    <row r="22" spans="1:6" ht="15" customHeight="1" x14ac:dyDescent="0.75">
      <c r="A22" s="275" t="str">
        <f>CONCATENATE("MOE Result for SFY ",'2. Getting Started'!B$6+1)</f>
        <v>MOE Result for SFY 2025</v>
      </c>
      <c r="B22" s="285" t="str">
        <f>IF(B21="","",IF(B21&gt;=B20,"Met","Did Not Meet"))</f>
        <v/>
      </c>
      <c r="C22" s="389"/>
      <c r="D22" s="389"/>
      <c r="E22" s="275" t="str">
        <f>CONCATENATE("MOE Result for SFY ",'2. Getting Started'!B$6+1)</f>
        <v>MOE Result for SFY 2025</v>
      </c>
      <c r="F22" s="285" t="str">
        <f>IF(F21="","",IF(F21&gt;=F20,"Met","Did Not Meet"))</f>
        <v/>
      </c>
    </row>
    <row r="23" spans="1:6" ht="15" customHeight="1" x14ac:dyDescent="0.75">
      <c r="A23" s="388" t="s">
        <v>175</v>
      </c>
      <c r="B23" s="388"/>
      <c r="C23" s="389"/>
      <c r="D23" s="389"/>
      <c r="E23" s="388" t="s">
        <v>175</v>
      </c>
      <c r="F23" s="388"/>
    </row>
    <row r="24" spans="1:6" ht="15.75" customHeight="1" x14ac:dyDescent="0.8">
      <c r="A24" s="5" t="str">
        <f>CONCATENATE("Year 3: SFY ",'2. Getting Started'!B$6+2)</f>
        <v>Year 3: SFY 2026</v>
      </c>
      <c r="B24" s="4"/>
      <c r="C24" s="389"/>
      <c r="D24" s="389"/>
      <c r="E24" s="5" t="str">
        <f>CONCATENATE("Year 3: SFY ",'2. Getting Started'!B$6+2)</f>
        <v>Year 3: SFY 2026</v>
      </c>
      <c r="F24" s="4"/>
    </row>
    <row r="25" spans="1:6" ht="15" customHeight="1" x14ac:dyDescent="0.75">
      <c r="A25" s="223" t="str">
        <f>CONCATENATE("Starting MOE Threshold for SFY ",'2. Getting Started'!B$6+2)</f>
        <v>Starting MOE Threshold for SFY 2026</v>
      </c>
      <c r="B25" s="258" t="str">
        <f>IF(F14="Met",F13,F12)</f>
        <v/>
      </c>
      <c r="C25" s="389"/>
      <c r="D25" s="389"/>
      <c r="E25" s="223" t="str">
        <f>CONCATENATE("Starting MOE Threshold for SFY ",'2. Getting Started'!B$6+2)</f>
        <v>Starting MOE Threshold for SFY 2026</v>
      </c>
      <c r="F25" s="258" t="str">
        <f>IF(F22="Met",F21,F20)</f>
        <v/>
      </c>
    </row>
    <row r="26" spans="1:6" ht="15" customHeight="1" x14ac:dyDescent="0.75">
      <c r="A26" s="223" t="str">
        <f>CONCATENATE("SFY ",'2. Getting Started'!B$6+1," + ",'2. Getting Started'!B$6+2," Projected Exceptions")</f>
        <v>SFY 2025 + 2026 Projected Exceptions</v>
      </c>
      <c r="B26" s="258">
        <f>'9. Year 2 Exc &amp; Adj'!B67+'12. Year 3 Exc &amp; Adj'!B67</f>
        <v>0</v>
      </c>
      <c r="C26" s="389"/>
      <c r="D26" s="389"/>
      <c r="E26" s="223" t="str">
        <f>CONCATENATE("SFY ",'2. Getting Started'!B$6+2," Exceptions")</f>
        <v>SFY 2026 Exceptions</v>
      </c>
      <c r="F26" s="258">
        <f>'12. Year 3 Exc &amp; Adj'!I67</f>
        <v>0</v>
      </c>
    </row>
    <row r="27" spans="1:6" ht="15" customHeight="1" x14ac:dyDescent="0.75">
      <c r="A27" s="223" t="str">
        <f>CONCATENATE("SFY ",'2. Getting Started'!B$6+1," + ",'2. Getting Started'!B$6+2," Projected Adjustments")</f>
        <v>SFY 2025 + 2026 Projected Adjustments</v>
      </c>
      <c r="B27" s="258">
        <f>AdjDataYear3Budget[Projected Adjustment]+AdjDataYear2Budget[Projected Adjustment]</f>
        <v>0</v>
      </c>
      <c r="C27" s="389"/>
      <c r="D27" s="389"/>
      <c r="E27" s="223" t="str">
        <f>CONCATENATE("SFY ",'2. Getting Started'!B$6+2," Adjustment")</f>
        <v>SFY 2026 Adjustment</v>
      </c>
      <c r="F27" s="258">
        <f>AdjDataYear3Expenditures[[Adjustment ]]</f>
        <v>0</v>
      </c>
    </row>
    <row r="28" spans="1:6" ht="15" customHeight="1" x14ac:dyDescent="0.75">
      <c r="A28" s="223" t="str">
        <f>CONCATENATE("Adjusted MOE Threshold for SFY ",'2. Getting Started'!B$6+2)</f>
        <v>Adjusted MOE Threshold for SFY 2026</v>
      </c>
      <c r="B28" s="258" t="str">
        <f>IF(B25="","",(B25-B26-B27))</f>
        <v/>
      </c>
      <c r="C28" s="389"/>
      <c r="D28" s="389"/>
      <c r="E28" s="223" t="str">
        <f>CONCATENATE("Adjusted MOE Threshold for SFY ",'2. Getting Started'!B$6+2)</f>
        <v>Adjusted MOE Threshold for SFY 2026</v>
      </c>
      <c r="F28" s="258" t="str">
        <f>IF(F25="","",(F25-F26-F27))</f>
        <v/>
      </c>
    </row>
    <row r="29" spans="1:6" ht="15" customHeight="1" x14ac:dyDescent="0.75">
      <c r="A29" s="223" t="str">
        <f>CONCATENATE("Budgeted Amount for SFY ",'2. Getting Started'!B$6+2)</f>
        <v>Budgeted Amount for SFY 2026</v>
      </c>
      <c r="B29" s="258" t="str">
        <f>'11. Year 3 Amounts'!D30</f>
        <v/>
      </c>
      <c r="C29" s="389"/>
      <c r="D29" s="389"/>
      <c r="E29" s="223" t="str">
        <f>CONCATENATE("Final Expenditures for SFY ",'2. Getting Started'!B$6+2)</f>
        <v>Final Expenditures for SFY 2026</v>
      </c>
      <c r="F29" s="258" t="str">
        <f>'11. Year 3 Amounts'!K30</f>
        <v/>
      </c>
    </row>
    <row r="30" spans="1:6" ht="15" customHeight="1" x14ac:dyDescent="0.75">
      <c r="A30" s="275" t="str">
        <f>CONCATENATE("MOE Result for SFY ",'2. Getting Started'!B$6+2)</f>
        <v>MOE Result for SFY 2026</v>
      </c>
      <c r="B30" s="285" t="str">
        <f>IF(B29="","",IF(B29&gt;=B28,"Met","Did Not Meet"))</f>
        <v/>
      </c>
      <c r="C30" s="389"/>
      <c r="D30" s="389"/>
      <c r="E30" s="275" t="str">
        <f>CONCATENATE("MOE Result for SFY ",'2. Getting Started'!B$6+2)</f>
        <v>MOE Result for SFY 2026</v>
      </c>
      <c r="F30" s="285" t="str">
        <f>IF(F29="","",IF(F29&gt;=F28,"Met","Did Not Meet"))</f>
        <v/>
      </c>
    </row>
    <row r="31" spans="1:6" ht="15" customHeight="1" x14ac:dyDescent="0.75">
      <c r="A31" s="388" t="s">
        <v>175</v>
      </c>
      <c r="B31" s="388"/>
      <c r="C31" s="389"/>
      <c r="D31" s="389"/>
      <c r="E31" s="388" t="s">
        <v>175</v>
      </c>
      <c r="F31" s="388"/>
    </row>
    <row r="32" spans="1:6" ht="15.75" customHeight="1" x14ac:dyDescent="0.8">
      <c r="A32" s="5" t="str">
        <f>CONCATENATE("Year 4: SFY ",'2. Getting Started'!B$6+3)</f>
        <v>Year 4: SFY 2027</v>
      </c>
      <c r="B32" s="4"/>
      <c r="C32" s="389"/>
      <c r="D32" s="389"/>
      <c r="E32" s="5" t="str">
        <f>CONCATENATE("Year 4: SFY ",'2. Getting Started'!B$6+3)</f>
        <v>Year 4: SFY 2027</v>
      </c>
      <c r="F32" s="4"/>
    </row>
    <row r="33" spans="1:6" ht="15" customHeight="1" x14ac:dyDescent="0.75">
      <c r="A33" s="223" t="str">
        <f>CONCATENATE("Starting MOE Threshold for SFY ",'2. Getting Started'!B$6+3)</f>
        <v>Starting MOE Threshold for SFY 2027</v>
      </c>
      <c r="B33" s="258" t="str">
        <f>IF(F22="Met",F21,F20)</f>
        <v/>
      </c>
      <c r="C33" s="389"/>
      <c r="D33" s="389"/>
      <c r="E33" s="223" t="str">
        <f>CONCATENATE("Starting MOE Threshold for SFY ",'2. Getting Started'!B$6+3)</f>
        <v>Starting MOE Threshold for SFY 2027</v>
      </c>
      <c r="F33" s="258" t="str">
        <f>IF(F30="Met",F29,F28)</f>
        <v/>
      </c>
    </row>
    <row r="34" spans="1:6" ht="15" customHeight="1" x14ac:dyDescent="0.75">
      <c r="A34" s="223" t="str">
        <f>CONCATENATE("SFY ",'2. Getting Started'!B$6+2," + ",'2. Getting Started'!B$6+3," Projected Exceptions")</f>
        <v>SFY 2026 + 2027 Projected Exceptions</v>
      </c>
      <c r="B34" s="258">
        <f>'12. Year 3 Exc &amp; Adj'!B67+'15. Year 4 Exc &amp; Adj'!B67</f>
        <v>0</v>
      </c>
      <c r="C34" s="389"/>
      <c r="D34" s="389"/>
      <c r="E34" s="223" t="str">
        <f>CONCATENATE("SFY ",'2. Getting Started'!B$6+3," Exceptions")</f>
        <v>SFY 2027 Exceptions</v>
      </c>
      <c r="F34" s="258">
        <f>'15. Year 4 Exc &amp; Adj'!I67</f>
        <v>0</v>
      </c>
    </row>
    <row r="35" spans="1:6" ht="15" customHeight="1" x14ac:dyDescent="0.75">
      <c r="A35" s="223" t="str">
        <f>CONCATENATE("SFY ",'2. Getting Started'!B$6+2," + ",'2. Getting Started'!B$6+3," Projected Adjustments")</f>
        <v>SFY 2026 + 2027 Projected Adjustments</v>
      </c>
      <c r="B35" s="258">
        <f>AdjDataYear3Budget[Projected Adjustment]+AdjDataYear4Budget[Projected Adjustment]</f>
        <v>0</v>
      </c>
      <c r="C35" s="389"/>
      <c r="D35" s="389"/>
      <c r="E35" s="223" t="str">
        <f>CONCATENATE("SFY ",'2. Getting Started'!B$6+3," Adjustment")</f>
        <v>SFY 2027 Adjustment</v>
      </c>
      <c r="F35" s="258">
        <f>AdjDataYear4Expenditures[[Adjustment ]]</f>
        <v>0</v>
      </c>
    </row>
    <row r="36" spans="1:6" ht="15" customHeight="1" x14ac:dyDescent="0.75">
      <c r="A36" s="223" t="str">
        <f>CONCATENATE("Adjusted MOE Threshold for SFY ",'2. Getting Started'!B$6+3)</f>
        <v>Adjusted MOE Threshold for SFY 2027</v>
      </c>
      <c r="B36" s="258" t="str">
        <f>IF(B33="","",(B33-B34-B35))</f>
        <v/>
      </c>
      <c r="C36" s="389"/>
      <c r="D36" s="389"/>
      <c r="E36" s="223" t="str">
        <f>CONCATENATE("Adjusted MOE Threshold for SFY ",'2. Getting Started'!B$6+3)</f>
        <v>Adjusted MOE Threshold for SFY 2027</v>
      </c>
      <c r="F36" s="258" t="str">
        <f>IF(F33="","",(F33-F34-F35))</f>
        <v/>
      </c>
    </row>
    <row r="37" spans="1:6" ht="15" customHeight="1" x14ac:dyDescent="0.75">
      <c r="A37" s="223" t="str">
        <f>CONCATENATE("Budgeted Amount for SFY ",'2. Getting Started'!B$6+3)</f>
        <v>Budgeted Amount for SFY 2027</v>
      </c>
      <c r="B37" s="258" t="str">
        <f>'14. Year 4 Amounts'!D30</f>
        <v/>
      </c>
      <c r="C37" s="389"/>
      <c r="D37" s="389"/>
      <c r="E37" s="223" t="str">
        <f>CONCATENATE("Final Expenditures for SFY ",'2. Getting Started'!B$6+3)</f>
        <v>Final Expenditures for SFY 2027</v>
      </c>
      <c r="F37" s="258" t="str">
        <f>'14. Year 4 Amounts'!K30</f>
        <v/>
      </c>
    </row>
    <row r="38" spans="1:6" ht="15" customHeight="1" x14ac:dyDescent="0.75">
      <c r="A38" s="275" t="str">
        <f>CONCATENATE("MOE Result for SFY ",'2. Getting Started'!B$6+3)</f>
        <v>MOE Result for SFY 2027</v>
      </c>
      <c r="B38" s="285" t="str">
        <f>IF(B37="","",IF(B37&gt;=B36,"Met","Did Not Meet"))</f>
        <v/>
      </c>
      <c r="C38" s="389"/>
      <c r="D38" s="389"/>
      <c r="E38" s="275" t="str">
        <f>CONCATENATE("MOE Result for SFY ",'2. Getting Started'!B$6+3)</f>
        <v>MOE Result for SFY 2027</v>
      </c>
      <c r="F38" s="285" t="str">
        <f>IF(F37="","",IF(F37&gt;=F36,"Met","Did Not Meet"))</f>
        <v/>
      </c>
    </row>
    <row r="39" spans="1:6" ht="15" customHeight="1" x14ac:dyDescent="0.75">
      <c r="A39" s="388" t="s">
        <v>175</v>
      </c>
      <c r="B39" s="388"/>
      <c r="C39" s="389"/>
      <c r="D39" s="389"/>
      <c r="E39" s="388" t="s">
        <v>175</v>
      </c>
      <c r="F39" s="388"/>
    </row>
    <row r="40" spans="1:6" ht="15.75" customHeight="1" x14ac:dyDescent="0.8">
      <c r="A40" s="5" t="str">
        <f>CONCATENATE("Year 5: SFY ",'2. Getting Started'!B$6+4)</f>
        <v>Year 5: SFY 2028</v>
      </c>
      <c r="B40" s="4"/>
      <c r="C40" s="389"/>
      <c r="D40" s="389"/>
      <c r="E40" s="5" t="str">
        <f>CONCATENATE("Year 5: SFY ",'2. Getting Started'!B$6+4)</f>
        <v>Year 5: SFY 2028</v>
      </c>
      <c r="F40" s="4"/>
    </row>
    <row r="41" spans="1:6" ht="15" customHeight="1" x14ac:dyDescent="0.75">
      <c r="A41" s="223" t="str">
        <f>CONCATENATE("Starting MOE Threshold for SFY ",'2. Getting Started'!B$6+4)</f>
        <v>Starting MOE Threshold for SFY 2028</v>
      </c>
      <c r="B41" s="258" t="str">
        <f>IF(F30="Met",F29,F28)</f>
        <v/>
      </c>
      <c r="C41" s="389"/>
      <c r="D41" s="389"/>
      <c r="E41" s="223" t="str">
        <f>CONCATENATE("Starting MOE Threshold for SFY ",'2. Getting Started'!B$6+4)</f>
        <v>Starting MOE Threshold for SFY 2028</v>
      </c>
      <c r="F41" s="258" t="str">
        <f>IF(F38="Met",F37,F36)</f>
        <v/>
      </c>
    </row>
    <row r="42" spans="1:6" ht="15" customHeight="1" x14ac:dyDescent="0.75">
      <c r="A42" s="223" t="str">
        <f>CONCATENATE("SFY ",'2. Getting Started'!B$6+3," + ",'2. Getting Started'!B$6+4," Projected Exceptions")</f>
        <v>SFY 2027 + 2028 Projected Exceptions</v>
      </c>
      <c r="B42" s="258">
        <f>'15. Year 4 Exc &amp; Adj'!B67+'18. Year 5 Exc &amp; Adj'!B67</f>
        <v>0</v>
      </c>
      <c r="C42" s="389"/>
      <c r="D42" s="389"/>
      <c r="E42" s="223" t="str">
        <f>CONCATENATE("SFY ",'2. Getting Started'!B$6+4," Exceptions")</f>
        <v>SFY 2028 Exceptions</v>
      </c>
      <c r="F42" s="258">
        <f>'18. Year 5 Exc &amp; Adj'!I67</f>
        <v>0</v>
      </c>
    </row>
    <row r="43" spans="1:6" ht="15" customHeight="1" x14ac:dyDescent="0.75">
      <c r="A43" s="223" t="str">
        <f>CONCATENATE("SFY ",'2. Getting Started'!B$6+3," + ",'2. Getting Started'!B$6+4," Projected Adjustments")</f>
        <v>SFY 2027 + 2028 Projected Adjustments</v>
      </c>
      <c r="B43" s="258">
        <f>AdjDataYear4Budget[Projected Adjustment]+AdjDataYear5Budget[Projected Adjustment]</f>
        <v>0</v>
      </c>
      <c r="C43" s="389"/>
      <c r="D43" s="389"/>
      <c r="E43" s="223" t="str">
        <f>CONCATENATE("SFY ",'2. Getting Started'!B$6+4," Adjustment")</f>
        <v>SFY 2028 Adjustment</v>
      </c>
      <c r="F43" s="258">
        <f>AdjDataYear5Expenditures[[Adjustment ]]</f>
        <v>0</v>
      </c>
    </row>
    <row r="44" spans="1:6" ht="15" customHeight="1" x14ac:dyDescent="0.75">
      <c r="A44" s="223" t="str">
        <f>CONCATENATE("Adjusted MOE Threshold for SFY ",'2. Getting Started'!B$6+4)</f>
        <v>Adjusted MOE Threshold for SFY 2028</v>
      </c>
      <c r="B44" s="258" t="str">
        <f>IF(B41="","",(B41-B42-B43))</f>
        <v/>
      </c>
      <c r="C44" s="389"/>
      <c r="D44" s="389"/>
      <c r="E44" s="223" t="str">
        <f>CONCATENATE("Adjusted MOE Threshold for SFY ",'2. Getting Started'!B$6+4)</f>
        <v>Adjusted MOE Threshold for SFY 2028</v>
      </c>
      <c r="F44" s="258" t="str">
        <f>IF(F41="","",(F41-F42-F43))</f>
        <v/>
      </c>
    </row>
    <row r="45" spans="1:6" ht="15" customHeight="1" x14ac:dyDescent="0.75">
      <c r="A45" s="223" t="str">
        <f>CONCATENATE("Budgeted Amount for SFY ",'2. Getting Started'!B$6+4)</f>
        <v>Budgeted Amount for SFY 2028</v>
      </c>
      <c r="B45" s="258" t="str">
        <f>'17. Year 5 Amounts'!D30</f>
        <v/>
      </c>
      <c r="C45" s="389"/>
      <c r="D45" s="389"/>
      <c r="E45" s="223" t="str">
        <f>CONCATENATE("Final Expenditures for SFY ",'2. Getting Started'!B$6+4)</f>
        <v>Final Expenditures for SFY 2028</v>
      </c>
      <c r="F45" s="258" t="str">
        <f>'17. Year 5 Amounts'!K30</f>
        <v/>
      </c>
    </row>
    <row r="46" spans="1:6" ht="15" customHeight="1" x14ac:dyDescent="0.75">
      <c r="A46" s="275" t="str">
        <f>CONCATENATE("MOE Result for SFY ",'2. Getting Started'!B$6+4)</f>
        <v>MOE Result for SFY 2028</v>
      </c>
      <c r="B46" s="285" t="str">
        <f>IF(B45="","",IF(B45&gt;=B44,"Met","Did Not Meet"))</f>
        <v/>
      </c>
      <c r="C46" s="389"/>
      <c r="D46" s="389"/>
      <c r="E46" s="275" t="str">
        <f>CONCATENATE("MOE Result for SFY ",'2. Getting Started'!B$6+4)</f>
        <v>MOE Result for SFY 2028</v>
      </c>
      <c r="F46" s="285" t="str">
        <f>IF(F45="","",IF(F45&gt;=F44,"Met","Did Not Meet"))</f>
        <v/>
      </c>
    </row>
    <row r="47" spans="1:6" ht="15" customHeight="1" x14ac:dyDescent="0.75">
      <c r="A47" s="388" t="s">
        <v>175</v>
      </c>
      <c r="B47" s="388"/>
      <c r="C47" s="389"/>
      <c r="D47" s="389"/>
      <c r="E47" s="388" t="s">
        <v>175</v>
      </c>
      <c r="F47" s="388"/>
    </row>
    <row r="48" spans="1:6" ht="15.75" customHeight="1" x14ac:dyDescent="0.8">
      <c r="A48" s="5" t="str">
        <f>CONCATENATE("Year 6: SFY ",'2. Getting Started'!B$6+5)</f>
        <v>Year 6: SFY 2029</v>
      </c>
      <c r="B48" s="4"/>
      <c r="C48" s="389"/>
      <c r="D48" s="389"/>
      <c r="E48" s="5" t="str">
        <f>CONCATENATE("Year 6: SFY ",'2. Getting Started'!B$6+5)</f>
        <v>Year 6: SFY 2029</v>
      </c>
      <c r="F48" s="4"/>
    </row>
    <row r="49" spans="1:6" ht="15" customHeight="1" x14ac:dyDescent="0.75">
      <c r="A49" s="223" t="str">
        <f>CONCATENATE("Starting MOE Threshold for SFY ",'2. Getting Started'!B$6+5)</f>
        <v>Starting MOE Threshold for SFY 2029</v>
      </c>
      <c r="B49" s="258" t="str">
        <f>IF(F38="Met",F37,F36)</f>
        <v/>
      </c>
      <c r="C49" s="389"/>
      <c r="D49" s="389"/>
      <c r="E49" s="223" t="str">
        <f>CONCATENATE("Starting MOE Threshold for SFY ",'2. Getting Started'!B$6+5)</f>
        <v>Starting MOE Threshold for SFY 2029</v>
      </c>
      <c r="F49" s="258" t="str">
        <f>IF(F46="Met",F45,F44)</f>
        <v/>
      </c>
    </row>
    <row r="50" spans="1:6" ht="15" customHeight="1" x14ac:dyDescent="0.75">
      <c r="A50" s="223" t="str">
        <f>CONCATENATE("SFY ",'2. Getting Started'!B$6+4," + ",'2. Getting Started'!B$6+5," Projected Exceptions")</f>
        <v>SFY 2028 + 2029 Projected Exceptions</v>
      </c>
      <c r="B50" s="258">
        <f>'18. Year 5 Exc &amp; Adj'!B67+'21. Year 6 Exc &amp; Adj'!B67</f>
        <v>0</v>
      </c>
      <c r="C50" s="389"/>
      <c r="D50" s="389"/>
      <c r="E50" s="223" t="str">
        <f>CONCATENATE("SFY ",'2. Getting Started'!B$6+5," Exceptions")</f>
        <v>SFY 2029 Exceptions</v>
      </c>
      <c r="F50" s="258">
        <f>'21. Year 6 Exc &amp; Adj'!I67</f>
        <v>0</v>
      </c>
    </row>
    <row r="51" spans="1:6" ht="15" customHeight="1" x14ac:dyDescent="0.75">
      <c r="A51" s="223" t="str">
        <f>CONCATENATE("SFY ",'2. Getting Started'!B$6+4," + ",'2. Getting Started'!B$6+5," Projected Adjustments")</f>
        <v>SFY 2028 + 2029 Projected Adjustments</v>
      </c>
      <c r="B51" s="258">
        <f>AdjDataYear5Budget[Projected Adjustment]+AdjDataYear6Budget[Projected Adjustment]</f>
        <v>0</v>
      </c>
      <c r="C51" s="389"/>
      <c r="D51" s="389"/>
      <c r="E51" s="223" t="str">
        <f>CONCATENATE("SFY ",'2. Getting Started'!B$6+5," Adjustment")</f>
        <v>SFY 2029 Adjustment</v>
      </c>
      <c r="F51" s="258">
        <f>AdjDataYear6Expenditures[[Adjustment ]]</f>
        <v>0</v>
      </c>
    </row>
    <row r="52" spans="1:6" ht="15" customHeight="1" x14ac:dyDescent="0.75">
      <c r="A52" s="223" t="str">
        <f>CONCATENATE("Adjusted MOE Threshold for SFY ",'2. Getting Started'!B$6+5)</f>
        <v>Adjusted MOE Threshold for SFY 2029</v>
      </c>
      <c r="B52" s="258" t="str">
        <f>IF(B49="","",(B49-B50-B51))</f>
        <v/>
      </c>
      <c r="C52" s="389"/>
      <c r="D52" s="389"/>
      <c r="E52" s="223" t="str">
        <f>CONCATENATE("Adjusted MOE Threshold for SFY ",'2. Getting Started'!B$6+5)</f>
        <v>Adjusted MOE Threshold for SFY 2029</v>
      </c>
      <c r="F52" s="258" t="str">
        <f>IF(F49="","",(F49-F50-F51))</f>
        <v/>
      </c>
    </row>
    <row r="53" spans="1:6" ht="15" customHeight="1" x14ac:dyDescent="0.75">
      <c r="A53" s="223" t="str">
        <f>CONCATENATE("Budgeted Amount for SFY ",'2. Getting Started'!B$6+5)</f>
        <v>Budgeted Amount for SFY 2029</v>
      </c>
      <c r="B53" s="258" t="str">
        <f>'20. Year 6 Amounts'!D30</f>
        <v/>
      </c>
      <c r="C53" s="389"/>
      <c r="D53" s="389"/>
      <c r="E53" s="223" t="str">
        <f>CONCATENATE("Final Expenditures for SFY ",'2. Getting Started'!B$6+5)</f>
        <v>Final Expenditures for SFY 2029</v>
      </c>
      <c r="F53" s="258" t="str">
        <f>'20. Year 6 Amounts'!K30</f>
        <v/>
      </c>
    </row>
    <row r="54" spans="1:6" ht="15" customHeight="1" x14ac:dyDescent="0.75">
      <c r="A54" s="275" t="str">
        <f>CONCATENATE("MOE Result for SFY ",'2. Getting Started'!B$6+5)</f>
        <v>MOE Result for SFY 2029</v>
      </c>
      <c r="B54" s="285" t="str">
        <f>IF(B53="","",IF(B53&gt;=B52,"Met","Did Not Meet"))</f>
        <v/>
      </c>
      <c r="C54" s="389"/>
      <c r="D54" s="389"/>
      <c r="E54" s="275" t="str">
        <f>CONCATENATE("MOE Result for SFY ",'2. Getting Started'!B$6+5)</f>
        <v>MOE Result for SFY 2029</v>
      </c>
      <c r="F54" s="285" t="str">
        <f>IF(F53="","",IF(F53&gt;=F52,"Met","Did Not Meet"))</f>
        <v/>
      </c>
    </row>
    <row r="55" spans="1:6" ht="15" customHeight="1" x14ac:dyDescent="0.75">
      <c r="A55" s="388" t="s">
        <v>175</v>
      </c>
      <c r="B55" s="388"/>
      <c r="C55" s="389"/>
      <c r="D55" s="389"/>
      <c r="E55" s="388" t="s">
        <v>175</v>
      </c>
      <c r="F55" s="388"/>
    </row>
    <row r="56" spans="1:6" ht="15.75" customHeight="1" x14ac:dyDescent="0.8">
      <c r="A56" s="5" t="str">
        <f>CONCATENATE("Year 7: SFY ",'2. Getting Started'!B$6+6)</f>
        <v>Year 7: SFY 2030</v>
      </c>
      <c r="B56" s="4"/>
      <c r="C56" s="389"/>
      <c r="D56" s="389"/>
      <c r="E56" s="5" t="str">
        <f>CONCATENATE("Year 7: SFY ",'2. Getting Started'!B$6+6)</f>
        <v>Year 7: SFY 2030</v>
      </c>
      <c r="F56" s="4"/>
    </row>
    <row r="57" spans="1:6" ht="15" customHeight="1" x14ac:dyDescent="0.75">
      <c r="A57" s="223" t="str">
        <f>CONCATENATE("Starting MOE Threshold for SFY ",'2. Getting Started'!B$6+6)</f>
        <v>Starting MOE Threshold for SFY 2030</v>
      </c>
      <c r="B57" s="258" t="str">
        <f>IF(F46="Met",F45,F44)</f>
        <v/>
      </c>
      <c r="C57" s="389"/>
      <c r="D57" s="389"/>
      <c r="E57" s="223" t="str">
        <f>CONCATENATE("Starting MOE Threshold for SFY ",'2. Getting Started'!B$6+6)</f>
        <v>Starting MOE Threshold for SFY 2030</v>
      </c>
      <c r="F57" s="258" t="str">
        <f>IF(F54="Met",F53,F52)</f>
        <v/>
      </c>
    </row>
    <row r="58" spans="1:6" ht="15" customHeight="1" x14ac:dyDescent="0.75">
      <c r="A58" s="223" t="str">
        <f>CONCATENATE("SFY ",'2. Getting Started'!B$6+5," + ",'2. Getting Started'!B$6+6," Projected Exceptions")</f>
        <v>SFY 2029 + 2030 Projected Exceptions</v>
      </c>
      <c r="B58" s="258">
        <f>'21. Year 6 Exc &amp; Adj'!B67+'24. Year 7 Exc &amp; Adj'!B67</f>
        <v>0</v>
      </c>
      <c r="C58" s="389"/>
      <c r="D58" s="389"/>
      <c r="E58" s="223" t="str">
        <f>CONCATENATE("SFY ",'2. Getting Started'!B$6+6," Exceptions")</f>
        <v>SFY 2030 Exceptions</v>
      </c>
      <c r="F58" s="258">
        <f>'24. Year 7 Exc &amp; Adj'!I67</f>
        <v>0</v>
      </c>
    </row>
    <row r="59" spans="1:6" ht="15" customHeight="1" x14ac:dyDescent="0.75">
      <c r="A59" s="223" t="str">
        <f>CONCATENATE("SFY ",'2. Getting Started'!B$6+5," + ",'2. Getting Started'!B$6+6," Projected Adjustments")</f>
        <v>SFY 2029 + 2030 Projected Adjustments</v>
      </c>
      <c r="B59" s="258">
        <f>AdjDataYear6Budget[Projected Adjustment]+AdjDataYear7Budget[Projected Adjustment]</f>
        <v>0</v>
      </c>
      <c r="C59" s="389"/>
      <c r="D59" s="389"/>
      <c r="E59" s="223" t="str">
        <f>CONCATENATE("SFY ",'2. Getting Started'!B$6+6," Adjustment")</f>
        <v>SFY 2030 Adjustment</v>
      </c>
      <c r="F59" s="258">
        <f>AdjDataYear7Expenditures[[Adjustment ]]</f>
        <v>0</v>
      </c>
    </row>
    <row r="60" spans="1:6" ht="15" customHeight="1" x14ac:dyDescent="0.75">
      <c r="A60" s="223" t="str">
        <f>CONCATENATE("Adjusted MOE Threshold for SFY ",'2. Getting Started'!B$6+6)</f>
        <v>Adjusted MOE Threshold for SFY 2030</v>
      </c>
      <c r="B60" s="258" t="str">
        <f>IF(B57="","",(B57-B58-B59))</f>
        <v/>
      </c>
      <c r="C60" s="389"/>
      <c r="D60" s="389"/>
      <c r="E60" s="223" t="str">
        <f>CONCATENATE("Adjusted MOE Threshold for SFY ",'2. Getting Started'!B$6+6)</f>
        <v>Adjusted MOE Threshold for SFY 2030</v>
      </c>
      <c r="F60" s="258" t="str">
        <f>IF(F57="","",(F57-F58-F59))</f>
        <v/>
      </c>
    </row>
    <row r="61" spans="1:6" ht="15" customHeight="1" x14ac:dyDescent="0.75">
      <c r="A61" s="223" t="str">
        <f>CONCATENATE("Budgeted Amount for SFY ",'2. Getting Started'!B$6+6)</f>
        <v>Budgeted Amount for SFY 2030</v>
      </c>
      <c r="B61" s="258" t="str">
        <f>'23. Year 7 Amounts'!D30</f>
        <v/>
      </c>
      <c r="C61" s="389"/>
      <c r="D61" s="389"/>
      <c r="E61" s="223" t="str">
        <f>CONCATENATE("Final Expenditures for SFY ",'2. Getting Started'!B$6+6)</f>
        <v>Final Expenditures for SFY 2030</v>
      </c>
      <c r="F61" s="258" t="str">
        <f>'23. Year 7 Amounts'!K30</f>
        <v/>
      </c>
    </row>
    <row r="62" spans="1:6" ht="15" customHeight="1" x14ac:dyDescent="0.75">
      <c r="A62" s="275" t="str">
        <f>CONCATENATE("MOE Result for SFY ",'2. Getting Started'!B$6+6)</f>
        <v>MOE Result for SFY 2030</v>
      </c>
      <c r="B62" s="285" t="str">
        <f>IF(B61="","",IF(B61&gt;=B60,"Met","Did Not Meet"))</f>
        <v/>
      </c>
      <c r="C62" s="389"/>
      <c r="D62" s="389"/>
      <c r="E62" s="275" t="str">
        <f>CONCATENATE("MOE Result for SFY ",'2. Getting Started'!B$6+6)</f>
        <v>MOE Result for SFY 2030</v>
      </c>
      <c r="F62" s="285" t="str">
        <f>IF(F61="","",IF(F61&gt;=F60,"Met","Did Not Meet"))</f>
        <v/>
      </c>
    </row>
    <row r="63" spans="1:6" ht="15" customHeight="1" x14ac:dyDescent="0.75">
      <c r="A63" s="388" t="s">
        <v>175</v>
      </c>
      <c r="B63" s="388"/>
      <c r="C63" s="389"/>
      <c r="D63" s="389"/>
      <c r="E63" s="388" t="s">
        <v>175</v>
      </c>
      <c r="F63" s="388"/>
    </row>
    <row r="64" spans="1:6" ht="15.75" customHeight="1" x14ac:dyDescent="0.8">
      <c r="A64" s="5" t="str">
        <f>CONCATENATE("Year 8: SFY ",'2. Getting Started'!B$6+7)</f>
        <v>Year 8: SFY 2031</v>
      </c>
      <c r="B64" s="4"/>
      <c r="C64" s="389"/>
      <c r="D64" s="389"/>
      <c r="E64" s="5" t="str">
        <f>CONCATENATE("Year 8: SFY ",'2. Getting Started'!B$6+7)</f>
        <v>Year 8: SFY 2031</v>
      </c>
      <c r="F64" s="4"/>
    </row>
    <row r="65" spans="1:6" ht="15" customHeight="1" x14ac:dyDescent="0.75">
      <c r="A65" s="223" t="str">
        <f>CONCATENATE("Starting MOE Threshold for SFY ",'2. Getting Started'!B$6+7)</f>
        <v>Starting MOE Threshold for SFY 2031</v>
      </c>
      <c r="B65" s="258" t="str">
        <f>IF(F54="Met",F53,F52)</f>
        <v/>
      </c>
      <c r="C65" s="389"/>
      <c r="D65" s="389"/>
      <c r="E65" s="223" t="str">
        <f>CONCATENATE("Starting MOE Threshold for SFY ",'2. Getting Started'!B$6+7)</f>
        <v>Starting MOE Threshold for SFY 2031</v>
      </c>
      <c r="F65" s="258" t="str">
        <f>IF(F62="Met",F61,F60)</f>
        <v/>
      </c>
    </row>
    <row r="66" spans="1:6" ht="15" customHeight="1" x14ac:dyDescent="0.75">
      <c r="A66" s="223" t="str">
        <f>CONCATENATE("SFY ",'2. Getting Started'!B$6+6," + ",'2. Getting Started'!B$6+7," Projected Exceptions")</f>
        <v>SFY 2030 + 2031 Projected Exceptions</v>
      </c>
      <c r="B66" s="258">
        <f>'24. Year 7 Exc &amp; Adj'!B67+'27. Year 8 Exc &amp; Adj'!B67</f>
        <v>0</v>
      </c>
      <c r="C66" s="389"/>
      <c r="D66" s="389"/>
      <c r="E66" s="223" t="str">
        <f>CONCATENATE("SFY ",'2. Getting Started'!B$6+7," Exceptions")</f>
        <v>SFY 2031 Exceptions</v>
      </c>
      <c r="F66" s="258">
        <f>'27. Year 8 Exc &amp; Adj'!I67</f>
        <v>0</v>
      </c>
    </row>
    <row r="67" spans="1:6" ht="15" customHeight="1" x14ac:dyDescent="0.75">
      <c r="A67" s="223" t="str">
        <f>CONCATENATE("SFY ",'2. Getting Started'!B$6+6," + ",'2. Getting Started'!B$6+7," Projected Adjustments")</f>
        <v>SFY 2030 + 2031 Projected Adjustments</v>
      </c>
      <c r="B67" s="258">
        <f>AdjDataYear7Budget[Projected Adjustment]+AdjDataYear8Budget[Projected Adjustment]</f>
        <v>0</v>
      </c>
      <c r="C67" s="389"/>
      <c r="D67" s="389"/>
      <c r="E67" s="223" t="str">
        <f>CONCATENATE("SFY ",'2. Getting Started'!B$6+7," Adjustment")</f>
        <v>SFY 2031 Adjustment</v>
      </c>
      <c r="F67" s="258">
        <f>AdjDataYear8Expenditures[[Adjustment ]]</f>
        <v>0</v>
      </c>
    </row>
    <row r="68" spans="1:6" ht="15" customHeight="1" x14ac:dyDescent="0.75">
      <c r="A68" s="223" t="str">
        <f>CONCATENATE("Adjusted MOE Threshold for SFY ",'2. Getting Started'!B$6+7)</f>
        <v>Adjusted MOE Threshold for SFY 2031</v>
      </c>
      <c r="B68" s="258" t="str">
        <f>IF(B65="","",(B65-B66-B67))</f>
        <v/>
      </c>
      <c r="C68" s="389"/>
      <c r="D68" s="389"/>
      <c r="E68" s="223" t="str">
        <f>CONCATENATE("Adjusted MOE Threshold for SFY ",'2. Getting Started'!B$6+7)</f>
        <v>Adjusted MOE Threshold for SFY 2031</v>
      </c>
      <c r="F68" s="258" t="str">
        <f>IF(F65="","",(F65-F66-F67))</f>
        <v/>
      </c>
    </row>
    <row r="69" spans="1:6" ht="15" customHeight="1" x14ac:dyDescent="0.75">
      <c r="A69" s="223" t="str">
        <f>CONCATENATE("Budgeted Amount for SFY ",'2. Getting Started'!B$6+7)</f>
        <v>Budgeted Amount for SFY 2031</v>
      </c>
      <c r="B69" s="258" t="str">
        <f>'26. Year 8 Amounts'!D30</f>
        <v/>
      </c>
      <c r="C69" s="389"/>
      <c r="D69" s="389"/>
      <c r="E69" s="223" t="str">
        <f>CONCATENATE("Final Expenditures for SFY ",'2. Getting Started'!B$6+7)</f>
        <v>Final Expenditures for SFY 2031</v>
      </c>
      <c r="F69" s="258" t="str">
        <f>'26. Year 8 Amounts'!K30</f>
        <v/>
      </c>
    </row>
    <row r="70" spans="1:6" ht="15" customHeight="1" x14ac:dyDescent="0.75">
      <c r="A70" s="275" t="str">
        <f>CONCATENATE("MOE Result for SFY ",'2. Getting Started'!B$6+7)</f>
        <v>MOE Result for SFY 2031</v>
      </c>
      <c r="B70" s="285" t="str">
        <f>IF(B69="","",IF(B69&gt;=B68,"Met","Did Not Meet"))</f>
        <v/>
      </c>
      <c r="C70" s="389"/>
      <c r="D70" s="389"/>
      <c r="E70" s="275" t="str">
        <f>CONCATENATE("MOE Result for SFY ",'2. Getting Started'!B$6+7)</f>
        <v>MOE Result for SFY 2031</v>
      </c>
      <c r="F70" s="285" t="str">
        <f>IF(F69="","",IF(F69&gt;=F68,"Met","Did Not Meet"))</f>
        <v/>
      </c>
    </row>
    <row r="71" spans="1:6" ht="15" customHeight="1" x14ac:dyDescent="0.75">
      <c r="A71" s="388" t="s">
        <v>175</v>
      </c>
      <c r="B71" s="388"/>
      <c r="C71" s="389"/>
      <c r="D71" s="389"/>
      <c r="E71" s="388" t="s">
        <v>175</v>
      </c>
      <c r="F71" s="388"/>
    </row>
    <row r="72" spans="1:6" ht="15.75" customHeight="1" x14ac:dyDescent="0.8">
      <c r="A72" s="5" t="str">
        <f>CONCATENATE("Year 9: SFY ",'2. Getting Started'!B$6+8)</f>
        <v>Year 9: SFY 2032</v>
      </c>
      <c r="B72" s="4"/>
      <c r="C72" s="389"/>
      <c r="D72" s="389"/>
      <c r="E72" s="5" t="str">
        <f>CONCATENATE("Year 9: SFY ",'2. Getting Started'!B$6+8)</f>
        <v>Year 9: SFY 2032</v>
      </c>
      <c r="F72" s="4"/>
    </row>
    <row r="73" spans="1:6" ht="15" customHeight="1" x14ac:dyDescent="0.75">
      <c r="A73" s="223" t="str">
        <f>CONCATENATE("Starting MOE Threshold for SFY ",'2. Getting Started'!B$6+8)</f>
        <v>Starting MOE Threshold for SFY 2032</v>
      </c>
      <c r="B73" s="258" t="str">
        <f>IF(F62="Met",F61,F60)</f>
        <v/>
      </c>
      <c r="C73" s="389"/>
      <c r="D73" s="389"/>
      <c r="E73" s="223" t="str">
        <f>CONCATENATE("Starting MOE Threshold for SFY ",'2. Getting Started'!B$6+8)</f>
        <v>Starting MOE Threshold for SFY 2032</v>
      </c>
      <c r="F73" s="258" t="str">
        <f>IF(F70="Met",F69,F68)</f>
        <v/>
      </c>
    </row>
    <row r="74" spans="1:6" ht="15" customHeight="1" x14ac:dyDescent="0.75">
      <c r="A74" s="223" t="str">
        <f>CONCATENATE("SFY ",'2. Getting Started'!B$6+7," + ",'2. Getting Started'!B$6+8," Projected Exceptions")</f>
        <v>SFY 2031 + 2032 Projected Exceptions</v>
      </c>
      <c r="B74" s="258">
        <f>'27. Year 8 Exc &amp; Adj'!B67+'30. Year 9 Exc &amp; Adj'!B67</f>
        <v>0</v>
      </c>
      <c r="C74" s="389"/>
      <c r="D74" s="389"/>
      <c r="E74" s="223" t="str">
        <f>CONCATENATE("SFY ",'2. Getting Started'!B$6+8," Exceptions")</f>
        <v>SFY 2032 Exceptions</v>
      </c>
      <c r="F74" s="258">
        <f>'30. Year 9 Exc &amp; Adj'!I67</f>
        <v>0</v>
      </c>
    </row>
    <row r="75" spans="1:6" ht="15" customHeight="1" x14ac:dyDescent="0.75">
      <c r="A75" s="223" t="str">
        <f>CONCATENATE("SFY ",'2. Getting Started'!B$6+7," + ",'2. Getting Started'!B$6+8," Projected Adjustments")</f>
        <v>SFY 2031 + 2032 Projected Adjustments</v>
      </c>
      <c r="B75" s="258">
        <f>AdjDataYear8Budget[Projected Adjustment]+AdjDataYear9Budget[Projected Adjustment]</f>
        <v>0</v>
      </c>
      <c r="C75" s="389"/>
      <c r="D75" s="389"/>
      <c r="E75" s="223" t="str">
        <f>CONCATENATE("SFY ",'2. Getting Started'!B$6+8," Adjustment")</f>
        <v>SFY 2032 Adjustment</v>
      </c>
      <c r="F75" s="258">
        <f>AdjDataYear9Expenditures[[Adjustment ]]</f>
        <v>0</v>
      </c>
    </row>
    <row r="76" spans="1:6" ht="15" customHeight="1" x14ac:dyDescent="0.75">
      <c r="A76" s="223" t="str">
        <f>CONCATENATE("Adjusted MOE Threshold for SFY ",'2. Getting Started'!B$6+8)</f>
        <v>Adjusted MOE Threshold for SFY 2032</v>
      </c>
      <c r="B76" s="258" t="str">
        <f>IF(B73="","",(B73-B74-B75))</f>
        <v/>
      </c>
      <c r="C76" s="389"/>
      <c r="D76" s="389"/>
      <c r="E76" s="223" t="str">
        <f>CONCATENATE("Adjusted MOE Threshold for SFY ",'2. Getting Started'!B$6+8)</f>
        <v>Adjusted MOE Threshold for SFY 2032</v>
      </c>
      <c r="F76" s="258" t="str">
        <f>IF(F73="","",(F73-F74-F75))</f>
        <v/>
      </c>
    </row>
    <row r="77" spans="1:6" ht="15" customHeight="1" x14ac:dyDescent="0.75">
      <c r="A77" s="223" t="str">
        <f>CONCATENATE("Budgeted Amount for SFY ",'2. Getting Started'!B$6+8)</f>
        <v>Budgeted Amount for SFY 2032</v>
      </c>
      <c r="B77" s="258" t="str">
        <f>'29. Year 9 Amounts'!D30</f>
        <v/>
      </c>
      <c r="C77" s="389"/>
      <c r="D77" s="389"/>
      <c r="E77" s="223" t="str">
        <f>CONCATENATE("Final Expenditures for SFY ",'2. Getting Started'!B$6+8)</f>
        <v>Final Expenditures for SFY 2032</v>
      </c>
      <c r="F77" s="258" t="str">
        <f>'29. Year 9 Amounts'!K30</f>
        <v/>
      </c>
    </row>
    <row r="78" spans="1:6" ht="15" customHeight="1" x14ac:dyDescent="0.75">
      <c r="A78" s="275" t="str">
        <f>CONCATENATE("MOE Result for SFY ",'2. Getting Started'!B$6+8)</f>
        <v>MOE Result for SFY 2032</v>
      </c>
      <c r="B78" s="285" t="str">
        <f>IF(B77="","",IF(B77&gt;=B76,"Met","Did Not Meet"))</f>
        <v/>
      </c>
      <c r="C78" s="389"/>
      <c r="D78" s="389"/>
      <c r="E78" s="275" t="str">
        <f>CONCATENATE("MOE Result for SFY ",'2. Getting Started'!B$6+8)</f>
        <v>MOE Result for SFY 2032</v>
      </c>
      <c r="F78" s="285" t="str">
        <f>IF(F77="","",IF(F77&gt;=F76,"Met","Did Not Meet"))</f>
        <v/>
      </c>
    </row>
    <row r="79" spans="1:6" ht="15" customHeight="1" x14ac:dyDescent="0.75">
      <c r="A79" s="388" t="s">
        <v>175</v>
      </c>
      <c r="B79" s="388"/>
      <c r="C79" s="389"/>
      <c r="D79" s="389"/>
      <c r="E79" s="388" t="s">
        <v>175</v>
      </c>
      <c r="F79" s="388"/>
    </row>
    <row r="80" spans="1:6" ht="15.75" customHeight="1" x14ac:dyDescent="0.8">
      <c r="A80" s="5" t="str">
        <f>CONCATENATE("Year 10: SFY ",'2. Getting Started'!B$6+9)</f>
        <v>Year 10: SFY 2033</v>
      </c>
      <c r="B80" s="4"/>
      <c r="C80" s="389"/>
      <c r="D80" s="389"/>
      <c r="E80" s="5" t="str">
        <f>CONCATENATE("Year 10: SFY ",'2. Getting Started'!B$6+9)</f>
        <v>Year 10: SFY 2033</v>
      </c>
      <c r="F80" s="4"/>
    </row>
    <row r="81" spans="1:6" ht="15" customHeight="1" x14ac:dyDescent="0.75">
      <c r="A81" s="223" t="str">
        <f>CONCATENATE("Starting MOE Threshold for SFY ",'2. Getting Started'!B$6+9)</f>
        <v>Starting MOE Threshold for SFY 2033</v>
      </c>
      <c r="B81" s="258" t="str">
        <f>IF(F70="Met",F69,F68)</f>
        <v/>
      </c>
      <c r="C81" s="389"/>
      <c r="D81" s="389"/>
      <c r="E81" s="223" t="str">
        <f>CONCATENATE("Starting MOE Threshold for SFY ",'2. Getting Started'!B$6+9)</f>
        <v>Starting MOE Threshold for SFY 2033</v>
      </c>
      <c r="F81" s="258" t="str">
        <f>IF(F78="Met",F77,F76)</f>
        <v/>
      </c>
    </row>
    <row r="82" spans="1:6" ht="15" customHeight="1" x14ac:dyDescent="0.75">
      <c r="A82" s="223" t="str">
        <f>CONCATENATE("SFY ",'2. Getting Started'!B$6+8," + ",'2. Getting Started'!B$6+9," Projected Exceptions")</f>
        <v>SFY 2032 + 2033 Projected Exceptions</v>
      </c>
      <c r="B82" s="258">
        <f>'30. Year 9 Exc &amp; Adj'!B67+'33. Year 10 Exc &amp; Adj'!B67</f>
        <v>0</v>
      </c>
      <c r="C82" s="389"/>
      <c r="D82" s="389"/>
      <c r="E82" s="223" t="str">
        <f>CONCATENATE("SFY ",'2. Getting Started'!B$6+9," Exceptions")</f>
        <v>SFY 2033 Exceptions</v>
      </c>
      <c r="F82" s="258">
        <f>'33. Year 10 Exc &amp; Adj'!I67</f>
        <v>0</v>
      </c>
    </row>
    <row r="83" spans="1:6" ht="15" customHeight="1" x14ac:dyDescent="0.75">
      <c r="A83" s="223" t="str">
        <f>CONCATENATE("SFY ",'2. Getting Started'!B$6+8," + ",'2. Getting Started'!B$6+9," Projected Adjustments")</f>
        <v>SFY 2032 + 2033 Projected Adjustments</v>
      </c>
      <c r="B83" s="258">
        <f>AdjDataYear9Budget[Projected Adjustment]+AdjDataYear10Budget[Projected Adjustment]</f>
        <v>0</v>
      </c>
      <c r="C83" s="389"/>
      <c r="D83" s="389"/>
      <c r="E83" s="223" t="str">
        <f>CONCATENATE("SFY ",'2. Getting Started'!B$6+9," Adjustment")</f>
        <v>SFY 2033 Adjustment</v>
      </c>
      <c r="F83" s="258">
        <f>AdjDataYear10Expenditures[[Adjustment ]]</f>
        <v>0</v>
      </c>
    </row>
    <row r="84" spans="1:6" ht="15" customHeight="1" x14ac:dyDescent="0.75">
      <c r="A84" s="223" t="str">
        <f>CONCATENATE("Adjusted MOE Threshold for SFY ",'2. Getting Started'!B$6+9)</f>
        <v>Adjusted MOE Threshold for SFY 2033</v>
      </c>
      <c r="B84" s="258" t="str">
        <f>IF(B81="","",(B81-B82-B83))</f>
        <v/>
      </c>
      <c r="C84" s="389"/>
      <c r="D84" s="389"/>
      <c r="E84" s="223" t="str">
        <f>CONCATENATE("Adjusted MOE Threshold for SFY ",'2. Getting Started'!B$6+9)</f>
        <v>Adjusted MOE Threshold for SFY 2033</v>
      </c>
      <c r="F84" s="258" t="str">
        <f>IF(F81="","",(F81-F82-F83))</f>
        <v/>
      </c>
    </row>
    <row r="85" spans="1:6" ht="15" customHeight="1" x14ac:dyDescent="0.75">
      <c r="A85" s="223" t="str">
        <f>CONCATENATE("Budgeted Amount for SFY ",'2. Getting Started'!B$6+9)</f>
        <v>Budgeted Amount for SFY 2033</v>
      </c>
      <c r="B85" s="258" t="str">
        <f>'32. Year 10 Amounts'!D30</f>
        <v/>
      </c>
      <c r="C85" s="389"/>
      <c r="D85" s="389"/>
      <c r="E85" s="223" t="str">
        <f>CONCATENATE("Final Expenditures for SFY ",'2. Getting Started'!B$6+9)</f>
        <v>Final Expenditures for SFY 2033</v>
      </c>
      <c r="F85" s="258" t="str">
        <f>'32. Year 10 Amounts'!K30</f>
        <v/>
      </c>
    </row>
    <row r="86" spans="1:6" ht="15" customHeight="1" x14ac:dyDescent="0.75">
      <c r="A86" s="275" t="str">
        <f>CONCATENATE("MOE Result for SFY ",'2. Getting Started'!B$6+9)</f>
        <v>MOE Result for SFY 2033</v>
      </c>
      <c r="B86" s="285" t="str">
        <f>IF(B85="","",IF(B85&gt;=B84,"Met","Did Not Meet"))</f>
        <v/>
      </c>
      <c r="C86" s="389"/>
      <c r="D86" s="389"/>
      <c r="E86" s="275" t="str">
        <f>CONCATENATE("MOE Result for SFY ",'2. Getting Started'!B$6+9)</f>
        <v>MOE Result for SFY 2033</v>
      </c>
      <c r="F86" s="285" t="str">
        <f>IF(F85="","",IF(F85&gt;=F84,"Met","Did Not Meet"))</f>
        <v/>
      </c>
    </row>
    <row r="87" spans="1:6" ht="15" customHeight="1" x14ac:dyDescent="0.75">
      <c r="A87" s="388" t="s">
        <v>175</v>
      </c>
      <c r="B87" s="388"/>
      <c r="C87" s="389"/>
      <c r="D87" s="389"/>
      <c r="E87" s="388" t="s">
        <v>175</v>
      </c>
      <c r="F87" s="388"/>
    </row>
    <row r="88" spans="1:6" ht="15.75" customHeight="1" x14ac:dyDescent="0.8">
      <c r="A88" s="5" t="str">
        <f>CONCATENATE("Year 11: SFY ",'2. Getting Started'!B$6+10)</f>
        <v>Year 11: SFY 2034</v>
      </c>
      <c r="B88" s="4"/>
      <c r="C88" s="389"/>
      <c r="D88" s="389"/>
      <c r="E88" s="5" t="str">
        <f>CONCATENATE("Year 11: SFY ",'2. Getting Started'!B$6+10)</f>
        <v>Year 11: SFY 2034</v>
      </c>
      <c r="F88" s="4"/>
    </row>
    <row r="89" spans="1:6" ht="15" customHeight="1" x14ac:dyDescent="0.75">
      <c r="A89" s="223" t="str">
        <f>CONCATENATE("Starting MOE Threshold for SFY ",'2. Getting Started'!B$6+10)</f>
        <v>Starting MOE Threshold for SFY 2034</v>
      </c>
      <c r="B89" s="258" t="str">
        <f>IF(F78="Met",F77,F76)</f>
        <v/>
      </c>
      <c r="C89" s="389"/>
      <c r="D89" s="389"/>
      <c r="E89" s="390" t="s">
        <v>47</v>
      </c>
      <c r="F89" s="391"/>
    </row>
    <row r="90" spans="1:6" ht="15" customHeight="1" x14ac:dyDescent="0.75">
      <c r="A90" s="223" t="str">
        <f>CONCATENATE("SFY ",'2. Getting Started'!B$6+9," + ",'2. Getting Started'!B$6+10," Projected Exceptions")</f>
        <v>SFY 2033 + 2034 Projected Exceptions</v>
      </c>
      <c r="B90" s="258">
        <f>'33. Year 10 Exc &amp; Adj'!B67+'36. Year 11 Exc &amp; Adj'!B67</f>
        <v>0</v>
      </c>
      <c r="C90" s="389"/>
      <c r="D90" s="389"/>
      <c r="E90" s="392"/>
      <c r="F90" s="393"/>
    </row>
    <row r="91" spans="1:6" ht="15" customHeight="1" x14ac:dyDescent="0.75">
      <c r="A91" s="223" t="str">
        <f>CONCATENATE("SFY ",'2. Getting Started'!B$6+9," + ",'2. Getting Started'!B$6+10," Projected Adjustments")</f>
        <v>SFY 2033 + 2034 Projected Adjustments</v>
      </c>
      <c r="B91" s="258">
        <f>AdjDataYear10Budget[Projected Adjustment]+AdjDataYear11Budget[Projected Adjustment]</f>
        <v>0</v>
      </c>
      <c r="C91" s="389"/>
      <c r="D91" s="389"/>
      <c r="E91" s="392"/>
      <c r="F91" s="393"/>
    </row>
    <row r="92" spans="1:6" ht="15" customHeight="1" x14ac:dyDescent="0.75">
      <c r="A92" s="223" t="str">
        <f>CONCATENATE("Adjusted MOE Threshold for SFY ",'2. Getting Started'!B$6+10)</f>
        <v>Adjusted MOE Threshold for SFY 2034</v>
      </c>
      <c r="B92" s="258" t="str">
        <f>IF(B89="","",(B89-B90-B91))</f>
        <v/>
      </c>
      <c r="C92" s="389"/>
      <c r="D92" s="389"/>
      <c r="E92" s="392"/>
      <c r="F92" s="393"/>
    </row>
    <row r="93" spans="1:6" ht="15" customHeight="1" x14ac:dyDescent="0.75">
      <c r="A93" s="223" t="str">
        <f>CONCATENATE("Budgeted Amount for SFY ",'2. Getting Started'!B$6+10)</f>
        <v>Budgeted Amount for SFY 2034</v>
      </c>
      <c r="B93" s="258" t="str">
        <f>'35. Year 11 Amounts'!D30</f>
        <v/>
      </c>
      <c r="C93" s="389"/>
      <c r="D93" s="389"/>
      <c r="E93" s="392"/>
      <c r="F93" s="393"/>
    </row>
    <row r="94" spans="1:6" ht="15" customHeight="1" x14ac:dyDescent="0.75">
      <c r="A94" s="275" t="str">
        <f>CONCATENATE("MOE Result for SFY ",'2. Getting Started'!B$6+10)</f>
        <v>MOE Result for SFY 2034</v>
      </c>
      <c r="B94" s="285" t="str">
        <f>IF(B93="","",IF(B93&gt;=B92,"Met","Did Not Meet"))</f>
        <v/>
      </c>
      <c r="C94" s="389"/>
      <c r="D94" s="389"/>
      <c r="E94" s="394"/>
      <c r="F94" s="395"/>
    </row>
    <row r="95" spans="1:6" ht="27.75" customHeight="1" x14ac:dyDescent="0.75">
      <c r="A95" s="345" t="s">
        <v>183</v>
      </c>
      <c r="C95" s="355"/>
      <c r="D95" s="355"/>
    </row>
    <row r="96" spans="1:6" ht="15" customHeight="1" x14ac:dyDescent="0.8">
      <c r="A96" s="358" t="s">
        <v>182</v>
      </c>
    </row>
    <row r="97" spans="1:6" x14ac:dyDescent="0.75">
      <c r="A97" s="373" t="s">
        <v>24</v>
      </c>
      <c r="B97" s="373"/>
      <c r="C97" s="373"/>
      <c r="D97" s="373"/>
      <c r="E97" s="373"/>
      <c r="F97" s="373"/>
    </row>
  </sheetData>
  <sheetProtection algorithmName="SHA-512" hashValue="aZmlwDCcFHTgC17znGaY+rXPl10/7baZFDdUWVSrBKDGvDV3ueslQRxOMY301LyD9z6TsdXZreAh7xQinabtoA==" saltValue="QF//1ywD3iI0vttsCFr8Yw==" spinCount="100000" sheet="1" objects="1" scenarios="1" formatColumns="0" formatRows="0"/>
  <mergeCells count="25">
    <mergeCell ref="A97:F97"/>
    <mergeCell ref="A87:B87"/>
    <mergeCell ref="E87:F87"/>
    <mergeCell ref="C1:D94"/>
    <mergeCell ref="A63:B63"/>
    <mergeCell ref="E63:F63"/>
    <mergeCell ref="A71:B71"/>
    <mergeCell ref="E71:F71"/>
    <mergeCell ref="A79:B79"/>
    <mergeCell ref="E79:F79"/>
    <mergeCell ref="E89:F94"/>
    <mergeCell ref="A7:B7"/>
    <mergeCell ref="E7:F7"/>
    <mergeCell ref="A15:B15"/>
    <mergeCell ref="E15:F15"/>
    <mergeCell ref="A47:B47"/>
    <mergeCell ref="E47:F47"/>
    <mergeCell ref="A55:B55"/>
    <mergeCell ref="E55:F55"/>
    <mergeCell ref="A23:B23"/>
    <mergeCell ref="E23:F23"/>
    <mergeCell ref="A31:B31"/>
    <mergeCell ref="E31:F31"/>
    <mergeCell ref="A39:B39"/>
    <mergeCell ref="E39:F39"/>
  </mergeCells>
  <conditionalFormatting sqref="B22">
    <cfRule type="containsText" dxfId="159" priority="40" operator="containsText" text="Met">
      <formula>NOT(ISERROR(SEARCH("Met",B22)))</formula>
    </cfRule>
    <cfRule type="containsText" dxfId="158" priority="39" operator="containsText" text="Did Not Meet">
      <formula>NOT(ISERROR(SEARCH("Did Not Meet",B22)))</formula>
    </cfRule>
  </conditionalFormatting>
  <conditionalFormatting sqref="B30">
    <cfRule type="containsText" dxfId="157" priority="38" operator="containsText" text="Met">
      <formula>NOT(ISERROR(SEARCH("Met",B30)))</formula>
    </cfRule>
    <cfRule type="containsText" dxfId="156" priority="37" operator="containsText" text="Did Not Meet">
      <formula>NOT(ISERROR(SEARCH("Did Not Meet",B30)))</formula>
    </cfRule>
  </conditionalFormatting>
  <conditionalFormatting sqref="B38">
    <cfRule type="containsText" dxfId="155" priority="36" operator="containsText" text="Met">
      <formula>NOT(ISERROR(SEARCH("Met",B38)))</formula>
    </cfRule>
    <cfRule type="containsText" dxfId="154" priority="35" operator="containsText" text="Did Not Meet">
      <formula>NOT(ISERROR(SEARCH("Did Not Meet",B38)))</formula>
    </cfRule>
  </conditionalFormatting>
  <conditionalFormatting sqref="B46">
    <cfRule type="containsText" dxfId="153" priority="34" operator="containsText" text="Met">
      <formula>NOT(ISERROR(SEARCH("Met",B46)))</formula>
    </cfRule>
    <cfRule type="containsText" dxfId="152" priority="33" operator="containsText" text="Did Not Meet">
      <formula>NOT(ISERROR(SEARCH("Did Not Meet",B46)))</formula>
    </cfRule>
  </conditionalFormatting>
  <conditionalFormatting sqref="B54">
    <cfRule type="containsText" dxfId="151" priority="32" operator="containsText" text="Met">
      <formula>NOT(ISERROR(SEARCH("Met",B54)))</formula>
    </cfRule>
    <cfRule type="containsText" dxfId="150" priority="31" operator="containsText" text="Did Not Meet">
      <formula>NOT(ISERROR(SEARCH("Did Not Meet",B54)))</formula>
    </cfRule>
  </conditionalFormatting>
  <conditionalFormatting sqref="B62">
    <cfRule type="containsText" dxfId="149" priority="30" operator="containsText" text="Met">
      <formula>NOT(ISERROR(SEARCH("Met",B62)))</formula>
    </cfRule>
    <cfRule type="containsText" dxfId="148" priority="29" operator="containsText" text="Did Not Meet">
      <formula>NOT(ISERROR(SEARCH("Did Not Meet",B62)))</formula>
    </cfRule>
  </conditionalFormatting>
  <conditionalFormatting sqref="B70">
    <cfRule type="containsText" dxfId="147" priority="28" operator="containsText" text="Met">
      <formula>NOT(ISERROR(SEARCH("Met",B70)))</formula>
    </cfRule>
    <cfRule type="containsText" dxfId="146" priority="27" operator="containsText" text="Did Not Meet">
      <formula>NOT(ISERROR(SEARCH("Did Not Meet",B70)))</formula>
    </cfRule>
  </conditionalFormatting>
  <conditionalFormatting sqref="B78">
    <cfRule type="containsText" dxfId="145" priority="26" operator="containsText" text="Met">
      <formula>NOT(ISERROR(SEARCH("Met",B78)))</formula>
    </cfRule>
    <cfRule type="containsText" dxfId="144" priority="25" operator="containsText" text="Did Not Meet">
      <formula>NOT(ISERROR(SEARCH("Did Not Meet",B78)))</formula>
    </cfRule>
  </conditionalFormatting>
  <conditionalFormatting sqref="B86">
    <cfRule type="containsText" dxfId="143" priority="24" operator="containsText" text="Met">
      <formula>NOT(ISERROR(SEARCH("Met",B86)))</formula>
    </cfRule>
    <cfRule type="containsText" dxfId="142" priority="23" operator="containsText" text="Did Not Meet">
      <formula>NOT(ISERROR(SEARCH("Did Not Meet",B86)))</formula>
    </cfRule>
  </conditionalFormatting>
  <conditionalFormatting sqref="B94">
    <cfRule type="containsText" dxfId="141" priority="21" operator="containsText" text="Did Not Meet">
      <formula>NOT(ISERROR(SEARCH("Did Not Meet",B94)))</formula>
    </cfRule>
    <cfRule type="containsText" dxfId="140" priority="22" operator="containsText" text="Met">
      <formula>NOT(ISERROR(SEARCH("Met",B94)))</formula>
    </cfRule>
  </conditionalFormatting>
  <conditionalFormatting sqref="F14">
    <cfRule type="containsText" dxfId="139" priority="20" operator="containsText" text="Met">
      <formula>NOT(ISERROR(SEARCH("Met",F14)))</formula>
    </cfRule>
    <cfRule type="containsText" dxfId="138" priority="19" operator="containsText" text="Did Not Meet">
      <formula>NOT(ISERROR(SEARCH("Did Not Meet",F14)))</formula>
    </cfRule>
  </conditionalFormatting>
  <conditionalFormatting sqref="F22">
    <cfRule type="containsText" dxfId="137" priority="18" operator="containsText" text="Met">
      <formula>NOT(ISERROR(SEARCH("Met",F22)))</formula>
    </cfRule>
    <cfRule type="containsText" dxfId="136" priority="17" operator="containsText" text="Did Not Meet">
      <formula>NOT(ISERROR(SEARCH("Did Not Meet",F22)))</formula>
    </cfRule>
  </conditionalFormatting>
  <conditionalFormatting sqref="F30">
    <cfRule type="containsText" dxfId="135" priority="16" operator="containsText" text="Met">
      <formula>NOT(ISERROR(SEARCH("Met",F30)))</formula>
    </cfRule>
    <cfRule type="containsText" dxfId="134" priority="15" operator="containsText" text="Did Not Meet">
      <formula>NOT(ISERROR(SEARCH("Did Not Meet",F30)))</formula>
    </cfRule>
  </conditionalFormatting>
  <conditionalFormatting sqref="F38">
    <cfRule type="containsText" dxfId="133" priority="14" operator="containsText" text="Met">
      <formula>NOT(ISERROR(SEARCH("Met",F38)))</formula>
    </cfRule>
    <cfRule type="containsText" dxfId="132" priority="13" operator="containsText" text="Did Not Meet">
      <formula>NOT(ISERROR(SEARCH("Did Not Meet",F38)))</formula>
    </cfRule>
  </conditionalFormatting>
  <conditionalFormatting sqref="F46">
    <cfRule type="containsText" dxfId="131" priority="12" operator="containsText" text="Met">
      <formula>NOT(ISERROR(SEARCH("Met",F46)))</formula>
    </cfRule>
    <cfRule type="containsText" dxfId="130" priority="11" operator="containsText" text="Did Not Meet">
      <formula>NOT(ISERROR(SEARCH("Did Not Meet",F46)))</formula>
    </cfRule>
  </conditionalFormatting>
  <conditionalFormatting sqref="F54">
    <cfRule type="containsText" dxfId="129" priority="10" operator="containsText" text="Met">
      <formula>NOT(ISERROR(SEARCH("Met",F54)))</formula>
    </cfRule>
    <cfRule type="containsText" dxfId="128" priority="9" operator="containsText" text="Did Not Meet">
      <formula>NOT(ISERROR(SEARCH("Did Not Meet",F54)))</formula>
    </cfRule>
  </conditionalFormatting>
  <conditionalFormatting sqref="F62">
    <cfRule type="containsText" dxfId="127" priority="8" operator="containsText" text="Met">
      <formula>NOT(ISERROR(SEARCH("Met",F62)))</formula>
    </cfRule>
    <cfRule type="containsText" dxfId="126" priority="7" operator="containsText" text="Did Not Meet">
      <formula>NOT(ISERROR(SEARCH("Did Not Meet",F62)))</formula>
    </cfRule>
  </conditionalFormatting>
  <conditionalFormatting sqref="F70">
    <cfRule type="containsText" dxfId="125" priority="6" operator="containsText" text="Met">
      <formula>NOT(ISERROR(SEARCH("Met",F70)))</formula>
    </cfRule>
    <cfRule type="containsText" dxfId="124" priority="5" operator="containsText" text="Did Not Meet">
      <formula>NOT(ISERROR(SEARCH("Did Not Meet",F70)))</formula>
    </cfRule>
  </conditionalFormatting>
  <conditionalFormatting sqref="F78">
    <cfRule type="containsText" dxfId="123" priority="3" operator="containsText" text="Did Not Meet">
      <formula>NOT(ISERROR(SEARCH("Did Not Meet",F78)))</formula>
    </cfRule>
    <cfRule type="containsText" dxfId="122" priority="4" operator="containsText" text="Met">
      <formula>NOT(ISERROR(SEARCH("Met",F78)))</formula>
    </cfRule>
  </conditionalFormatting>
  <conditionalFormatting sqref="F86">
    <cfRule type="containsText" dxfId="121" priority="2" operator="containsText" text="Met">
      <formula>NOT(ISERROR(SEARCH("Met",F86)))</formula>
    </cfRule>
    <cfRule type="containsText" dxfId="120" priority="1" operator="containsText" text="Did Not Meet">
      <formula>NOT(ISERROR(SEARCH("Did Not Meet",F86)))</formula>
    </cfRule>
  </conditionalFormatting>
  <hyperlinks>
    <hyperlink ref="A96" r:id="rId1" xr:uid="{5145054E-99D9-4A55-885A-C2F3C059232A}"/>
  </hyperlinks>
  <pageMargins left="0.7" right="0.7" top="0.75" bottom="0.75" header="0.3" footer="0.3"/>
  <pageSetup orientation="portrait" r:id="rId2"/>
  <tableParts count="2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7030A0"/>
  </sheetPr>
  <dimension ref="A1:D16"/>
  <sheetViews>
    <sheetView showGridLines="0" workbookViewId="0"/>
  </sheetViews>
  <sheetFormatPr defaultColWidth="0" defaultRowHeight="14.75" zeroHeight="1" x14ac:dyDescent="0.75"/>
  <cols>
    <col min="1" max="1" width="27.26953125" customWidth="1"/>
    <col min="2" max="2" width="23" customWidth="1"/>
    <col min="3" max="3" width="0.86328125" customWidth="1"/>
    <col min="4" max="4" width="0" hidden="1" customWidth="1"/>
    <col min="5" max="16384" width="9.1328125" hidden="1"/>
  </cols>
  <sheetData>
    <row r="1" spans="1:4" ht="88.5" x14ac:dyDescent="0.75">
      <c r="A1" s="8" t="s">
        <v>174</v>
      </c>
      <c r="B1" s="336"/>
    </row>
    <row r="2" spans="1:4" ht="65.25" customHeight="1" x14ac:dyDescent="0.75">
      <c r="A2" s="217" t="s">
        <v>23</v>
      </c>
      <c r="B2" s="335" t="s">
        <v>138</v>
      </c>
    </row>
    <row r="3" spans="1:4" x14ac:dyDescent="0.75">
      <c r="A3" s="223" t="str">
        <f>CONCATENATE("Year 1: ",'2. Getting Started'!B6)</f>
        <v>Year 1: 2024</v>
      </c>
      <c r="B3" s="263" t="s">
        <v>139</v>
      </c>
    </row>
    <row r="4" spans="1:4" x14ac:dyDescent="0.75">
      <c r="A4" s="223" t="str">
        <f>CONCATENATE("Year 2: ",'2. Getting Started'!$B$6+1)</f>
        <v>Year 2: 2025</v>
      </c>
      <c r="B4" s="263" t="s">
        <v>139</v>
      </c>
      <c r="D4" s="1"/>
    </row>
    <row r="5" spans="1:4" x14ac:dyDescent="0.75">
      <c r="A5" s="223" t="str">
        <f>CONCATENATE("Year 3: ",'2. Getting Started'!$B$6+2)</f>
        <v>Year 3: 2026</v>
      </c>
      <c r="B5" s="263" t="s">
        <v>139</v>
      </c>
    </row>
    <row r="6" spans="1:4" x14ac:dyDescent="0.75">
      <c r="A6" s="223" t="str">
        <f>CONCATENATE("Year 4: ",'2. Getting Started'!$B$6+3)</f>
        <v>Year 4: 2027</v>
      </c>
      <c r="B6" s="263" t="s">
        <v>139</v>
      </c>
    </row>
    <row r="7" spans="1:4" x14ac:dyDescent="0.75">
      <c r="A7" s="223" t="str">
        <f>CONCATENATE("Year 5: ",'2. Getting Started'!$B$6+4)</f>
        <v>Year 5: 2028</v>
      </c>
      <c r="B7" s="263" t="s">
        <v>139</v>
      </c>
    </row>
    <row r="8" spans="1:4" x14ac:dyDescent="0.75">
      <c r="A8" s="223" t="str">
        <f>CONCATENATE("Year 6: ",'2. Getting Started'!$B$6+5)</f>
        <v>Year 6: 2029</v>
      </c>
      <c r="B8" s="263" t="s">
        <v>139</v>
      </c>
    </row>
    <row r="9" spans="1:4" x14ac:dyDescent="0.75">
      <c r="A9" s="223" t="str">
        <f>CONCATENATE("Year 7: ",'2. Getting Started'!$B$6+6)</f>
        <v>Year 7: 2030</v>
      </c>
      <c r="B9" s="263" t="s">
        <v>139</v>
      </c>
    </row>
    <row r="10" spans="1:4" x14ac:dyDescent="0.75">
      <c r="A10" s="223" t="str">
        <f>CONCATENATE("Year 8: ",'2. Getting Started'!$B$6+7)</f>
        <v>Year 8: 2031</v>
      </c>
      <c r="B10" s="263" t="s">
        <v>139</v>
      </c>
    </row>
    <row r="11" spans="1:4" x14ac:dyDescent="0.75">
      <c r="A11" s="223" t="str">
        <f>CONCATENATE("Year 9: ",'2. Getting Started'!$B$6+8)</f>
        <v>Year 9: 2032</v>
      </c>
      <c r="B11" s="263" t="s">
        <v>139</v>
      </c>
    </row>
    <row r="12" spans="1:4" x14ac:dyDescent="0.75">
      <c r="A12" s="223" t="str">
        <f>CONCATENATE("Year 10: ",'2. Getting Started'!$B$6+9)</f>
        <v>Year 10: 2033</v>
      </c>
      <c r="B12" s="263" t="s">
        <v>139</v>
      </c>
    </row>
    <row r="13" spans="1:4" x14ac:dyDescent="0.75">
      <c r="A13" s="275" t="str">
        <f>CONCATENATE("Year 11: ",'2. Getting Started'!$B$6+10)</f>
        <v>Year 11: 2034</v>
      </c>
      <c r="B13" s="264" t="s">
        <v>139</v>
      </c>
    </row>
    <row r="14" spans="1:4" ht="37.5" customHeight="1" x14ac:dyDescent="0.75">
      <c r="A14" s="374" t="s">
        <v>183</v>
      </c>
      <c r="B14" s="374"/>
    </row>
    <row r="15" spans="1:4" ht="16" x14ac:dyDescent="0.8">
      <c r="A15" s="358" t="s">
        <v>182</v>
      </c>
    </row>
    <row r="16" spans="1:4" x14ac:dyDescent="0.75">
      <c r="A16" s="373" t="s">
        <v>24</v>
      </c>
      <c r="B16" s="373"/>
    </row>
  </sheetData>
  <sheetProtection algorithmName="SHA-512" hashValue="zzss8lDUXvQnsfnEXoNqGc3I/Giqi8XUu5ODiNDpOv0IrpTcUSKLw5Xqfsknnxd4lCbT3dKg0N8pbf/HfYDKvg==" saltValue="M47SiSqnkF/iNP10zuHn/Q==" spinCount="100000" sheet="1" objects="1" scenarios="1"/>
  <mergeCells count="2">
    <mergeCell ref="A14:B14"/>
    <mergeCell ref="A16:B16"/>
  </mergeCells>
  <dataValidations count="1">
    <dataValidation type="list" allowBlank="1" showInputMessage="1" showErrorMessage="1" sqref="B3:B13" xr:uid="{00000000-0002-0000-0300-000000000000}">
      <formula1>"Yes,No"</formula1>
    </dataValidation>
  </dataValidations>
  <hyperlinks>
    <hyperlink ref="A15" r:id="rId1" xr:uid="{D4EAAD0F-8444-4154-A3AD-F8CAFE11D325}"/>
  </hyperlinks>
  <pageMargins left="0.7" right="0.7" top="0.75" bottom="0.75" header="0.3" footer="0.3"/>
  <pageSetup orientation="portrait" verticalDpi="300" r:id="rId2"/>
  <tableParts count="1">
    <tablePart r:id="rId3"/>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tabColor theme="7"/>
  </sheetPr>
  <dimension ref="A1:I97"/>
  <sheetViews>
    <sheetView showGridLines="0" zoomScaleNormal="100" workbookViewId="0">
      <selection activeCell="A9" sqref="A9"/>
    </sheetView>
  </sheetViews>
  <sheetFormatPr defaultColWidth="0" defaultRowHeight="14.75" zeroHeight="1" x14ac:dyDescent="0.75"/>
  <cols>
    <col min="1" max="1" width="40.7265625" customWidth="1"/>
    <col min="2" max="2" width="25.86328125" bestFit="1" customWidth="1"/>
    <col min="3" max="4" width="9.1328125" customWidth="1"/>
    <col min="5" max="5" width="40.7265625" customWidth="1"/>
    <col min="6" max="6" width="26.1328125" bestFit="1" customWidth="1"/>
    <col min="7" max="7" width="0.86328125" customWidth="1"/>
    <col min="8" max="8" width="27" hidden="1" customWidth="1"/>
    <col min="9" max="9" width="9.1328125" hidden="1" customWidth="1"/>
    <col min="10" max="16384" width="9.1328125" hidden="1"/>
  </cols>
  <sheetData>
    <row r="1" spans="1:9" ht="38.25" customHeight="1" x14ac:dyDescent="0.75">
      <c r="A1" s="303" t="s">
        <v>178</v>
      </c>
      <c r="B1" s="305"/>
      <c r="C1" s="389" t="s">
        <v>175</v>
      </c>
      <c r="D1" s="389"/>
      <c r="E1" s="21" t="s">
        <v>14</v>
      </c>
      <c r="F1" s="20" t="str">
        <f>IF('2. Getting Started'!B2="","",'2. Getting Started'!B2)</f>
        <v/>
      </c>
    </row>
    <row r="2" spans="1:9" ht="18.75" customHeight="1" x14ac:dyDescent="0.9">
      <c r="A2" s="18" t="s">
        <v>13</v>
      </c>
      <c r="B2" s="4"/>
      <c r="C2" s="389"/>
      <c r="D2" s="389"/>
      <c r="E2" s="18" t="s">
        <v>6</v>
      </c>
      <c r="F2" s="4"/>
      <c r="H2" s="2" t="s">
        <v>12</v>
      </c>
    </row>
    <row r="3" spans="1:9" ht="39" customHeight="1" x14ac:dyDescent="0.8">
      <c r="A3" s="16" t="str">
        <f>CONCATENATE("Prior to Year 1: SFY ",'2. Getting Started'!B6)</f>
        <v>Prior to Year 1: SFY 2024</v>
      </c>
      <c r="B3" s="16"/>
      <c r="C3" s="389"/>
      <c r="D3" s="389"/>
      <c r="E3" s="16" t="str">
        <f>CONCATENATE("Prior to Year 1: SFY ",'2. Getting Started'!B6)</f>
        <v>Prior to Year 1: SFY 2024</v>
      </c>
      <c r="F3" s="16"/>
      <c r="H3" s="2"/>
    </row>
    <row r="4" spans="1:9" ht="29.5" x14ac:dyDescent="0.75">
      <c r="A4" s="224" t="str">
        <f>CONCATENATE("Last year before SFY ",'2. Getting Started'!B6," that the compliance standard was met for total state and local funds")</f>
        <v>Last year before SFY 2024 that the compliance standard was met for total state and local funds</v>
      </c>
      <c r="B4" s="257" t="str">
        <f>IF('2. Getting Started'!B11="","",'2. Getting Started'!B11)</f>
        <v/>
      </c>
      <c r="C4" s="389"/>
      <c r="D4" s="389"/>
      <c r="E4" s="224" t="str">
        <f>CONCATENATE("Last year before SFY ",'2. Getting Started'!B6," that the compliance standard was met for total state and local funds")</f>
        <v>Last year before SFY 2024 that the compliance standard was met for total state and local funds</v>
      </c>
      <c r="F4" s="257" t="str">
        <f>IF('2. Getting Started'!B11="","",'2. Getting Started'!B11)</f>
        <v/>
      </c>
      <c r="H4" s="1" t="s">
        <v>21</v>
      </c>
      <c r="I4">
        <f>'2. Getting Started'!B6-'2. Getting Started'!B11</f>
        <v>2024</v>
      </c>
    </row>
    <row r="5" spans="1:9" ht="15" customHeight="1" x14ac:dyDescent="0.75">
      <c r="A5" s="223" t="s">
        <v>1</v>
      </c>
      <c r="B5" s="258" t="str">
        <f>IF('2. Getting Started'!C11="","",'2. Getting Started'!C11)</f>
        <v/>
      </c>
      <c r="C5" s="389"/>
      <c r="D5" s="389"/>
      <c r="E5" s="223" t="s">
        <v>1</v>
      </c>
      <c r="F5" s="258" t="str">
        <f>IF('2. Getting Started'!C11="","",'2. Getting Started'!C11)</f>
        <v/>
      </c>
    </row>
    <row r="6" spans="1:9" x14ac:dyDescent="0.75">
      <c r="A6" s="228" t="s">
        <v>5</v>
      </c>
      <c r="B6" s="261" t="str">
        <f>IF(B5="","",IF(I4=1,0,IF(I4&gt;1,VLOOKUP(I4,'3a. Intervening Years'!I4:K22,3))))</f>
        <v/>
      </c>
      <c r="C6" s="389"/>
      <c r="D6" s="389"/>
      <c r="E6" s="228" t="s">
        <v>5</v>
      </c>
      <c r="F6" s="261" t="str">
        <f>IF(F5="","",IF(I4=1,0,IF(I4&gt;1,VLOOKUP(I4,'3a. Intervening Years'!I4:K22,3))))</f>
        <v/>
      </c>
    </row>
    <row r="7" spans="1:9" ht="15" customHeight="1" x14ac:dyDescent="0.75">
      <c r="A7" s="388" t="s">
        <v>175</v>
      </c>
      <c r="B7" s="388"/>
      <c r="C7" s="389"/>
      <c r="D7" s="389"/>
      <c r="E7" s="388" t="s">
        <v>175</v>
      </c>
      <c r="F7" s="388"/>
    </row>
    <row r="8" spans="1:9" ht="15.75" customHeight="1" x14ac:dyDescent="0.8">
      <c r="A8" s="5" t="str">
        <f>CONCATENATE("Year 1: SFY ",'2. Getting Started'!B$6)</f>
        <v>Year 1: SFY 2024</v>
      </c>
      <c r="B8" s="4"/>
      <c r="C8" s="389"/>
      <c r="D8" s="389"/>
      <c r="E8" s="5" t="str">
        <f>CONCATENATE("Year 1: SFY ",'2. Getting Started'!B$6)</f>
        <v>Year 1: SFY 2024</v>
      </c>
      <c r="F8" s="4"/>
    </row>
    <row r="9" spans="1:9" ht="15" customHeight="1" x14ac:dyDescent="0.75">
      <c r="A9" s="365" t="s">
        <v>185</v>
      </c>
      <c r="B9" s="360"/>
      <c r="C9" s="389"/>
      <c r="D9" s="389"/>
      <c r="E9" s="223" t="str">
        <f>CONCATENATE("Starting MOE Threshold for SFY ",'2. Getting Started'!B$6)</f>
        <v>Starting MOE Threshold for SFY 2024</v>
      </c>
      <c r="F9" s="258" t="str">
        <f>IF(F5="","",(F5-F6))</f>
        <v/>
      </c>
    </row>
    <row r="10" spans="1:9" ht="15" customHeight="1" x14ac:dyDescent="0.75">
      <c r="A10" s="366" t="s">
        <v>186</v>
      </c>
      <c r="B10" s="362"/>
      <c r="C10" s="389"/>
      <c r="D10" s="389"/>
      <c r="E10" s="223" t="str">
        <f>CONCATENATE("SFY ",'2. Getting Started'!B$6," Exceptions")</f>
        <v>SFY 2024 Exceptions</v>
      </c>
      <c r="F10" s="258">
        <f>'6. Year 1 Exc &amp; Adj'!I68</f>
        <v>0</v>
      </c>
    </row>
    <row r="11" spans="1:9" ht="15" customHeight="1" x14ac:dyDescent="0.75">
      <c r="A11" s="361" t="s">
        <v>187</v>
      </c>
      <c r="B11" s="362"/>
      <c r="C11" s="389"/>
      <c r="D11" s="389"/>
      <c r="E11" s="223" t="str">
        <f>CONCATENATE("SFY ",'2. Getting Started'!B$6," Adjustment")</f>
        <v>SFY 2024 Adjustment</v>
      </c>
      <c r="F11" s="258">
        <f>AdjDataYear1Expenditures[[Adjustment ]]</f>
        <v>0</v>
      </c>
    </row>
    <row r="12" spans="1:9" ht="15" customHeight="1" x14ac:dyDescent="0.75">
      <c r="A12" s="361"/>
      <c r="B12" s="362"/>
      <c r="C12" s="389"/>
      <c r="D12" s="389"/>
      <c r="E12" s="223" t="str">
        <f>CONCATENATE("Adjusted MOE Threshold for SFY ",'2. Getting Started'!B$6)</f>
        <v>Adjusted MOE Threshold for SFY 2024</v>
      </c>
      <c r="F12" s="258" t="str">
        <f>IF(F9="","",(F9-F10-F11))</f>
        <v/>
      </c>
    </row>
    <row r="13" spans="1:9" ht="15" customHeight="1" x14ac:dyDescent="0.75">
      <c r="A13" s="361"/>
      <c r="B13" s="362"/>
      <c r="C13" s="389"/>
      <c r="D13" s="389"/>
      <c r="E13" s="223" t="str">
        <f>CONCATENATE("Final Expenditures for SFY ",'2. Getting Started'!B$6)</f>
        <v>Final Expenditures for SFY 2024</v>
      </c>
      <c r="F13" s="258" t="str">
        <f>IF('5. Year 1 Amounts'!M30="","",'5. Year 1 Amounts'!M30)</f>
        <v/>
      </c>
    </row>
    <row r="14" spans="1:9" ht="15" customHeight="1" x14ac:dyDescent="0.75">
      <c r="A14" s="363"/>
      <c r="B14" s="364"/>
      <c r="C14" s="389"/>
      <c r="D14" s="389"/>
      <c r="E14" s="275" t="str">
        <f>CONCATENATE("MOE Result for SFY ",'2. Getting Started'!B$6)</f>
        <v>MOE Result for SFY 2024</v>
      </c>
      <c r="F14" s="285" t="str">
        <f>IF(F13="","",IF(F13&gt;=F12,"Met","Did Not Meet"))</f>
        <v/>
      </c>
    </row>
    <row r="15" spans="1:9" ht="15" customHeight="1" x14ac:dyDescent="0.75">
      <c r="A15" s="388" t="s">
        <v>175</v>
      </c>
      <c r="B15" s="388"/>
      <c r="C15" s="389"/>
      <c r="D15" s="389"/>
      <c r="E15" s="388" t="s">
        <v>175</v>
      </c>
      <c r="F15" s="388"/>
    </row>
    <row r="16" spans="1:9" ht="15.75" customHeight="1" x14ac:dyDescent="0.8">
      <c r="A16" s="5" t="str">
        <f>CONCATENATE("Year 2: SFY ",'2. Getting Started'!B$6+1)</f>
        <v>Year 2: SFY 2025</v>
      </c>
      <c r="B16" s="4"/>
      <c r="C16" s="389"/>
      <c r="D16" s="389"/>
      <c r="E16" s="5" t="str">
        <f>CONCATENATE("Year 2: SFY ",'2. Getting Started'!B$6+1)</f>
        <v>Year 2: SFY 2025</v>
      </c>
      <c r="F16" s="4"/>
    </row>
    <row r="17" spans="1:6" ht="15" customHeight="1" x14ac:dyDescent="0.75">
      <c r="A17" s="223" t="str">
        <f>CONCATENATE("Starting MOE Threshold for SFY ",'2. Getting Started'!B$6+1)</f>
        <v>Starting MOE Threshold for SFY 2025</v>
      </c>
      <c r="B17" s="258" t="str">
        <f>IF(B5="","",(B5-B6))</f>
        <v/>
      </c>
      <c r="C17" s="389"/>
      <c r="D17" s="389"/>
      <c r="E17" s="223" t="str">
        <f>CONCATENATE("Starting MOE Threshold for SFY ",'2. Getting Started'!B$6+1)</f>
        <v>Starting MOE Threshold for SFY 2025</v>
      </c>
      <c r="F17" s="258" t="str">
        <f>IF(F14="Met",F13,F12)</f>
        <v/>
      </c>
    </row>
    <row r="18" spans="1:6" ht="15" customHeight="1" x14ac:dyDescent="0.75">
      <c r="A18" s="223" t="str">
        <f>CONCATENATE("SFY ",'2. Getting Started'!B$6," + ",'2. Getting Started'!B$6+1," Projected Exceptions")</f>
        <v>SFY 2024 + 2025 Projected Exceptions</v>
      </c>
      <c r="B18" s="258">
        <f>'6. Year 1 Exc &amp; Adj'!B68+'9. Year 2 Exc &amp; Adj'!B68</f>
        <v>0</v>
      </c>
      <c r="C18" s="389"/>
      <c r="D18" s="389"/>
      <c r="E18" s="223" t="str">
        <f>CONCATENATE("SFY ",'2. Getting Started'!B$6+1," Exceptions")</f>
        <v>SFY 2025 Exceptions</v>
      </c>
      <c r="F18" s="258">
        <f>'9. Year 2 Exc &amp; Adj'!I68</f>
        <v>0</v>
      </c>
    </row>
    <row r="19" spans="1:6" ht="15" customHeight="1" x14ac:dyDescent="0.75">
      <c r="A19" s="223" t="str">
        <f>CONCATENATE("SFY ",'2. Getting Started'!B$6," + ",'2. Getting Started'!B$6+1," Projected Adjustments")</f>
        <v>SFY 2024 + 2025 Projected Adjustments</v>
      </c>
      <c r="B19" s="258">
        <f>AdjDataYear1Budget[Projected Adjustment]+AdjDataYear2Budget[Projected Adjustment]</f>
        <v>0</v>
      </c>
      <c r="C19" s="389"/>
      <c r="D19" s="389"/>
      <c r="E19" s="223" t="str">
        <f>CONCATENATE("SFY ",'2. Getting Started'!B$6+1," Adjustment")</f>
        <v>SFY 2025 Adjustment</v>
      </c>
      <c r="F19" s="258">
        <f>AdjDataYear2Expenditures[[Adjustment ]]</f>
        <v>0</v>
      </c>
    </row>
    <row r="20" spans="1:6" ht="15" customHeight="1" x14ac:dyDescent="0.75">
      <c r="A20" s="223" t="str">
        <f>CONCATENATE("Adjusted MOE Threshold for SFY ",'2. Getting Started'!B$6+1)</f>
        <v>Adjusted MOE Threshold for SFY 2025</v>
      </c>
      <c r="B20" s="258" t="str">
        <f>IF(B17="","",(B17-B18-B19))</f>
        <v/>
      </c>
      <c r="C20" s="389"/>
      <c r="D20" s="389"/>
      <c r="E20" s="223" t="str">
        <f>CONCATENATE("Adjusted MOE Threshold for SFY ",'2. Getting Started'!B$6+1)</f>
        <v>Adjusted MOE Threshold for SFY 2025</v>
      </c>
      <c r="F20" s="258" t="str">
        <f>IF(F17="","",(F17-F18-F19))</f>
        <v/>
      </c>
    </row>
    <row r="21" spans="1:6" ht="15" customHeight="1" x14ac:dyDescent="0.75">
      <c r="A21" s="223" t="str">
        <f>CONCATENATE("Budgeted Amount for SFY ",'2. Getting Started'!B$6+1)</f>
        <v>Budgeted Amount for SFY 2025</v>
      </c>
      <c r="B21" s="258" t="str">
        <f>'8. Year 2 Amounts'!F30</f>
        <v/>
      </c>
      <c r="C21" s="389"/>
      <c r="D21" s="389"/>
      <c r="E21" s="223" t="str">
        <f>CONCATENATE("Final Expenditures for SFY ",'2. Getting Started'!B$6+1)</f>
        <v>Final Expenditures for SFY 2025</v>
      </c>
      <c r="F21" s="258" t="str">
        <f>'8. Year 2 Amounts'!M30</f>
        <v/>
      </c>
    </row>
    <row r="22" spans="1:6" ht="15" customHeight="1" x14ac:dyDescent="0.75">
      <c r="A22" s="275" t="str">
        <f>CONCATENATE("MOE Result for SFY ",'2. Getting Started'!B$6+1)</f>
        <v>MOE Result for SFY 2025</v>
      </c>
      <c r="B22" s="285" t="str">
        <f>IF(B21="","",IF(B21&gt;=B20,"Met","Did Not Meet"))</f>
        <v/>
      </c>
      <c r="C22" s="389"/>
      <c r="D22" s="389"/>
      <c r="E22" s="275" t="str">
        <f>CONCATENATE("MOE Result for SFY ",'2. Getting Started'!B$6+1)</f>
        <v>MOE Result for SFY 2025</v>
      </c>
      <c r="F22" s="285" t="str">
        <f>IF(F21="","",IF(F21&gt;=F20,"Met","Did Not Meet"))</f>
        <v/>
      </c>
    </row>
    <row r="23" spans="1:6" ht="15" customHeight="1" x14ac:dyDescent="0.75">
      <c r="A23" s="388" t="s">
        <v>175</v>
      </c>
      <c r="B23" s="388"/>
      <c r="C23" s="389"/>
      <c r="D23" s="389"/>
      <c r="E23" s="388" t="s">
        <v>175</v>
      </c>
      <c r="F23" s="388"/>
    </row>
    <row r="24" spans="1:6" ht="15.75" customHeight="1" x14ac:dyDescent="0.8">
      <c r="A24" s="5" t="str">
        <f>CONCATENATE("Year 3: SFY ",'2. Getting Started'!B$6+2)</f>
        <v>Year 3: SFY 2026</v>
      </c>
      <c r="B24" s="4"/>
      <c r="C24" s="389"/>
      <c r="D24" s="389"/>
      <c r="E24" s="5" t="str">
        <f>CONCATENATE("Year 3: SFY ",'2. Getting Started'!B$6+2)</f>
        <v>Year 3: SFY 2026</v>
      </c>
      <c r="F24" s="4"/>
    </row>
    <row r="25" spans="1:6" ht="15" customHeight="1" x14ac:dyDescent="0.75">
      <c r="A25" s="223" t="str">
        <f>CONCATENATE("Starting MOE Threshold for SFY ",'2. Getting Started'!B$6+2)</f>
        <v>Starting MOE Threshold for SFY 2026</v>
      </c>
      <c r="B25" s="258" t="str">
        <f>IF(F14="Met",F13,F12)</f>
        <v/>
      </c>
      <c r="C25" s="389"/>
      <c r="D25" s="389"/>
      <c r="E25" s="223" t="str">
        <f>CONCATENATE("Starting MOE Threshold for SFY ",'2. Getting Started'!B$6+2)</f>
        <v>Starting MOE Threshold for SFY 2026</v>
      </c>
      <c r="F25" s="258" t="str">
        <f>IF(F22="Met",F21,F20)</f>
        <v/>
      </c>
    </row>
    <row r="26" spans="1:6" ht="15" customHeight="1" x14ac:dyDescent="0.75">
      <c r="A26" s="223" t="str">
        <f>CONCATENATE("SFY ",'2. Getting Started'!B$6+1," + ",'2. Getting Started'!B$6+2," Projected Exceptions")</f>
        <v>SFY 2025 + 2026 Projected Exceptions</v>
      </c>
      <c r="B26" s="258">
        <f>'9. Year 2 Exc &amp; Adj'!B68+'12. Year 3 Exc &amp; Adj'!B68</f>
        <v>0</v>
      </c>
      <c r="C26" s="389"/>
      <c r="D26" s="389"/>
      <c r="E26" s="223" t="str">
        <f>CONCATENATE("SFY ",'2. Getting Started'!B$6+2," Exceptions")</f>
        <v>SFY 2026 Exceptions</v>
      </c>
      <c r="F26" s="258">
        <f>'12. Year 3 Exc &amp; Adj'!I68</f>
        <v>0</v>
      </c>
    </row>
    <row r="27" spans="1:6" ht="15" customHeight="1" x14ac:dyDescent="0.75">
      <c r="A27" s="223" t="str">
        <f>CONCATENATE("SFY ",'2. Getting Started'!B$6+1," + ",'2. Getting Started'!B$6+2," Projected Adjustments")</f>
        <v>SFY 2025 + 2026 Projected Adjustments</v>
      </c>
      <c r="B27" s="258">
        <f>AdjDataYear2Budget[Projected Adjustment]+AdjDataYear3Budget[Projected Adjustment]</f>
        <v>0</v>
      </c>
      <c r="C27" s="389"/>
      <c r="D27" s="389"/>
      <c r="E27" s="223" t="str">
        <f>CONCATENATE("SFY ",'2. Getting Started'!B$6+2," Adjustment")</f>
        <v>SFY 2026 Adjustment</v>
      </c>
      <c r="F27" s="258">
        <f>AdjDataYear3Expenditures[[Adjustment ]]</f>
        <v>0</v>
      </c>
    </row>
    <row r="28" spans="1:6" ht="15" customHeight="1" x14ac:dyDescent="0.75">
      <c r="A28" s="223" t="str">
        <f>CONCATENATE("Adjusted MOE Threshold for SFY ",'2. Getting Started'!B$6+2)</f>
        <v>Adjusted MOE Threshold for SFY 2026</v>
      </c>
      <c r="B28" s="258" t="str">
        <f>IF(B25="","",(B25-B26-B27))</f>
        <v/>
      </c>
      <c r="C28" s="389"/>
      <c r="D28" s="389"/>
      <c r="E28" s="223" t="str">
        <f>CONCATENATE("Adjusted MOE Threshold for SFY ",'2. Getting Started'!B$6+2)</f>
        <v>Adjusted MOE Threshold for SFY 2026</v>
      </c>
      <c r="F28" s="258" t="str">
        <f>IF(F25="","",(F25-F26-F27))</f>
        <v/>
      </c>
    </row>
    <row r="29" spans="1:6" ht="15" customHeight="1" x14ac:dyDescent="0.75">
      <c r="A29" s="223" t="str">
        <f>CONCATENATE("Budgeted Amount for SFY ",'2. Getting Started'!B$6+2)</f>
        <v>Budgeted Amount for SFY 2026</v>
      </c>
      <c r="B29" s="258" t="str">
        <f>'11. Year 3 Amounts'!F30</f>
        <v/>
      </c>
      <c r="C29" s="389"/>
      <c r="D29" s="389"/>
      <c r="E29" s="223" t="str">
        <f>CONCATENATE("Final Expenditures for SFY ",'2. Getting Started'!B$6+2)</f>
        <v>Final Expenditures for SFY 2026</v>
      </c>
      <c r="F29" s="258" t="str">
        <f>'11. Year 3 Amounts'!M30</f>
        <v/>
      </c>
    </row>
    <row r="30" spans="1:6" ht="15" customHeight="1" x14ac:dyDescent="0.75">
      <c r="A30" s="275" t="str">
        <f>CONCATENATE("MOE Result for SFY ",'2. Getting Started'!B$6+2)</f>
        <v>MOE Result for SFY 2026</v>
      </c>
      <c r="B30" s="285" t="str">
        <f>IF(B29="","",IF(B29&gt;=B28,"Met","Did Not Meet"))</f>
        <v/>
      </c>
      <c r="C30" s="389"/>
      <c r="D30" s="389"/>
      <c r="E30" s="275" t="str">
        <f>CONCATENATE("MOE Result for SFY ",'2. Getting Started'!B$6+2)</f>
        <v>MOE Result for SFY 2026</v>
      </c>
      <c r="F30" s="285" t="str">
        <f>IF(F29="","",IF(F29&gt;=F28,"Met","Did Not Meet"))</f>
        <v/>
      </c>
    </row>
    <row r="31" spans="1:6" ht="15" customHeight="1" x14ac:dyDescent="0.75">
      <c r="A31" s="388" t="s">
        <v>175</v>
      </c>
      <c r="B31" s="388"/>
      <c r="C31" s="389"/>
      <c r="D31" s="389"/>
      <c r="E31" s="388" t="s">
        <v>175</v>
      </c>
      <c r="F31" s="388"/>
    </row>
    <row r="32" spans="1:6" ht="15.75" customHeight="1" x14ac:dyDescent="0.8">
      <c r="A32" s="5" t="str">
        <f>CONCATENATE("Year 4: SFY ",'2. Getting Started'!B$6+3)</f>
        <v>Year 4: SFY 2027</v>
      </c>
      <c r="B32" s="4"/>
      <c r="C32" s="389"/>
      <c r="D32" s="389"/>
      <c r="E32" s="5" t="str">
        <f>CONCATENATE("Year 4: SFY ",'2. Getting Started'!B$6+3)</f>
        <v>Year 4: SFY 2027</v>
      </c>
      <c r="F32" s="4"/>
    </row>
    <row r="33" spans="1:6" ht="15" customHeight="1" x14ac:dyDescent="0.75">
      <c r="A33" s="223" t="str">
        <f>CONCATENATE("Starting MOE Threshold for SFY ",'2. Getting Started'!B$6+3)</f>
        <v>Starting MOE Threshold for SFY 2027</v>
      </c>
      <c r="B33" s="258" t="str">
        <f>IF(F22="Met",F21,F20)</f>
        <v/>
      </c>
      <c r="C33" s="389"/>
      <c r="D33" s="389"/>
      <c r="E33" s="223" t="str">
        <f>CONCATENATE("Starting MOE Threshold for SFY ",'2. Getting Started'!B$6+3)</f>
        <v>Starting MOE Threshold for SFY 2027</v>
      </c>
      <c r="F33" s="258" t="str">
        <f>IF(F30="Met",F29,F28)</f>
        <v/>
      </c>
    </row>
    <row r="34" spans="1:6" ht="15" customHeight="1" x14ac:dyDescent="0.75">
      <c r="A34" s="223" t="str">
        <f>CONCATENATE("SFY ",'2. Getting Started'!B$6+2," + ",'2. Getting Started'!B$6+3," Projected Exceptions")</f>
        <v>SFY 2026 + 2027 Projected Exceptions</v>
      </c>
      <c r="B34" s="258">
        <f>'12. Year 3 Exc &amp; Adj'!B68+'15. Year 4 Exc &amp; Adj'!B68</f>
        <v>0</v>
      </c>
      <c r="C34" s="389"/>
      <c r="D34" s="389"/>
      <c r="E34" s="223" t="str">
        <f>CONCATENATE("SFY ",'2. Getting Started'!B$6+3," Exceptions")</f>
        <v>SFY 2027 Exceptions</v>
      </c>
      <c r="F34" s="258">
        <f>'15. Year 4 Exc &amp; Adj'!I68</f>
        <v>0</v>
      </c>
    </row>
    <row r="35" spans="1:6" ht="15" customHeight="1" x14ac:dyDescent="0.75">
      <c r="A35" s="223" t="str">
        <f>CONCATENATE("SFY ",'2. Getting Started'!B$6+2," + ",'2. Getting Started'!B$6+3," Projected Adjustments")</f>
        <v>SFY 2026 + 2027 Projected Adjustments</v>
      </c>
      <c r="B35" s="258">
        <f>AdjDataYear3Budget[Projected Adjustment]+AdjDataYear4Budget[Projected Adjustment]</f>
        <v>0</v>
      </c>
      <c r="C35" s="389"/>
      <c r="D35" s="389"/>
      <c r="E35" s="223" t="str">
        <f>CONCATENATE("SFY ",'2. Getting Started'!B$6+3," Adjustment")</f>
        <v>SFY 2027 Adjustment</v>
      </c>
      <c r="F35" s="258">
        <f>AdjDataYear4Expenditures[[Adjustment ]]</f>
        <v>0</v>
      </c>
    </row>
    <row r="36" spans="1:6" ht="15" customHeight="1" x14ac:dyDescent="0.75">
      <c r="A36" s="223" t="str">
        <f>CONCATENATE("Adjusted MOE Threshold for SFY ",'2. Getting Started'!B$6+3)</f>
        <v>Adjusted MOE Threshold for SFY 2027</v>
      </c>
      <c r="B36" s="258" t="str">
        <f>IF(B33="","",(B33-B34-B35))</f>
        <v/>
      </c>
      <c r="C36" s="389"/>
      <c r="D36" s="389"/>
      <c r="E36" s="223" t="str">
        <f>CONCATENATE("Adjusted MOE Threshold for SFY ",'2. Getting Started'!B$6+3)</f>
        <v>Adjusted MOE Threshold for SFY 2027</v>
      </c>
      <c r="F36" s="258" t="str">
        <f>IF(F33="","",(F33-F34-F35))</f>
        <v/>
      </c>
    </row>
    <row r="37" spans="1:6" ht="15" customHeight="1" x14ac:dyDescent="0.75">
      <c r="A37" s="223" t="str">
        <f>CONCATENATE("Budgeted Amount for SFY ",'2. Getting Started'!B$6+3)</f>
        <v>Budgeted Amount for SFY 2027</v>
      </c>
      <c r="B37" s="258" t="str">
        <f>'14. Year 4 Amounts'!F30</f>
        <v/>
      </c>
      <c r="C37" s="389"/>
      <c r="D37" s="389"/>
      <c r="E37" s="223" t="str">
        <f>CONCATENATE("Final Expenditures for SFY ",'2. Getting Started'!B$6+3)</f>
        <v>Final Expenditures for SFY 2027</v>
      </c>
      <c r="F37" s="258" t="str">
        <f>'14. Year 4 Amounts'!M30</f>
        <v/>
      </c>
    </row>
    <row r="38" spans="1:6" ht="15" customHeight="1" x14ac:dyDescent="0.75">
      <c r="A38" s="275" t="str">
        <f>CONCATENATE("MOE Result for SFY ",'2. Getting Started'!B$6+3)</f>
        <v>MOE Result for SFY 2027</v>
      </c>
      <c r="B38" s="285" t="str">
        <f>IF(B37="","",IF(B37&gt;=B36,"Met","Did Not Meet"))</f>
        <v/>
      </c>
      <c r="C38" s="389"/>
      <c r="D38" s="389"/>
      <c r="E38" s="275" t="str">
        <f>CONCATENATE("MOE Result for SFY ",'2. Getting Started'!B$6+3)</f>
        <v>MOE Result for SFY 2027</v>
      </c>
      <c r="F38" s="285" t="str">
        <f>IF(F37="","",IF(F37&gt;=F36,"Met","Did Not Meet"))</f>
        <v/>
      </c>
    </row>
    <row r="39" spans="1:6" ht="15" customHeight="1" x14ac:dyDescent="0.75">
      <c r="A39" s="388" t="s">
        <v>175</v>
      </c>
      <c r="B39" s="388"/>
      <c r="C39" s="389"/>
      <c r="D39" s="389"/>
      <c r="E39" s="388" t="s">
        <v>175</v>
      </c>
      <c r="F39" s="388"/>
    </row>
    <row r="40" spans="1:6" ht="15.75" customHeight="1" x14ac:dyDescent="0.8">
      <c r="A40" s="5" t="str">
        <f>CONCATENATE("Year 5: SFY ",'2. Getting Started'!B$6+4)</f>
        <v>Year 5: SFY 2028</v>
      </c>
      <c r="B40" s="4"/>
      <c r="C40" s="389"/>
      <c r="D40" s="389"/>
      <c r="E40" s="5" t="str">
        <f>CONCATENATE("Year 5: SFY ",'2. Getting Started'!B$6+4)</f>
        <v>Year 5: SFY 2028</v>
      </c>
      <c r="F40" s="4"/>
    </row>
    <row r="41" spans="1:6" ht="15" customHeight="1" x14ac:dyDescent="0.75">
      <c r="A41" s="223" t="str">
        <f>CONCATENATE("Starting MOE Threshold for SFY ",'2. Getting Started'!B$6+4)</f>
        <v>Starting MOE Threshold for SFY 2028</v>
      </c>
      <c r="B41" s="258" t="str">
        <f>IF(F30="Met",F29,F28)</f>
        <v/>
      </c>
      <c r="C41" s="389"/>
      <c r="D41" s="389"/>
      <c r="E41" s="223" t="str">
        <f>CONCATENATE("Starting MOE Threshold for SFY ",'2. Getting Started'!B$6+4)</f>
        <v>Starting MOE Threshold for SFY 2028</v>
      </c>
      <c r="F41" s="258" t="str">
        <f>IF(F38="Met",F37,F36)</f>
        <v/>
      </c>
    </row>
    <row r="42" spans="1:6" ht="15" customHeight="1" x14ac:dyDescent="0.75">
      <c r="A42" s="223" t="str">
        <f>CONCATENATE("SFY ",'2. Getting Started'!B$6+3," + ",'2. Getting Started'!B$6+4," Projected Exceptions")</f>
        <v>SFY 2027 + 2028 Projected Exceptions</v>
      </c>
      <c r="B42" s="258">
        <f>'15. Year 4 Exc &amp; Adj'!B68+'18. Year 5 Exc &amp; Adj'!B68</f>
        <v>0</v>
      </c>
      <c r="C42" s="389"/>
      <c r="D42" s="389"/>
      <c r="E42" s="223" t="str">
        <f>CONCATENATE("SFY ",'2. Getting Started'!B$6+4," Exceptions")</f>
        <v>SFY 2028 Exceptions</v>
      </c>
      <c r="F42" s="258">
        <f>'18. Year 5 Exc &amp; Adj'!I68</f>
        <v>0</v>
      </c>
    </row>
    <row r="43" spans="1:6" ht="15" customHeight="1" x14ac:dyDescent="0.75">
      <c r="A43" s="223" t="str">
        <f>CONCATENATE("SFY ",'2. Getting Started'!B$6+3," + ",'2. Getting Started'!B$6+4," Projected Adjustments")</f>
        <v>SFY 2027 + 2028 Projected Adjustments</v>
      </c>
      <c r="B43" s="258">
        <f>AdjDataYear4Budget[Projected Adjustment]+AdjDataYear5Budget[Projected Adjustment]</f>
        <v>0</v>
      </c>
      <c r="C43" s="389"/>
      <c r="D43" s="389"/>
      <c r="E43" s="223" t="str">
        <f>CONCATENATE("SFY ",'2. Getting Started'!B$6+4," Adjustment")</f>
        <v>SFY 2028 Adjustment</v>
      </c>
      <c r="F43" s="258">
        <f>AdjDataYear5Expenditures[[Adjustment ]]</f>
        <v>0</v>
      </c>
    </row>
    <row r="44" spans="1:6" ht="15" customHeight="1" x14ac:dyDescent="0.75">
      <c r="A44" s="223" t="str">
        <f>CONCATENATE("Adjusted MOE Threshold for SFY ",'2. Getting Started'!B$6+4)</f>
        <v>Adjusted MOE Threshold for SFY 2028</v>
      </c>
      <c r="B44" s="258" t="str">
        <f>IF(B41="","",(B41-B42-B43))</f>
        <v/>
      </c>
      <c r="C44" s="389"/>
      <c r="D44" s="389"/>
      <c r="E44" s="223" t="str">
        <f>CONCATENATE("Adjusted MOE Threshold for SFY ",'2. Getting Started'!B$6+4)</f>
        <v>Adjusted MOE Threshold for SFY 2028</v>
      </c>
      <c r="F44" s="258" t="str">
        <f>IF(F41="","",(F41-F42-F43))</f>
        <v/>
      </c>
    </row>
    <row r="45" spans="1:6" ht="15" customHeight="1" x14ac:dyDescent="0.75">
      <c r="A45" s="223" t="str">
        <f>CONCATENATE("Budgeted Amount for SFY ",'2. Getting Started'!B$6+4)</f>
        <v>Budgeted Amount for SFY 2028</v>
      </c>
      <c r="B45" s="258" t="str">
        <f>'17. Year 5 Amounts'!F30</f>
        <v/>
      </c>
      <c r="C45" s="389"/>
      <c r="D45" s="389"/>
      <c r="E45" s="223" t="str">
        <f>CONCATENATE("Final Expenditures for SFY ",'2. Getting Started'!B$6+4)</f>
        <v>Final Expenditures for SFY 2028</v>
      </c>
      <c r="F45" s="258" t="str">
        <f>'17. Year 5 Amounts'!M30</f>
        <v/>
      </c>
    </row>
    <row r="46" spans="1:6" ht="15" customHeight="1" x14ac:dyDescent="0.75">
      <c r="A46" s="275" t="str">
        <f>CONCATENATE("MOE Result for SFY ",'2. Getting Started'!B$6+4)</f>
        <v>MOE Result for SFY 2028</v>
      </c>
      <c r="B46" s="285" t="str">
        <f>IF(B45="","",IF(B45&gt;=B44,"Met","Did Not Meet"))</f>
        <v/>
      </c>
      <c r="C46" s="389"/>
      <c r="D46" s="389"/>
      <c r="E46" s="275" t="str">
        <f>CONCATENATE("MOE Result for SFY ",'2. Getting Started'!B$6+4)</f>
        <v>MOE Result for SFY 2028</v>
      </c>
      <c r="F46" s="285" t="str">
        <f>IF(F45="","",IF(F45&gt;=F44,"Met","Did Not Meet"))</f>
        <v/>
      </c>
    </row>
    <row r="47" spans="1:6" ht="15" customHeight="1" x14ac:dyDescent="0.75">
      <c r="A47" s="388" t="s">
        <v>175</v>
      </c>
      <c r="B47" s="388"/>
      <c r="C47" s="389"/>
      <c r="D47" s="389"/>
      <c r="E47" s="388" t="s">
        <v>175</v>
      </c>
      <c r="F47" s="388"/>
    </row>
    <row r="48" spans="1:6" ht="15.75" customHeight="1" x14ac:dyDescent="0.8">
      <c r="A48" s="5" t="str">
        <f>CONCATENATE("Year 6: SFY ",'2. Getting Started'!B$6+5)</f>
        <v>Year 6: SFY 2029</v>
      </c>
      <c r="B48" s="4"/>
      <c r="C48" s="389"/>
      <c r="D48" s="389"/>
      <c r="E48" s="5" t="str">
        <f>CONCATENATE("Year 6: SFY ",'2. Getting Started'!B$6+5)</f>
        <v>Year 6: SFY 2029</v>
      </c>
      <c r="F48" s="4"/>
    </row>
    <row r="49" spans="1:6" ht="15" customHeight="1" x14ac:dyDescent="0.75">
      <c r="A49" s="223" t="str">
        <f>CONCATENATE("Starting MOE Threshold for SFY ",'2. Getting Started'!B$6+5)</f>
        <v>Starting MOE Threshold for SFY 2029</v>
      </c>
      <c r="B49" s="258" t="str">
        <f>IF(F38="Met",F37,F36)</f>
        <v/>
      </c>
      <c r="C49" s="389"/>
      <c r="D49" s="389"/>
      <c r="E49" s="223" t="str">
        <f>CONCATENATE("Starting MOE Threshold for SFY ",'2. Getting Started'!B$6+5)</f>
        <v>Starting MOE Threshold for SFY 2029</v>
      </c>
      <c r="F49" s="258" t="str">
        <f>IF(F46="Met",F45,F44)</f>
        <v/>
      </c>
    </row>
    <row r="50" spans="1:6" ht="15" customHeight="1" x14ac:dyDescent="0.75">
      <c r="A50" s="223" t="str">
        <f>CONCATENATE("SFY ",'2. Getting Started'!B$6+4," + ",'2. Getting Started'!B$6+5," Projected Exceptions")</f>
        <v>SFY 2028 + 2029 Projected Exceptions</v>
      </c>
      <c r="B50" s="258">
        <f>'18. Year 5 Exc &amp; Adj'!B68+'21. Year 6 Exc &amp; Adj'!B68</f>
        <v>0</v>
      </c>
      <c r="C50" s="389"/>
      <c r="D50" s="389"/>
      <c r="E50" s="223" t="str">
        <f>CONCATENATE("SFY ",'2. Getting Started'!B$6+5," Exceptions")</f>
        <v>SFY 2029 Exceptions</v>
      </c>
      <c r="F50" s="258">
        <f>'21. Year 6 Exc &amp; Adj'!I68</f>
        <v>0</v>
      </c>
    </row>
    <row r="51" spans="1:6" ht="15" customHeight="1" x14ac:dyDescent="0.75">
      <c r="A51" s="223" t="str">
        <f>CONCATENATE("SFY ",'2. Getting Started'!B$6+4," + ",'2. Getting Started'!B$6+5," Projected Adjustments")</f>
        <v>SFY 2028 + 2029 Projected Adjustments</v>
      </c>
      <c r="B51" s="258">
        <f>AdjDataYear5Budget[Projected Adjustment]+AdjDataYear6Budget[Projected Adjustment]</f>
        <v>0</v>
      </c>
      <c r="C51" s="389"/>
      <c r="D51" s="389"/>
      <c r="E51" s="223" t="str">
        <f>CONCATENATE("SFY ",'2. Getting Started'!B$6+5," Adjustment")</f>
        <v>SFY 2029 Adjustment</v>
      </c>
      <c r="F51" s="258">
        <f>AdjDataYear6Expenditures[[Adjustment ]]</f>
        <v>0</v>
      </c>
    </row>
    <row r="52" spans="1:6" ht="15" customHeight="1" x14ac:dyDescent="0.75">
      <c r="A52" s="223" t="str">
        <f>CONCATENATE("Adjusted MOE Threshold for SFY ",'2. Getting Started'!B$6+5)</f>
        <v>Adjusted MOE Threshold for SFY 2029</v>
      </c>
      <c r="B52" s="258" t="str">
        <f>IF(B49="","",(B49-B50-B51))</f>
        <v/>
      </c>
      <c r="C52" s="389"/>
      <c r="D52" s="389"/>
      <c r="E52" s="223" t="str">
        <f>CONCATENATE("Adjusted MOE Threshold for SFY ",'2. Getting Started'!B$6+5)</f>
        <v>Adjusted MOE Threshold for SFY 2029</v>
      </c>
      <c r="F52" s="258" t="str">
        <f>IF(F49="","",(F49-F50-F51))</f>
        <v/>
      </c>
    </row>
    <row r="53" spans="1:6" ht="15" customHeight="1" x14ac:dyDescent="0.75">
      <c r="A53" s="223" t="str">
        <f>CONCATENATE("Budgeted Amount for SFY ",'2. Getting Started'!B$6+5)</f>
        <v>Budgeted Amount for SFY 2029</v>
      </c>
      <c r="B53" s="258" t="str">
        <f>'20. Year 6 Amounts'!F30</f>
        <v/>
      </c>
      <c r="C53" s="389"/>
      <c r="D53" s="389"/>
      <c r="E53" s="223" t="str">
        <f>CONCATENATE("Final Expenditures for SFY ",'2. Getting Started'!B$6+5)</f>
        <v>Final Expenditures for SFY 2029</v>
      </c>
      <c r="F53" s="258" t="str">
        <f>'20. Year 6 Amounts'!M30</f>
        <v/>
      </c>
    </row>
    <row r="54" spans="1:6" ht="15" customHeight="1" x14ac:dyDescent="0.75">
      <c r="A54" s="275" t="str">
        <f>CONCATENATE("MOE Result for SFY ",'2. Getting Started'!B$6+5)</f>
        <v>MOE Result for SFY 2029</v>
      </c>
      <c r="B54" s="285" t="str">
        <f>IF(B53="","",IF(B53&gt;=B52,"Met","Did Not Meet"))</f>
        <v/>
      </c>
      <c r="C54" s="389"/>
      <c r="D54" s="389"/>
      <c r="E54" s="275" t="str">
        <f>CONCATENATE("MOE Result for SFY ",'2. Getting Started'!B$6+5)</f>
        <v>MOE Result for SFY 2029</v>
      </c>
      <c r="F54" s="285" t="str">
        <f>IF(F53="","",IF(F53&gt;=F52,"Met","Did Not Meet"))</f>
        <v/>
      </c>
    </row>
    <row r="55" spans="1:6" ht="15" customHeight="1" x14ac:dyDescent="0.75">
      <c r="A55" s="388" t="s">
        <v>175</v>
      </c>
      <c r="B55" s="388"/>
      <c r="C55" s="389"/>
      <c r="D55" s="389"/>
      <c r="E55" s="388" t="s">
        <v>175</v>
      </c>
      <c r="F55" s="388"/>
    </row>
    <row r="56" spans="1:6" ht="15.75" customHeight="1" x14ac:dyDescent="0.8">
      <c r="A56" s="5" t="str">
        <f>CONCATENATE("Year 7: SFY ",'2. Getting Started'!B$6+6)</f>
        <v>Year 7: SFY 2030</v>
      </c>
      <c r="B56" s="4"/>
      <c r="C56" s="389"/>
      <c r="D56" s="389"/>
      <c r="E56" s="5" t="str">
        <f>CONCATENATE("Year 7: SFY ",'2. Getting Started'!B$6+6)</f>
        <v>Year 7: SFY 2030</v>
      </c>
      <c r="F56" s="4"/>
    </row>
    <row r="57" spans="1:6" ht="15" customHeight="1" x14ac:dyDescent="0.75">
      <c r="A57" s="223" t="str">
        <f>CONCATENATE("Starting MOE Threshold for SFY ",'2. Getting Started'!B$6+6)</f>
        <v>Starting MOE Threshold for SFY 2030</v>
      </c>
      <c r="B57" s="258" t="str">
        <f>IF(F46="Met",F45,F44)</f>
        <v/>
      </c>
      <c r="C57" s="389"/>
      <c r="D57" s="389"/>
      <c r="E57" s="223" t="str">
        <f>CONCATENATE("Starting MOE Threshold for SFY ",'2. Getting Started'!B$6+6)</f>
        <v>Starting MOE Threshold for SFY 2030</v>
      </c>
      <c r="F57" s="258" t="str">
        <f>IF(F54="Met",F53,F52)</f>
        <v/>
      </c>
    </row>
    <row r="58" spans="1:6" ht="15" customHeight="1" x14ac:dyDescent="0.75">
      <c r="A58" s="223" t="str">
        <f>CONCATENATE("SFY ",'2. Getting Started'!B$6+5," + ",'2. Getting Started'!B$6+6," Projected Exceptions")</f>
        <v>SFY 2029 + 2030 Projected Exceptions</v>
      </c>
      <c r="B58" s="258">
        <f>'21. Year 6 Exc &amp; Adj'!B68+'24. Year 7 Exc &amp; Adj'!B68</f>
        <v>0</v>
      </c>
      <c r="C58" s="389"/>
      <c r="D58" s="389"/>
      <c r="E58" s="223" t="str">
        <f>CONCATENATE("SFY ",'2. Getting Started'!B$6+6," Exceptions")</f>
        <v>SFY 2030 Exceptions</v>
      </c>
      <c r="F58" s="258">
        <f>'24. Year 7 Exc &amp; Adj'!I68</f>
        <v>0</v>
      </c>
    </row>
    <row r="59" spans="1:6" ht="15" customHeight="1" x14ac:dyDescent="0.75">
      <c r="A59" s="223" t="str">
        <f>CONCATENATE("SFY ",'2. Getting Started'!B$6+5," + ",'2. Getting Started'!B$6+6," Projected Adjustments")</f>
        <v>SFY 2029 + 2030 Projected Adjustments</v>
      </c>
      <c r="B59" s="258">
        <f>AdjDataYear6Budget[Projected Adjustment]+AdjDataYear7Budget[Projected Adjustment]</f>
        <v>0</v>
      </c>
      <c r="C59" s="389"/>
      <c r="D59" s="389"/>
      <c r="E59" s="223" t="str">
        <f>CONCATENATE("SFY ",'2. Getting Started'!B$6+6," Adjustment")</f>
        <v>SFY 2030 Adjustment</v>
      </c>
      <c r="F59" s="258">
        <f>AdjDataYear7Expenditures[[Adjustment ]]</f>
        <v>0</v>
      </c>
    </row>
    <row r="60" spans="1:6" ht="15" customHeight="1" x14ac:dyDescent="0.75">
      <c r="A60" s="223" t="str">
        <f>CONCATENATE("Adjusted MOE Threshold for SFY ",'2. Getting Started'!B$6+6)</f>
        <v>Adjusted MOE Threshold for SFY 2030</v>
      </c>
      <c r="B60" s="258" t="str">
        <f>IF(B57="","",(B57-B58-B59))</f>
        <v/>
      </c>
      <c r="C60" s="389"/>
      <c r="D60" s="389"/>
      <c r="E60" s="223" t="str">
        <f>CONCATENATE("Adjusted MOE Threshold for SFY ",'2. Getting Started'!B$6+6)</f>
        <v>Adjusted MOE Threshold for SFY 2030</v>
      </c>
      <c r="F60" s="258" t="str">
        <f>IF(F57="","",(F57-F58-F59))</f>
        <v/>
      </c>
    </row>
    <row r="61" spans="1:6" ht="15" customHeight="1" x14ac:dyDescent="0.75">
      <c r="A61" s="223" t="str">
        <f>CONCATENATE("Budgeted Amount for SFY ",'2. Getting Started'!B$6+6)</f>
        <v>Budgeted Amount for SFY 2030</v>
      </c>
      <c r="B61" s="258" t="str">
        <f>'23. Year 7 Amounts'!F30</f>
        <v/>
      </c>
      <c r="C61" s="389"/>
      <c r="D61" s="389"/>
      <c r="E61" s="223" t="str">
        <f>CONCATENATE("Final Expenditures for SFY ",'2. Getting Started'!B$6+6)</f>
        <v>Final Expenditures for SFY 2030</v>
      </c>
      <c r="F61" s="258" t="str">
        <f>'23. Year 7 Amounts'!M30</f>
        <v/>
      </c>
    </row>
    <row r="62" spans="1:6" ht="15" customHeight="1" x14ac:dyDescent="0.75">
      <c r="A62" s="275" t="str">
        <f>CONCATENATE("MOE Result for SFY ",'2. Getting Started'!B$6+6)</f>
        <v>MOE Result for SFY 2030</v>
      </c>
      <c r="B62" s="285" t="str">
        <f>IF(B61="","",IF(B61&gt;=B60,"Met","Did Not Meet"))</f>
        <v/>
      </c>
      <c r="C62" s="389"/>
      <c r="D62" s="389"/>
      <c r="E62" s="275" t="str">
        <f>CONCATENATE("MOE Result for SFY ",'2. Getting Started'!B$6+6)</f>
        <v>MOE Result for SFY 2030</v>
      </c>
      <c r="F62" s="285" t="str">
        <f>IF(F61="","",IF(F61&gt;=F60,"Met","Did Not Meet"))</f>
        <v/>
      </c>
    </row>
    <row r="63" spans="1:6" ht="15" customHeight="1" x14ac:dyDescent="0.75">
      <c r="A63" s="388" t="s">
        <v>175</v>
      </c>
      <c r="B63" s="388"/>
      <c r="C63" s="389"/>
      <c r="D63" s="389"/>
      <c r="E63" s="388" t="s">
        <v>175</v>
      </c>
      <c r="F63" s="388"/>
    </row>
    <row r="64" spans="1:6" ht="15.75" customHeight="1" x14ac:dyDescent="0.8">
      <c r="A64" s="5" t="str">
        <f>CONCATENATE("Year 8: SFY ",'2. Getting Started'!B$6+7)</f>
        <v>Year 8: SFY 2031</v>
      </c>
      <c r="B64" s="4"/>
      <c r="C64" s="389"/>
      <c r="D64" s="389"/>
      <c r="E64" s="5" t="str">
        <f>CONCATENATE("Year 8: SFY ",'2. Getting Started'!B$6+7)</f>
        <v>Year 8: SFY 2031</v>
      </c>
      <c r="F64" s="4"/>
    </row>
    <row r="65" spans="1:6" ht="15" customHeight="1" x14ac:dyDescent="0.75">
      <c r="A65" s="223" t="str">
        <f>CONCATENATE("Starting MOE Threshold for SFY ",'2. Getting Started'!B$6+7)</f>
        <v>Starting MOE Threshold for SFY 2031</v>
      </c>
      <c r="B65" s="258" t="str">
        <f>IF(F54="Met",F53,F52)</f>
        <v/>
      </c>
      <c r="C65" s="389"/>
      <c r="D65" s="389"/>
      <c r="E65" s="223" t="str">
        <f>CONCATENATE("Starting MOE Threshold for SFY ",'2. Getting Started'!B$6+7)</f>
        <v>Starting MOE Threshold for SFY 2031</v>
      </c>
      <c r="F65" s="258" t="str">
        <f>IF(F62="Met",F61,F60)</f>
        <v/>
      </c>
    </row>
    <row r="66" spans="1:6" ht="15" customHeight="1" x14ac:dyDescent="0.75">
      <c r="A66" s="223" t="str">
        <f>CONCATENATE("SFY ",'2. Getting Started'!B$6+6," + ",'2. Getting Started'!B$6+7," Projected Exceptions")</f>
        <v>SFY 2030 + 2031 Projected Exceptions</v>
      </c>
      <c r="B66" s="258">
        <f>'24. Year 7 Exc &amp; Adj'!B68+'27. Year 8 Exc &amp; Adj'!B68</f>
        <v>0</v>
      </c>
      <c r="C66" s="389"/>
      <c r="D66" s="389"/>
      <c r="E66" s="223" t="str">
        <f>CONCATENATE("SFY ",'2. Getting Started'!B$6+7," Exceptions")</f>
        <v>SFY 2031 Exceptions</v>
      </c>
      <c r="F66" s="258">
        <f>'27. Year 8 Exc &amp; Adj'!I68</f>
        <v>0</v>
      </c>
    </row>
    <row r="67" spans="1:6" ht="15" customHeight="1" x14ac:dyDescent="0.75">
      <c r="A67" s="223" t="str">
        <f>CONCATENATE("SFY ",'2. Getting Started'!B$6+6," + ",'2. Getting Started'!B$6+7," Projected Adjustments")</f>
        <v>SFY 2030 + 2031 Projected Adjustments</v>
      </c>
      <c r="B67" s="258">
        <f>AdjDataYear7Budget[Projected Adjustment]+AdjDataYear8Budget[Projected Adjustment]</f>
        <v>0</v>
      </c>
      <c r="C67" s="389"/>
      <c r="D67" s="389"/>
      <c r="E67" s="223" t="str">
        <f>CONCATENATE("SFY ",'2. Getting Started'!B$6+7," Adjustment")</f>
        <v>SFY 2031 Adjustment</v>
      </c>
      <c r="F67" s="258">
        <f>AdjDataYear8Expenditures[[Adjustment ]]</f>
        <v>0</v>
      </c>
    </row>
    <row r="68" spans="1:6" ht="15" customHeight="1" x14ac:dyDescent="0.75">
      <c r="A68" s="223" t="str">
        <f>CONCATENATE("Adjusted MOE Threshold for SFY ",'2. Getting Started'!B$6+7)</f>
        <v>Adjusted MOE Threshold for SFY 2031</v>
      </c>
      <c r="B68" s="258" t="str">
        <f>IF(B65="","",(B65-B66-B67))</f>
        <v/>
      </c>
      <c r="C68" s="389"/>
      <c r="D68" s="389"/>
      <c r="E68" s="223" t="str">
        <f>CONCATENATE("Adjusted MOE Threshold for SFY ",'2. Getting Started'!B$6+7)</f>
        <v>Adjusted MOE Threshold for SFY 2031</v>
      </c>
      <c r="F68" s="258" t="str">
        <f>IF(F65="","",(F65-F66-F67))</f>
        <v/>
      </c>
    </row>
    <row r="69" spans="1:6" ht="15" customHeight="1" x14ac:dyDescent="0.75">
      <c r="A69" s="223" t="str">
        <f>CONCATENATE("Budgeted Amount for SFY ",'2. Getting Started'!B$6+7)</f>
        <v>Budgeted Amount for SFY 2031</v>
      </c>
      <c r="B69" s="258" t="str">
        <f>'26. Year 8 Amounts'!F30</f>
        <v/>
      </c>
      <c r="C69" s="389"/>
      <c r="D69" s="389"/>
      <c r="E69" s="223" t="str">
        <f>CONCATENATE("Final Expenditures for SFY ",'2. Getting Started'!B$6+7)</f>
        <v>Final Expenditures for SFY 2031</v>
      </c>
      <c r="F69" s="258" t="str">
        <f>'26. Year 8 Amounts'!M30</f>
        <v/>
      </c>
    </row>
    <row r="70" spans="1:6" ht="15" customHeight="1" x14ac:dyDescent="0.75">
      <c r="A70" s="275" t="str">
        <f>CONCATENATE("MOE Result for SFY ",'2. Getting Started'!B$6+7)</f>
        <v>MOE Result for SFY 2031</v>
      </c>
      <c r="B70" s="285" t="str">
        <f>IF(B69="","",IF(B69&gt;=B68,"Met","Did Not Meet"))</f>
        <v/>
      </c>
      <c r="C70" s="389"/>
      <c r="D70" s="389"/>
      <c r="E70" s="275" t="str">
        <f>CONCATENATE("MOE Result for SFY ",'2. Getting Started'!B$6+7)</f>
        <v>MOE Result for SFY 2031</v>
      </c>
      <c r="F70" s="285" t="str">
        <f>IF(F69="","",IF(F69&gt;=F68,"Met","Did Not Meet"))</f>
        <v/>
      </c>
    </row>
    <row r="71" spans="1:6" ht="15" customHeight="1" x14ac:dyDescent="0.75">
      <c r="A71" s="388" t="s">
        <v>175</v>
      </c>
      <c r="B71" s="388"/>
      <c r="C71" s="389"/>
      <c r="D71" s="389"/>
      <c r="E71" s="388" t="s">
        <v>175</v>
      </c>
      <c r="F71" s="388"/>
    </row>
    <row r="72" spans="1:6" ht="15.75" customHeight="1" x14ac:dyDescent="0.8">
      <c r="A72" s="5" t="str">
        <f>CONCATENATE("Year 9: SFY ",'2. Getting Started'!B$6+8)</f>
        <v>Year 9: SFY 2032</v>
      </c>
      <c r="B72" s="4"/>
      <c r="C72" s="389"/>
      <c r="D72" s="389"/>
      <c r="E72" s="5" t="str">
        <f>CONCATENATE("Year 9: SFY ",'2. Getting Started'!B$6+8)</f>
        <v>Year 9: SFY 2032</v>
      </c>
      <c r="F72" s="4"/>
    </row>
    <row r="73" spans="1:6" ht="15" customHeight="1" x14ac:dyDescent="0.75">
      <c r="A73" s="223" t="str">
        <f>CONCATENATE("Starting MOE Threshold for SFY ",'2. Getting Started'!B$6+8)</f>
        <v>Starting MOE Threshold for SFY 2032</v>
      </c>
      <c r="B73" s="258" t="str">
        <f>IF(F62="Met",F61,F60)</f>
        <v/>
      </c>
      <c r="C73" s="389"/>
      <c r="D73" s="389"/>
      <c r="E73" s="223" t="str">
        <f>CONCATENATE("Starting MOE Threshold for SFY ",'2. Getting Started'!B$6+8)</f>
        <v>Starting MOE Threshold for SFY 2032</v>
      </c>
      <c r="F73" s="258" t="str">
        <f>IF(F70="Met",F69,F68)</f>
        <v/>
      </c>
    </row>
    <row r="74" spans="1:6" ht="15" customHeight="1" x14ac:dyDescent="0.75">
      <c r="A74" s="223" t="str">
        <f>CONCATENATE("SFY ",'2. Getting Started'!B$6+7," + ",'2. Getting Started'!B$6+8," Projected Exceptions")</f>
        <v>SFY 2031 + 2032 Projected Exceptions</v>
      </c>
      <c r="B74" s="258">
        <f>'27. Year 8 Exc &amp; Adj'!B68+'30. Year 9 Exc &amp; Adj'!B68</f>
        <v>0</v>
      </c>
      <c r="C74" s="389"/>
      <c r="D74" s="389"/>
      <c r="E74" s="223" t="str">
        <f>CONCATENATE("SFY ",'2. Getting Started'!B$6+8," Exceptions")</f>
        <v>SFY 2032 Exceptions</v>
      </c>
      <c r="F74" s="258">
        <f>'30. Year 9 Exc &amp; Adj'!I68</f>
        <v>0</v>
      </c>
    </row>
    <row r="75" spans="1:6" ht="15" customHeight="1" x14ac:dyDescent="0.75">
      <c r="A75" s="223" t="str">
        <f>CONCATENATE("SFY ",'2. Getting Started'!B$6+7," + ",'2. Getting Started'!B$6+8," Projected Adjustments")</f>
        <v>SFY 2031 + 2032 Projected Adjustments</v>
      </c>
      <c r="B75" s="258">
        <f>AdjDataYear8Budget[Projected Adjustment]+AdjDataYear9Budget[Projected Adjustment]</f>
        <v>0</v>
      </c>
      <c r="C75" s="389"/>
      <c r="D75" s="389"/>
      <c r="E75" s="223" t="str">
        <f>CONCATENATE("SFY ",'2. Getting Started'!B$6+8," Adjustment")</f>
        <v>SFY 2032 Adjustment</v>
      </c>
      <c r="F75" s="258">
        <f>AdjDataYear9Expenditures[[Adjustment ]]</f>
        <v>0</v>
      </c>
    </row>
    <row r="76" spans="1:6" ht="15" customHeight="1" x14ac:dyDescent="0.75">
      <c r="A76" s="223" t="str">
        <f>CONCATENATE("Adjusted MOE Threshold for SFY ",'2. Getting Started'!B$6+8)</f>
        <v>Adjusted MOE Threshold for SFY 2032</v>
      </c>
      <c r="B76" s="258" t="str">
        <f>IF(B73="","",(B73-B74-B75))</f>
        <v/>
      </c>
      <c r="C76" s="389"/>
      <c r="D76" s="389"/>
      <c r="E76" s="223" t="str">
        <f>CONCATENATE("Adjusted MOE Threshold for SFY ",'2. Getting Started'!B$6+8)</f>
        <v>Adjusted MOE Threshold for SFY 2032</v>
      </c>
      <c r="F76" s="258" t="str">
        <f>IF(F73="","",(F73-F74-F75))</f>
        <v/>
      </c>
    </row>
    <row r="77" spans="1:6" ht="15" customHeight="1" x14ac:dyDescent="0.75">
      <c r="A77" s="223" t="str">
        <f>CONCATENATE("Budgeted Amount for SFY ",'2. Getting Started'!B$6+8)</f>
        <v>Budgeted Amount for SFY 2032</v>
      </c>
      <c r="B77" s="258" t="str">
        <f>'29. Year 9 Amounts'!F30</f>
        <v/>
      </c>
      <c r="C77" s="389"/>
      <c r="D77" s="389"/>
      <c r="E77" s="223" t="str">
        <f>CONCATENATE("Final Expenditures for SFY ",'2. Getting Started'!B$6+8)</f>
        <v>Final Expenditures for SFY 2032</v>
      </c>
      <c r="F77" s="258" t="str">
        <f>'29. Year 9 Amounts'!M30</f>
        <v/>
      </c>
    </row>
    <row r="78" spans="1:6" ht="15" customHeight="1" x14ac:dyDescent="0.75">
      <c r="A78" s="275" t="str">
        <f>CONCATENATE("MOE Result for SFY ",'2. Getting Started'!B$6+8)</f>
        <v>MOE Result for SFY 2032</v>
      </c>
      <c r="B78" s="285" t="str">
        <f>IF(B77="","",IF(B77&gt;=B76,"Met","Did Not Meet"))</f>
        <v/>
      </c>
      <c r="C78" s="389"/>
      <c r="D78" s="389"/>
      <c r="E78" s="275" t="str">
        <f>CONCATENATE("MOE Result for SFY ",'2. Getting Started'!B$6+8)</f>
        <v>MOE Result for SFY 2032</v>
      </c>
      <c r="F78" s="285" t="str">
        <f>IF(F77="","",IF(F77&gt;=F76,"Met","Did Not Meet"))</f>
        <v/>
      </c>
    </row>
    <row r="79" spans="1:6" ht="15" customHeight="1" x14ac:dyDescent="0.75">
      <c r="A79" s="388" t="s">
        <v>175</v>
      </c>
      <c r="B79" s="388"/>
      <c r="C79" s="389"/>
      <c r="D79" s="389"/>
      <c r="E79" s="388" t="s">
        <v>175</v>
      </c>
      <c r="F79" s="388"/>
    </row>
    <row r="80" spans="1:6" ht="15.75" customHeight="1" x14ac:dyDescent="0.8">
      <c r="A80" s="5" t="str">
        <f>CONCATENATE("Year 10: SFY ",'2. Getting Started'!B$6+9)</f>
        <v>Year 10: SFY 2033</v>
      </c>
      <c r="B80" s="4"/>
      <c r="C80" s="389"/>
      <c r="D80" s="389"/>
      <c r="E80" s="5" t="str">
        <f>CONCATENATE("Year 10: SFY ",'2. Getting Started'!B$6+9)</f>
        <v>Year 10: SFY 2033</v>
      </c>
      <c r="F80" s="4"/>
    </row>
    <row r="81" spans="1:6" ht="15" customHeight="1" x14ac:dyDescent="0.75">
      <c r="A81" s="223" t="str">
        <f>CONCATENATE("Starting MOE Threshold for SFY ",'2. Getting Started'!B$6+9)</f>
        <v>Starting MOE Threshold for SFY 2033</v>
      </c>
      <c r="B81" s="258" t="str">
        <f>IF(F70="Met",F69,F68)</f>
        <v/>
      </c>
      <c r="C81" s="389"/>
      <c r="D81" s="389"/>
      <c r="E81" s="223" t="str">
        <f>CONCATENATE("Starting MOE Threshold for SFY ",'2. Getting Started'!B$6+9)</f>
        <v>Starting MOE Threshold for SFY 2033</v>
      </c>
      <c r="F81" s="258" t="str">
        <f>IF(F78="Met",F77,F76)</f>
        <v/>
      </c>
    </row>
    <row r="82" spans="1:6" ht="15" customHeight="1" x14ac:dyDescent="0.75">
      <c r="A82" s="223" t="str">
        <f>CONCATENATE("SFY ",'2. Getting Started'!B$6+8," + ",'2. Getting Started'!B$6+9," Projected Exceptions")</f>
        <v>SFY 2032 + 2033 Projected Exceptions</v>
      </c>
      <c r="B82" s="258">
        <f>'30. Year 9 Exc &amp; Adj'!B68+'33. Year 10 Exc &amp; Adj'!B68</f>
        <v>0</v>
      </c>
      <c r="C82" s="389"/>
      <c r="D82" s="389"/>
      <c r="E82" s="223" t="str">
        <f>CONCATENATE("SFY ",'2. Getting Started'!B$6+9," Exceptions")</f>
        <v>SFY 2033 Exceptions</v>
      </c>
      <c r="F82" s="258">
        <f>'33. Year 10 Exc &amp; Adj'!I68</f>
        <v>0</v>
      </c>
    </row>
    <row r="83" spans="1:6" ht="15" customHeight="1" x14ac:dyDescent="0.75">
      <c r="A83" s="223" t="str">
        <f>CONCATENATE("SFY ",'2. Getting Started'!B$6+8," + ",'2. Getting Started'!B$6+9," Projected Adjustments")</f>
        <v>SFY 2032 + 2033 Projected Adjustments</v>
      </c>
      <c r="B83" s="258">
        <f>AdjDataYear9Budget[Projected Adjustment]+AdjDataYear10Budget[Projected Adjustment]</f>
        <v>0</v>
      </c>
      <c r="C83" s="389"/>
      <c r="D83" s="389"/>
      <c r="E83" s="223" t="str">
        <f>CONCATENATE("SFY ",'2. Getting Started'!B$6+9," Adjustment")</f>
        <v>SFY 2033 Adjustment</v>
      </c>
      <c r="F83" s="258">
        <f>AdjDataYear10Expenditures[[Adjustment ]]</f>
        <v>0</v>
      </c>
    </row>
    <row r="84" spans="1:6" ht="15" customHeight="1" x14ac:dyDescent="0.75">
      <c r="A84" s="223" t="str">
        <f>CONCATENATE("Adjusted MOE Threshold for SFY ",'2. Getting Started'!B$6+9)</f>
        <v>Adjusted MOE Threshold for SFY 2033</v>
      </c>
      <c r="B84" s="258" t="str">
        <f>IF(B81="","",(B81-B82-B83))</f>
        <v/>
      </c>
      <c r="C84" s="389"/>
      <c r="D84" s="389"/>
      <c r="E84" s="223" t="str">
        <f>CONCATENATE("Adjusted MOE Threshold for SFY ",'2. Getting Started'!B$6+9)</f>
        <v>Adjusted MOE Threshold for SFY 2033</v>
      </c>
      <c r="F84" s="258" t="str">
        <f>IF(F81="","",(F81-F82-F83))</f>
        <v/>
      </c>
    </row>
    <row r="85" spans="1:6" ht="15" customHeight="1" x14ac:dyDescent="0.75">
      <c r="A85" s="223" t="str">
        <f>CONCATENATE("Budgeted Amount for SFY ",'2. Getting Started'!B$6+9)</f>
        <v>Budgeted Amount for SFY 2033</v>
      </c>
      <c r="B85" s="258" t="str">
        <f>'32. Year 10 Amounts'!F30</f>
        <v/>
      </c>
      <c r="C85" s="389"/>
      <c r="D85" s="389"/>
      <c r="E85" s="223" t="str">
        <f>CONCATENATE("Final Expenditures for SFY ",'2. Getting Started'!B$6+9)</f>
        <v>Final Expenditures for SFY 2033</v>
      </c>
      <c r="F85" s="258" t="str">
        <f>'32. Year 10 Amounts'!M30</f>
        <v/>
      </c>
    </row>
    <row r="86" spans="1:6" ht="15" customHeight="1" x14ac:dyDescent="0.75">
      <c r="A86" s="275" t="str">
        <f>CONCATENATE("MOE Result for SFY ",'2. Getting Started'!B$6+9)</f>
        <v>MOE Result for SFY 2033</v>
      </c>
      <c r="B86" s="285" t="str">
        <f>IF(B85="","",IF(B85&gt;=B84,"Met","Did Not Meet"))</f>
        <v/>
      </c>
      <c r="C86" s="389"/>
      <c r="D86" s="389"/>
      <c r="E86" s="275" t="str">
        <f>CONCATENATE("MOE Result for SFY ",'2. Getting Started'!B$6+9)</f>
        <v>MOE Result for SFY 2033</v>
      </c>
      <c r="F86" s="285" t="str">
        <f>IF(F85="","",IF(F85&gt;=F84,"Met","Did Not Meet"))</f>
        <v/>
      </c>
    </row>
    <row r="87" spans="1:6" ht="15" customHeight="1" x14ac:dyDescent="0.75">
      <c r="A87" s="388" t="s">
        <v>175</v>
      </c>
      <c r="B87" s="388"/>
      <c r="C87" s="389"/>
      <c r="D87" s="389"/>
      <c r="E87" s="388" t="s">
        <v>175</v>
      </c>
      <c r="F87" s="388"/>
    </row>
    <row r="88" spans="1:6" ht="15.75" customHeight="1" x14ac:dyDescent="0.8">
      <c r="A88" s="5" t="str">
        <f>CONCATENATE("Year 11: SFY ",'2. Getting Started'!B$6+10)</f>
        <v>Year 11: SFY 2034</v>
      </c>
      <c r="B88" s="4"/>
      <c r="C88" s="389"/>
      <c r="D88" s="389"/>
      <c r="E88" s="5" t="str">
        <f>CONCATENATE("Year 11: SFY ",'2. Getting Started'!B$6+10)</f>
        <v>Year 11: SFY 2034</v>
      </c>
      <c r="F88" s="4"/>
    </row>
    <row r="89" spans="1:6" ht="15" customHeight="1" x14ac:dyDescent="0.75">
      <c r="A89" s="223" t="str">
        <f>CONCATENATE("Starting MOE Threshold for SFY ",'2. Getting Started'!B$6+10)</f>
        <v>Starting MOE Threshold for SFY 2034</v>
      </c>
      <c r="B89" s="258" t="str">
        <f>IF(F78="Met",F77,F76)</f>
        <v/>
      </c>
      <c r="C89" s="389"/>
      <c r="D89" s="389"/>
      <c r="E89" s="390" t="s">
        <v>47</v>
      </c>
      <c r="F89" s="391"/>
    </row>
    <row r="90" spans="1:6" ht="15" customHeight="1" x14ac:dyDescent="0.75">
      <c r="A90" s="223" t="str">
        <f>CONCATENATE("SFY ",'2. Getting Started'!B$6+9," + ",'2. Getting Started'!B$6+10," Projected Exceptions")</f>
        <v>SFY 2033 + 2034 Projected Exceptions</v>
      </c>
      <c r="B90" s="258">
        <f>'33. Year 10 Exc &amp; Adj'!B68+'36. Year 11 Exc &amp; Adj'!B68</f>
        <v>0</v>
      </c>
      <c r="C90" s="389"/>
      <c r="D90" s="389"/>
      <c r="E90" s="392"/>
      <c r="F90" s="393"/>
    </row>
    <row r="91" spans="1:6" ht="15" customHeight="1" x14ac:dyDescent="0.75">
      <c r="A91" s="223" t="str">
        <f>CONCATENATE("SFY ",'2. Getting Started'!B$6+9," + ",'2. Getting Started'!B$6+10," Projected Adjustments")</f>
        <v>SFY 2033 + 2034 Projected Adjustments</v>
      </c>
      <c r="B91" s="258">
        <f>AdjDataYear10Budget[Projected Adjustment]+AdjDataYear11Budget[Projected Adjustment]</f>
        <v>0</v>
      </c>
      <c r="C91" s="389"/>
      <c r="D91" s="389"/>
      <c r="E91" s="392"/>
      <c r="F91" s="393"/>
    </row>
    <row r="92" spans="1:6" ht="15" customHeight="1" x14ac:dyDescent="0.75">
      <c r="A92" s="223" t="str">
        <f>CONCATENATE("Adjusted MOE Threshold for SFY ",'2. Getting Started'!B$6+10)</f>
        <v>Adjusted MOE Threshold for SFY 2034</v>
      </c>
      <c r="B92" s="258" t="str">
        <f>IF(B89="","",(B89-B90-B91))</f>
        <v/>
      </c>
      <c r="C92" s="389"/>
      <c r="D92" s="389"/>
      <c r="E92" s="392"/>
      <c r="F92" s="393"/>
    </row>
    <row r="93" spans="1:6" ht="15" customHeight="1" x14ac:dyDescent="0.75">
      <c r="A93" s="223" t="str">
        <f>CONCATENATE("Budgeted Amount for SFY ",'2. Getting Started'!B$6+10)</f>
        <v>Budgeted Amount for SFY 2034</v>
      </c>
      <c r="B93" s="258" t="str">
        <f>'35. Year 11 Amounts'!F30</f>
        <v/>
      </c>
      <c r="C93" s="389"/>
      <c r="D93" s="389"/>
      <c r="E93" s="392"/>
      <c r="F93" s="393"/>
    </row>
    <row r="94" spans="1:6" ht="15" customHeight="1" x14ac:dyDescent="0.75">
      <c r="A94" s="275" t="str">
        <f>CONCATENATE("MOE Result for SFY ",'2. Getting Started'!B$6+10)</f>
        <v>MOE Result for SFY 2034</v>
      </c>
      <c r="B94" s="285" t="str">
        <f>IF(B93="","",IF(B93&gt;=B92,"Met","Did Not Meet"))</f>
        <v/>
      </c>
      <c r="C94" s="389"/>
      <c r="D94" s="389"/>
      <c r="E94" s="394"/>
      <c r="F94" s="395"/>
    </row>
    <row r="95" spans="1:6" ht="28.5" customHeight="1" x14ac:dyDescent="0.75">
      <c r="A95" s="345" t="s">
        <v>183</v>
      </c>
      <c r="C95" s="355"/>
      <c r="D95" s="355"/>
    </row>
    <row r="96" spans="1:6" ht="15" customHeight="1" x14ac:dyDescent="0.8">
      <c r="A96" s="358" t="s">
        <v>182</v>
      </c>
    </row>
    <row r="97" spans="1:6" x14ac:dyDescent="0.75">
      <c r="A97" s="373" t="s">
        <v>24</v>
      </c>
      <c r="B97" s="373"/>
      <c r="C97" s="373"/>
      <c r="D97" s="373"/>
      <c r="E97" s="373"/>
      <c r="F97" s="373"/>
    </row>
  </sheetData>
  <sheetProtection algorithmName="SHA-512" hashValue="Tl1APMzU9DpoWbkCdr/7cvomszcBQ3wErvXvidFrjgCuAcoUAKGG7fgOCCLNxy+WrB6FvriNkWa9MI6MXKeJnw==" saltValue="JoP8Remm5+rp3Tp+lygJng==" spinCount="100000" sheet="1" objects="1" scenarios="1" formatColumns="0" formatRows="0"/>
  <mergeCells count="25">
    <mergeCell ref="A97:F97"/>
    <mergeCell ref="A87:B87"/>
    <mergeCell ref="E87:F87"/>
    <mergeCell ref="C1:D94"/>
    <mergeCell ref="A63:B63"/>
    <mergeCell ref="E63:F63"/>
    <mergeCell ref="A71:B71"/>
    <mergeCell ref="E71:F71"/>
    <mergeCell ref="A79:B79"/>
    <mergeCell ref="E79:F79"/>
    <mergeCell ref="E89:F94"/>
    <mergeCell ref="A7:B7"/>
    <mergeCell ref="E7:F7"/>
    <mergeCell ref="A15:B15"/>
    <mergeCell ref="E15:F15"/>
    <mergeCell ref="A47:B47"/>
    <mergeCell ref="E47:F47"/>
    <mergeCell ref="A55:B55"/>
    <mergeCell ref="E55:F55"/>
    <mergeCell ref="A23:B23"/>
    <mergeCell ref="E23:F23"/>
    <mergeCell ref="A31:B31"/>
    <mergeCell ref="E31:F31"/>
    <mergeCell ref="A39:B39"/>
    <mergeCell ref="E39:F39"/>
  </mergeCells>
  <conditionalFormatting sqref="B22">
    <cfRule type="containsText" dxfId="119" priority="40" operator="containsText" text="Met">
      <formula>NOT(ISERROR(SEARCH("Met",B22)))</formula>
    </cfRule>
    <cfRule type="containsText" dxfId="118" priority="39" operator="containsText" text="Did Not Meet">
      <formula>NOT(ISERROR(SEARCH("Did Not Meet",B22)))</formula>
    </cfRule>
  </conditionalFormatting>
  <conditionalFormatting sqref="B30">
    <cfRule type="containsText" dxfId="117" priority="38" operator="containsText" text="Met">
      <formula>NOT(ISERROR(SEARCH("Met",B30)))</formula>
    </cfRule>
    <cfRule type="containsText" dxfId="116" priority="37" operator="containsText" text="Did Not Meet">
      <formula>NOT(ISERROR(SEARCH("Did Not Meet",B30)))</formula>
    </cfRule>
  </conditionalFormatting>
  <conditionalFormatting sqref="B38">
    <cfRule type="containsText" dxfId="115" priority="36" operator="containsText" text="Met">
      <formula>NOT(ISERROR(SEARCH("Met",B38)))</formula>
    </cfRule>
    <cfRule type="containsText" dxfId="114" priority="35" operator="containsText" text="Did Not Meet">
      <formula>NOT(ISERROR(SEARCH("Did Not Meet",B38)))</formula>
    </cfRule>
  </conditionalFormatting>
  <conditionalFormatting sqref="B46">
    <cfRule type="containsText" dxfId="113" priority="34" operator="containsText" text="Met">
      <formula>NOT(ISERROR(SEARCH("Met",B46)))</formula>
    </cfRule>
    <cfRule type="containsText" dxfId="112" priority="33" operator="containsText" text="Did Not Meet">
      <formula>NOT(ISERROR(SEARCH("Did Not Meet",B46)))</formula>
    </cfRule>
  </conditionalFormatting>
  <conditionalFormatting sqref="B54">
    <cfRule type="containsText" dxfId="111" priority="32" operator="containsText" text="Met">
      <formula>NOT(ISERROR(SEARCH("Met",B54)))</formula>
    </cfRule>
    <cfRule type="containsText" dxfId="110" priority="31" operator="containsText" text="Did Not Meet">
      <formula>NOT(ISERROR(SEARCH("Did Not Meet",B54)))</formula>
    </cfRule>
  </conditionalFormatting>
  <conditionalFormatting sqref="B62">
    <cfRule type="containsText" dxfId="109" priority="30" operator="containsText" text="Met">
      <formula>NOT(ISERROR(SEARCH("Met",B62)))</formula>
    </cfRule>
    <cfRule type="containsText" dxfId="108" priority="29" operator="containsText" text="Did Not Meet">
      <formula>NOT(ISERROR(SEARCH("Did Not Meet",B62)))</formula>
    </cfRule>
  </conditionalFormatting>
  <conditionalFormatting sqref="B70">
    <cfRule type="containsText" dxfId="107" priority="28" operator="containsText" text="Met">
      <formula>NOT(ISERROR(SEARCH("Met",B70)))</formula>
    </cfRule>
    <cfRule type="containsText" dxfId="106" priority="27" operator="containsText" text="Did Not Meet">
      <formula>NOT(ISERROR(SEARCH("Did Not Meet",B70)))</formula>
    </cfRule>
  </conditionalFormatting>
  <conditionalFormatting sqref="B78">
    <cfRule type="containsText" dxfId="105" priority="26" operator="containsText" text="Met">
      <formula>NOT(ISERROR(SEARCH("Met",B78)))</formula>
    </cfRule>
    <cfRule type="containsText" dxfId="104" priority="25" operator="containsText" text="Did Not Meet">
      <formula>NOT(ISERROR(SEARCH("Did Not Meet",B78)))</formula>
    </cfRule>
  </conditionalFormatting>
  <conditionalFormatting sqref="B86">
    <cfRule type="containsText" dxfId="103" priority="24" operator="containsText" text="Met">
      <formula>NOT(ISERROR(SEARCH("Met",B86)))</formula>
    </cfRule>
    <cfRule type="containsText" dxfId="102" priority="23" operator="containsText" text="Did Not Meet">
      <formula>NOT(ISERROR(SEARCH("Did Not Meet",B86)))</formula>
    </cfRule>
  </conditionalFormatting>
  <conditionalFormatting sqref="B94">
    <cfRule type="containsText" dxfId="101" priority="21" operator="containsText" text="Did Not Meet">
      <formula>NOT(ISERROR(SEARCH("Did Not Meet",B94)))</formula>
    </cfRule>
    <cfRule type="containsText" dxfId="100" priority="22" operator="containsText" text="Met">
      <formula>NOT(ISERROR(SEARCH("Met",B94)))</formula>
    </cfRule>
  </conditionalFormatting>
  <conditionalFormatting sqref="F14">
    <cfRule type="containsText" dxfId="99" priority="20" operator="containsText" text="Met">
      <formula>NOT(ISERROR(SEARCH("Met",F14)))</formula>
    </cfRule>
    <cfRule type="containsText" dxfId="98" priority="19" operator="containsText" text="Did Not Meet">
      <formula>NOT(ISERROR(SEARCH("Did Not Meet",F14)))</formula>
    </cfRule>
  </conditionalFormatting>
  <conditionalFormatting sqref="F22">
    <cfRule type="containsText" dxfId="97" priority="18" operator="containsText" text="Met">
      <formula>NOT(ISERROR(SEARCH("Met",F22)))</formula>
    </cfRule>
    <cfRule type="containsText" dxfId="96" priority="17" operator="containsText" text="Did Not Meet">
      <formula>NOT(ISERROR(SEARCH("Did Not Meet",F22)))</formula>
    </cfRule>
  </conditionalFormatting>
  <conditionalFormatting sqref="F30">
    <cfRule type="containsText" dxfId="95" priority="16" operator="containsText" text="Met">
      <formula>NOT(ISERROR(SEARCH("Met",F30)))</formula>
    </cfRule>
    <cfRule type="containsText" dxfId="94" priority="15" operator="containsText" text="Did Not Meet">
      <formula>NOT(ISERROR(SEARCH("Did Not Meet",F30)))</formula>
    </cfRule>
  </conditionalFormatting>
  <conditionalFormatting sqref="F38">
    <cfRule type="containsText" dxfId="93" priority="14" operator="containsText" text="Met">
      <formula>NOT(ISERROR(SEARCH("Met",F38)))</formula>
    </cfRule>
    <cfRule type="containsText" dxfId="92" priority="13" operator="containsText" text="Did Not Meet">
      <formula>NOT(ISERROR(SEARCH("Did Not Meet",F38)))</formula>
    </cfRule>
  </conditionalFormatting>
  <conditionalFormatting sqref="F46">
    <cfRule type="containsText" dxfId="91" priority="12" operator="containsText" text="Met">
      <formula>NOT(ISERROR(SEARCH("Met",F46)))</formula>
    </cfRule>
    <cfRule type="containsText" dxfId="90" priority="11" operator="containsText" text="Did Not Meet">
      <formula>NOT(ISERROR(SEARCH("Did Not Meet",F46)))</formula>
    </cfRule>
  </conditionalFormatting>
  <conditionalFormatting sqref="F54">
    <cfRule type="containsText" dxfId="89" priority="10" operator="containsText" text="Met">
      <formula>NOT(ISERROR(SEARCH("Met",F54)))</formula>
    </cfRule>
    <cfRule type="containsText" dxfId="88" priority="9" operator="containsText" text="Did Not Meet">
      <formula>NOT(ISERROR(SEARCH("Did Not Meet",F54)))</formula>
    </cfRule>
  </conditionalFormatting>
  <conditionalFormatting sqref="F62">
    <cfRule type="containsText" dxfId="87" priority="8" operator="containsText" text="Met">
      <formula>NOT(ISERROR(SEARCH("Met",F62)))</formula>
    </cfRule>
    <cfRule type="containsText" dxfId="86" priority="7" operator="containsText" text="Did Not Meet">
      <formula>NOT(ISERROR(SEARCH("Did Not Meet",F62)))</formula>
    </cfRule>
  </conditionalFormatting>
  <conditionalFormatting sqref="F70">
    <cfRule type="containsText" dxfId="85" priority="6" operator="containsText" text="Met">
      <formula>NOT(ISERROR(SEARCH("Met",F70)))</formula>
    </cfRule>
    <cfRule type="containsText" dxfId="84" priority="5" operator="containsText" text="Did Not Meet">
      <formula>NOT(ISERROR(SEARCH("Did Not Meet",F70)))</formula>
    </cfRule>
  </conditionalFormatting>
  <conditionalFormatting sqref="F78">
    <cfRule type="containsText" dxfId="83" priority="3" operator="containsText" text="Did Not Meet">
      <formula>NOT(ISERROR(SEARCH("Did Not Meet",F78)))</formula>
    </cfRule>
    <cfRule type="containsText" dxfId="82" priority="4" operator="containsText" text="Met">
      <formula>NOT(ISERROR(SEARCH("Met",F78)))</formula>
    </cfRule>
  </conditionalFormatting>
  <conditionalFormatting sqref="F86">
    <cfRule type="containsText" dxfId="81" priority="2" operator="containsText" text="Met">
      <formula>NOT(ISERROR(SEARCH("Met",F86)))</formula>
    </cfRule>
    <cfRule type="containsText" dxfId="80" priority="1" operator="containsText" text="Did Not Meet">
      <formula>NOT(ISERROR(SEARCH("Did Not Meet",F86)))</formula>
    </cfRule>
  </conditionalFormatting>
  <hyperlinks>
    <hyperlink ref="A96" r:id="rId1" xr:uid="{D865F886-C9F8-498D-B3A2-DD860D77D59E}"/>
  </hyperlinks>
  <pageMargins left="0.7" right="0.7" top="0.75" bottom="0.75" header="0.3" footer="0.3"/>
  <pageSetup orientation="portrait" r:id="rId2"/>
  <tableParts count="2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theme="7"/>
  </sheetPr>
  <dimension ref="A1:I98"/>
  <sheetViews>
    <sheetView showGridLines="0" zoomScaleNormal="100" workbookViewId="0">
      <selection activeCell="A10" sqref="A10"/>
    </sheetView>
  </sheetViews>
  <sheetFormatPr defaultColWidth="0" defaultRowHeight="14.75" zeroHeight="1" x14ac:dyDescent="0.75"/>
  <cols>
    <col min="1" max="1" width="45.1328125" customWidth="1"/>
    <col min="2" max="2" width="25.86328125" bestFit="1" customWidth="1"/>
    <col min="3" max="4" width="9.1328125" customWidth="1"/>
    <col min="5" max="5" width="46.26953125" customWidth="1"/>
    <col min="6" max="6" width="26.1328125" bestFit="1" customWidth="1"/>
    <col min="7" max="7" width="0.86328125" customWidth="1"/>
    <col min="8" max="8" width="27" hidden="1" customWidth="1"/>
    <col min="9" max="9" width="9.1328125" hidden="1" customWidth="1"/>
    <col min="10" max="16384" width="9.1328125" hidden="1"/>
  </cols>
  <sheetData>
    <row r="1" spans="1:9" ht="45" customHeight="1" x14ac:dyDescent="0.75">
      <c r="A1" s="303" t="s">
        <v>179</v>
      </c>
      <c r="B1" s="305"/>
      <c r="C1" s="396" t="s">
        <v>175</v>
      </c>
      <c r="D1" s="396"/>
      <c r="E1" s="21" t="s">
        <v>14</v>
      </c>
      <c r="F1" s="20" t="str">
        <f>IF('2. Getting Started'!B2="","",'2. Getting Started'!B2)</f>
        <v/>
      </c>
    </row>
    <row r="2" spans="1:9" ht="18.75" customHeight="1" x14ac:dyDescent="0.9">
      <c r="A2" s="18" t="s">
        <v>13</v>
      </c>
      <c r="B2" s="4"/>
      <c r="C2" s="396"/>
      <c r="D2" s="396"/>
      <c r="E2" s="18" t="s">
        <v>6</v>
      </c>
      <c r="F2" s="4"/>
      <c r="H2" s="2" t="s">
        <v>12</v>
      </c>
    </row>
    <row r="3" spans="1:9" ht="39" customHeight="1" x14ac:dyDescent="0.8">
      <c r="A3" s="16" t="str">
        <f>CONCATENATE("Prior to Year 1: SFY ",'2. Getting Started'!B6)</f>
        <v>Prior to Year 1: SFY 2024</v>
      </c>
      <c r="B3" s="16"/>
      <c r="C3" s="396"/>
      <c r="D3" s="396"/>
      <c r="E3" s="16" t="str">
        <f>CONCATENATE("Prior to Year 1: SFY ",'2. Getting Started'!B6)</f>
        <v>Prior to Year 1: SFY 2024</v>
      </c>
      <c r="F3" s="16"/>
      <c r="H3" s="2"/>
    </row>
    <row r="4" spans="1:9" ht="29.5" x14ac:dyDescent="0.75">
      <c r="A4" s="224" t="str">
        <f>CONCATENATE("Last year before SFY ",'2. Getting Started'!B6," that the compliance standard was met for local funds per capita")</f>
        <v>Last year before SFY 2024 that the compliance standard was met for local funds per capita</v>
      </c>
      <c r="B4" s="257" t="str">
        <f>IF('2. Getting Started'!B12="","",'2. Getting Started'!B12)</f>
        <v/>
      </c>
      <c r="C4" s="396"/>
      <c r="D4" s="396"/>
      <c r="E4" s="224" t="str">
        <f>CONCATENATE("Last year before SFY ",'2. Getting Started'!B6," that the compliance standard was met for local funds per capita")</f>
        <v>Last year before SFY 2024 that the compliance standard was met for local funds per capita</v>
      </c>
      <c r="F4" s="257" t="str">
        <f>IF('2. Getting Started'!B12="","",'2. Getting Started'!B12)</f>
        <v/>
      </c>
      <c r="H4" s="1" t="s">
        <v>21</v>
      </c>
      <c r="I4">
        <f>'2. Getting Started'!B6-'2. Getting Started'!B12</f>
        <v>2024</v>
      </c>
    </row>
    <row r="5" spans="1:9" ht="15" customHeight="1" x14ac:dyDescent="0.75">
      <c r="A5" s="223" t="s">
        <v>1</v>
      </c>
      <c r="B5" s="258" t="str">
        <f>IF('2. Getting Started'!C12="","",'2. Getting Started'!C12)</f>
        <v/>
      </c>
      <c r="C5" s="396"/>
      <c r="D5" s="396"/>
      <c r="E5" s="223" t="s">
        <v>1</v>
      </c>
      <c r="F5" s="258" t="str">
        <f>IF('2. Getting Started'!C12="","",'2. Getting Started'!C12)</f>
        <v/>
      </c>
    </row>
    <row r="6" spans="1:9" ht="15" customHeight="1" x14ac:dyDescent="0.75">
      <c r="A6" s="223" t="s">
        <v>116</v>
      </c>
      <c r="B6" s="286" t="str">
        <f>IF('2. Getting Started'!D12="","",'2. Getting Started'!D12)</f>
        <v/>
      </c>
      <c r="C6" s="396"/>
      <c r="D6" s="396"/>
      <c r="E6" s="223" t="s">
        <v>116</v>
      </c>
      <c r="F6" s="286" t="str">
        <f>IF('2. Getting Started'!D12="","",'2. Getting Started'!D12)</f>
        <v/>
      </c>
    </row>
    <row r="7" spans="1:9" ht="15" customHeight="1" x14ac:dyDescent="0.75">
      <c r="A7" s="228" t="s">
        <v>5</v>
      </c>
      <c r="B7" s="261" t="str">
        <f>IF(B6="","",IF(I4=1,0,IF(I4&gt;1,(VLOOKUP(I4,'3a. Intervening Years'!I4:K22,2)/B6))))</f>
        <v/>
      </c>
      <c r="C7" s="396"/>
      <c r="D7" s="396"/>
      <c r="E7" s="228" t="s">
        <v>5</v>
      </c>
      <c r="F7" s="261" t="str">
        <f>IF(F6="","",IF(I4=1,0,IF(I4&gt;1,(VLOOKUP(I4,'3a. Intervening Years'!I4:K22,2)/F6))))</f>
        <v/>
      </c>
    </row>
    <row r="8" spans="1:9" ht="15" customHeight="1" x14ac:dyDescent="0.75">
      <c r="A8" s="388" t="s">
        <v>175</v>
      </c>
      <c r="B8" s="388"/>
      <c r="C8" s="396"/>
      <c r="D8" s="396"/>
      <c r="E8" s="388" t="s">
        <v>175</v>
      </c>
      <c r="F8" s="388"/>
    </row>
    <row r="9" spans="1:9" ht="15.75" customHeight="1" x14ac:dyDescent="0.8">
      <c r="A9" s="5" t="str">
        <f>CONCATENATE("Year 1: SFY ",'2. Getting Started'!B$6)</f>
        <v>Year 1: SFY 2024</v>
      </c>
      <c r="B9" s="4"/>
      <c r="C9" s="396"/>
      <c r="D9" s="396"/>
      <c r="E9" s="5" t="str">
        <f>CONCATENATE("Year 1: SFY ",'2. Getting Started'!B$6)</f>
        <v>Year 1: SFY 2024</v>
      </c>
      <c r="F9" s="4"/>
    </row>
    <row r="10" spans="1:9" ht="15" customHeight="1" x14ac:dyDescent="0.75">
      <c r="A10" s="365" t="s">
        <v>185</v>
      </c>
      <c r="B10" s="360"/>
      <c r="C10" s="396"/>
      <c r="D10" s="396"/>
      <c r="E10" s="223" t="str">
        <f>CONCATENATE("Starting MOE Threshold for SFY ",'2. Getting Started'!B$6)</f>
        <v>Starting MOE Threshold for SFY 2024</v>
      </c>
      <c r="F10" s="258" t="str">
        <f>IF(F5="","",(F5-F7))</f>
        <v/>
      </c>
    </row>
    <row r="11" spans="1:9" ht="15" customHeight="1" x14ac:dyDescent="0.75">
      <c r="A11" s="366" t="s">
        <v>186</v>
      </c>
      <c r="B11" s="362"/>
      <c r="C11" s="396"/>
      <c r="D11" s="396"/>
      <c r="E11" s="223" t="str">
        <f>CONCATENATE("SFY ",'2. Getting Started'!B$6," Exceptions")</f>
        <v>SFY 2024 Exceptions</v>
      </c>
      <c r="F11" s="258" t="str">
        <f>IF(F6="","",('6. Year 1 Exc &amp; Adj'!I67/F6))</f>
        <v/>
      </c>
    </row>
    <row r="12" spans="1:9" ht="15" customHeight="1" x14ac:dyDescent="0.75">
      <c r="A12" s="361" t="s">
        <v>187</v>
      </c>
      <c r="B12" s="362"/>
      <c r="C12" s="396"/>
      <c r="D12" s="396"/>
      <c r="E12" s="223" t="str">
        <f>CONCATENATE("SFY ",'2. Getting Started'!B$6," Adjustment")</f>
        <v>SFY 2024 Adjustment</v>
      </c>
      <c r="F12" s="258" t="str">
        <f>IF(F6="","",(AdjDataYear1Expenditures[[Adjustment ]]/F6))</f>
        <v/>
      </c>
    </row>
    <row r="13" spans="1:9" ht="15" customHeight="1" x14ac:dyDescent="0.75">
      <c r="A13" s="361"/>
      <c r="B13" s="362"/>
      <c r="C13" s="396"/>
      <c r="D13" s="396"/>
      <c r="E13" s="223" t="str">
        <f>CONCATENATE("Adjusted MOE Threshold for SFY ",'2. Getting Started'!B$6)</f>
        <v>Adjusted MOE Threshold for SFY 2024</v>
      </c>
      <c r="F13" s="258" t="str">
        <f>IF(F10="","",(F10-F11-F12))</f>
        <v/>
      </c>
    </row>
    <row r="14" spans="1:9" ht="15" customHeight="1" x14ac:dyDescent="0.75">
      <c r="A14" s="361"/>
      <c r="B14" s="362"/>
      <c r="C14" s="396"/>
      <c r="D14" s="396"/>
      <c r="E14" s="223" t="str">
        <f>CONCATENATE("Final Expenditures for SFY ",'2. Getting Started'!B$6)</f>
        <v>Final Expenditures for SFY 2024</v>
      </c>
      <c r="F14" s="258" t="str">
        <f>IF('5. Year 1 Amounts'!K30="","",'5. Year 1 Amounts'!K31)</f>
        <v/>
      </c>
    </row>
    <row r="15" spans="1:9" ht="15" customHeight="1" x14ac:dyDescent="0.75">
      <c r="A15" s="363"/>
      <c r="B15" s="364"/>
      <c r="C15" s="396"/>
      <c r="D15" s="396"/>
      <c r="E15" s="275" t="str">
        <f>CONCATENATE("MOE Result for SFY ",'2. Getting Started'!B$6)</f>
        <v>MOE Result for SFY 2024</v>
      </c>
      <c r="F15" s="285" t="str">
        <f>IF(F14="","",IF(F14&gt;=F13,"Met","Did Not Meet"))</f>
        <v/>
      </c>
    </row>
    <row r="16" spans="1:9" ht="15" customHeight="1" x14ac:dyDescent="0.75">
      <c r="A16" s="388" t="s">
        <v>175</v>
      </c>
      <c r="B16" s="388"/>
      <c r="C16" s="396"/>
      <c r="D16" s="396"/>
      <c r="E16" s="388" t="s">
        <v>175</v>
      </c>
      <c r="F16" s="388"/>
    </row>
    <row r="17" spans="1:9" ht="15.75" customHeight="1" x14ac:dyDescent="0.8">
      <c r="A17" s="5" t="str">
        <f>CONCATENATE("Year 2: SFY ",'2. Getting Started'!B$6+1)</f>
        <v>Year 2: SFY 2025</v>
      </c>
      <c r="B17" s="4"/>
      <c r="C17" s="396"/>
      <c r="D17" s="396"/>
      <c r="E17" s="5" t="str">
        <f>CONCATENATE("Year 2: SFY ",'2. Getting Started'!B$6+1)</f>
        <v>Year 2: SFY 2025</v>
      </c>
      <c r="F17" s="4"/>
    </row>
    <row r="18" spans="1:9" ht="15" customHeight="1" x14ac:dyDescent="0.75">
      <c r="A18" s="223" t="str">
        <f>CONCATENATE("Starting MOE Threshold for SFY ",'2. Getting Started'!B$6+1)</f>
        <v>Starting MOE Threshold for SFY 2025</v>
      </c>
      <c r="B18" s="258" t="str">
        <f>IF(B5="","",(B5-B7))</f>
        <v/>
      </c>
      <c r="C18" s="396"/>
      <c r="D18" s="396"/>
      <c r="E18" s="223" t="str">
        <f>CONCATENATE("Starting MOE Threshold for SFY ",'2. Getting Started'!B$6+1)</f>
        <v>Starting MOE Threshold for SFY 2025</v>
      </c>
      <c r="F18" s="258" t="str">
        <f>IF(F15="Met",F14,F13)</f>
        <v/>
      </c>
    </row>
    <row r="19" spans="1:9" ht="15" customHeight="1" x14ac:dyDescent="0.75">
      <c r="A19" s="223" t="str">
        <f>CONCATENATE("SFY ",'2. Getting Started'!B$6," + ",'2. Getting Started'!B$6+1," Projected Exceptions")</f>
        <v>SFY 2024 + 2025 Projected Exceptions</v>
      </c>
      <c r="B19" s="258" t="str">
        <f>IF(B6="","",(('6. Year 1 Exc &amp; Adj'!B67+'9. Year 2 Exc &amp; Adj'!B67)/B6))</f>
        <v/>
      </c>
      <c r="C19" s="396"/>
      <c r="D19" s="396"/>
      <c r="E19" s="223" t="str">
        <f>CONCATENATE("SFY ",'2. Getting Started'!B$6+1," Exceptions")</f>
        <v>SFY 2025 Exceptions</v>
      </c>
      <c r="F19" s="258" t="str">
        <f>IF(F6="","",('9. Year 2 Exc &amp; Adj'!I67/I19))</f>
        <v/>
      </c>
      <c r="H19" t="s">
        <v>118</v>
      </c>
      <c r="I19" t="str">
        <f>IF(F15="Met",'5. Year 1 Amounts'!I1,F6)</f>
        <v/>
      </c>
    </row>
    <row r="20" spans="1:9" ht="15" customHeight="1" x14ac:dyDescent="0.75">
      <c r="A20" s="223" t="str">
        <f>CONCATENATE("SFY ",'2. Getting Started'!B$6," + ",'2. Getting Started'!B$6+1," Projected Adjustments")</f>
        <v>SFY 2024 + 2025 Projected Adjustments</v>
      </c>
      <c r="B20" s="258" t="str">
        <f>IF(B6="","",((AdjDataYear1Budget[Projected Adjustment]+AdjDataYear2Budget[Projected Adjustment])/B6))</f>
        <v/>
      </c>
      <c r="C20" s="396"/>
      <c r="D20" s="396"/>
      <c r="E20" s="223" t="str">
        <f>CONCATENATE("SFY ",'2. Getting Started'!B$6+1," Adjustment")</f>
        <v>SFY 2025 Adjustment</v>
      </c>
      <c r="F20" s="258" t="str">
        <f>IF(F6="","",(AdjDataYear2Expenditures[[Adjustment ]]/I19))</f>
        <v/>
      </c>
    </row>
    <row r="21" spans="1:9" ht="15" customHeight="1" x14ac:dyDescent="0.75">
      <c r="A21" s="223" t="str">
        <f>CONCATENATE("Adjusted MOE Threshold for SFY ",'2. Getting Started'!B$6+1)</f>
        <v>Adjusted MOE Threshold for SFY 2025</v>
      </c>
      <c r="B21" s="258" t="str">
        <f>IF(B18="","",(B18-B19-B20))</f>
        <v/>
      </c>
      <c r="C21" s="396"/>
      <c r="D21" s="396"/>
      <c r="E21" s="223" t="str">
        <f>CONCATENATE("Adjusted MOE Threshold for SFY ",'2. Getting Started'!B$6+1)</f>
        <v>Adjusted MOE Threshold for SFY 2025</v>
      </c>
      <c r="F21" s="258" t="str">
        <f>IF(F18="","",(F18-F19-F20))</f>
        <v/>
      </c>
    </row>
    <row r="22" spans="1:9" ht="15" customHeight="1" x14ac:dyDescent="0.75">
      <c r="A22" s="223" t="str">
        <f>CONCATENATE("Budgeted Amount for SFY ",'2. Getting Started'!B$6+1)</f>
        <v>Budgeted Amount for SFY 2025</v>
      </c>
      <c r="B22" s="258" t="str">
        <f>'8. Year 2 Amounts'!D31</f>
        <v/>
      </c>
      <c r="C22" s="396"/>
      <c r="D22" s="396"/>
      <c r="E22" s="223" t="str">
        <f>CONCATENATE("Final Expenditures for SFY ",'2. Getting Started'!B$6+1)</f>
        <v>Final Expenditures for SFY 2025</v>
      </c>
      <c r="F22" s="258" t="str">
        <f>'8. Year 2 Amounts'!K31</f>
        <v/>
      </c>
    </row>
    <row r="23" spans="1:9" ht="15" customHeight="1" x14ac:dyDescent="0.75">
      <c r="A23" s="275" t="str">
        <f>CONCATENATE("MOE Result for SFY ",'2. Getting Started'!B$6+1)</f>
        <v>MOE Result for SFY 2025</v>
      </c>
      <c r="B23" s="285" t="str">
        <f>IF(B22="","",IF(B22&gt;=B21,"Met","Did Not Meet"))</f>
        <v/>
      </c>
      <c r="C23" s="396"/>
      <c r="D23" s="396"/>
      <c r="E23" s="275" t="str">
        <f>CONCATENATE("MOE Result for SFY ",'2. Getting Started'!B$6+1)</f>
        <v>MOE Result for SFY 2025</v>
      </c>
      <c r="F23" s="285" t="str">
        <f>IF(F22="","",IF(F22&gt;=F21,"Met","Did Not Meet"))</f>
        <v/>
      </c>
    </row>
    <row r="24" spans="1:9" ht="15" customHeight="1" x14ac:dyDescent="0.75">
      <c r="A24" s="388" t="s">
        <v>175</v>
      </c>
      <c r="B24" s="388"/>
      <c r="C24" s="396"/>
      <c r="D24" s="396"/>
      <c r="E24" s="388" t="s">
        <v>175</v>
      </c>
      <c r="F24" s="388"/>
    </row>
    <row r="25" spans="1:9" ht="15.75" customHeight="1" x14ac:dyDescent="0.8">
      <c r="A25" s="5" t="str">
        <f>CONCATENATE("Year 3: SFY ",'2. Getting Started'!B$6+2)</f>
        <v>Year 3: SFY 2026</v>
      </c>
      <c r="B25" s="4"/>
      <c r="C25" s="396"/>
      <c r="D25" s="396"/>
      <c r="E25" s="5" t="str">
        <f>CONCATENATE("Year 3: SFY ",'2. Getting Started'!B$6+2)</f>
        <v>Year 3: SFY 2026</v>
      </c>
      <c r="F25" s="4"/>
    </row>
    <row r="26" spans="1:9" ht="15" customHeight="1" x14ac:dyDescent="0.75">
      <c r="A26" s="223" t="str">
        <f>CONCATENATE("Starting MOE Threshold for SFY ",'2. Getting Started'!B$6+2)</f>
        <v>Starting MOE Threshold for SFY 2026</v>
      </c>
      <c r="B26" s="258" t="str">
        <f>IF(F15="Met",F14,F13)</f>
        <v/>
      </c>
      <c r="C26" s="396"/>
      <c r="D26" s="396"/>
      <c r="E26" s="223" t="str">
        <f>CONCATENATE("Starting MOE Threshold for SFY ",'2. Getting Started'!B$6+2)</f>
        <v>Starting MOE Threshold for SFY 2026</v>
      </c>
      <c r="F26" s="258" t="str">
        <f>IF(F23="Met",F22,F21)</f>
        <v/>
      </c>
    </row>
    <row r="27" spans="1:9" ht="15" customHeight="1" x14ac:dyDescent="0.75">
      <c r="A27" s="223" t="str">
        <f>CONCATENATE("SFY ",'2. Getting Started'!B$6+1," + ",'2. Getting Started'!B$6+2," Projected Exceptions")</f>
        <v>SFY 2025 + 2026 Projected Exceptions</v>
      </c>
      <c r="B27" s="258" t="str">
        <f>IF(B6="","",(('9. Year 2 Exc &amp; Adj'!B67+'12. Year 3 Exc &amp; Adj'!B67)/I19))</f>
        <v/>
      </c>
      <c r="C27" s="396"/>
      <c r="D27" s="396"/>
      <c r="E27" s="223" t="str">
        <f>CONCATENATE("SFY ",'2. Getting Started'!B$6+2," Exceptions")</f>
        <v>SFY 2026 Exceptions</v>
      </c>
      <c r="F27" s="258" t="str">
        <f>IF(F6="","",('12. Year 3 Exc &amp; Adj'!I67/I27))</f>
        <v/>
      </c>
      <c r="H27" t="s">
        <v>118</v>
      </c>
      <c r="I27" t="str">
        <f>IF(F23="Met",'8. Year 2 Amounts'!I1,IF(F15="Met",'5. Year 1 Amounts'!I1,F6))</f>
        <v/>
      </c>
    </row>
    <row r="28" spans="1:9" ht="15" customHeight="1" x14ac:dyDescent="0.75">
      <c r="A28" s="223" t="str">
        <f>CONCATENATE("SFY ",'2. Getting Started'!B$6+1," + ",'2. Getting Started'!B$6+2," Projected Adjustments")</f>
        <v>SFY 2025 + 2026 Projected Adjustments</v>
      </c>
      <c r="B28" s="258" t="str">
        <f>IF(B6="","",((AdjDataYear2Budget[Projected Adjustment]+AdjDataYear3Budget[Projected Adjustment])/I19))</f>
        <v/>
      </c>
      <c r="C28" s="396"/>
      <c r="D28" s="396"/>
      <c r="E28" s="223" t="str">
        <f>CONCATENATE("SFY ",'2. Getting Started'!B$6+2," Adjustment")</f>
        <v>SFY 2026 Adjustment</v>
      </c>
      <c r="F28" s="258" t="str">
        <f>IF(F6="","",(AdjDataYear3Expenditures[[Adjustment ]]/I19))</f>
        <v/>
      </c>
    </row>
    <row r="29" spans="1:9" ht="15" customHeight="1" x14ac:dyDescent="0.75">
      <c r="A29" s="223" t="str">
        <f>CONCATENATE("Adjusted MOE Threshold for SFY ",'2. Getting Started'!B$6+2)</f>
        <v>Adjusted MOE Threshold for SFY 2026</v>
      </c>
      <c r="B29" s="258" t="str">
        <f>IF(B26="","",(B26-B27-B28))</f>
        <v/>
      </c>
      <c r="C29" s="396"/>
      <c r="D29" s="396"/>
      <c r="E29" s="223" t="str">
        <f>CONCATENATE("Adjusted MOE Threshold for SFY ",'2. Getting Started'!B$6+2)</f>
        <v>Adjusted MOE Threshold for SFY 2026</v>
      </c>
      <c r="F29" s="258" t="str">
        <f>IF(F26="","",(F26-F27-F28))</f>
        <v/>
      </c>
    </row>
    <row r="30" spans="1:9" ht="15" customHeight="1" x14ac:dyDescent="0.75">
      <c r="A30" s="223" t="str">
        <f>CONCATENATE("Budgeted Amount for SFY ",'2. Getting Started'!B$6+2)</f>
        <v>Budgeted Amount for SFY 2026</v>
      </c>
      <c r="B30" s="258" t="str">
        <f>'11. Year 3 Amounts'!D31</f>
        <v/>
      </c>
      <c r="C30" s="396"/>
      <c r="D30" s="396"/>
      <c r="E30" s="223" t="str">
        <f>CONCATENATE("Final Expenditures for SFY ",'2. Getting Started'!B$6+2)</f>
        <v>Final Expenditures for SFY 2026</v>
      </c>
      <c r="F30" s="258" t="str">
        <f>'11. Year 3 Amounts'!K31</f>
        <v/>
      </c>
    </row>
    <row r="31" spans="1:9" ht="15" customHeight="1" x14ac:dyDescent="0.75">
      <c r="A31" s="275" t="str">
        <f>CONCATENATE("MOE Result for SFY ",'2. Getting Started'!B$6+2)</f>
        <v>MOE Result for SFY 2026</v>
      </c>
      <c r="B31" s="285" t="str">
        <f>IF(B30="","",IF(B30&gt;=B29,"Met","Did Not Meet"))</f>
        <v/>
      </c>
      <c r="C31" s="396"/>
      <c r="D31" s="396"/>
      <c r="E31" s="275" t="str">
        <f>CONCATENATE("MOE Result for SFY ",'2. Getting Started'!B$6+2)</f>
        <v>MOE Result for SFY 2026</v>
      </c>
      <c r="F31" s="285" t="str">
        <f>IF(F30="","",IF(F30&gt;=F29,"Met","Did Not Meet"))</f>
        <v/>
      </c>
    </row>
    <row r="32" spans="1:9" ht="15" customHeight="1" x14ac:dyDescent="0.75">
      <c r="A32" s="388" t="s">
        <v>175</v>
      </c>
      <c r="B32" s="388"/>
      <c r="C32" s="396"/>
      <c r="D32" s="396"/>
      <c r="E32" s="388" t="s">
        <v>175</v>
      </c>
      <c r="F32" s="388"/>
    </row>
    <row r="33" spans="1:9" ht="15.75" customHeight="1" x14ac:dyDescent="0.8">
      <c r="A33" s="5" t="str">
        <f>CONCATENATE("Year 4: SFY ",'2. Getting Started'!B$6+3)</f>
        <v>Year 4: SFY 2027</v>
      </c>
      <c r="B33" s="4"/>
      <c r="C33" s="396"/>
      <c r="D33" s="396"/>
      <c r="E33" s="5" t="str">
        <f>CONCATENATE("Year 4: SFY ",'2. Getting Started'!B$6+3)</f>
        <v>Year 4: SFY 2027</v>
      </c>
      <c r="F33" s="4"/>
    </row>
    <row r="34" spans="1:9" ht="15" customHeight="1" x14ac:dyDescent="0.75">
      <c r="A34" s="223" t="str">
        <f>CONCATENATE("Starting MOE Threshold for SFY ",'2. Getting Started'!B$6+3)</f>
        <v>Starting MOE Threshold for SFY 2027</v>
      </c>
      <c r="B34" s="258" t="str">
        <f>IF(F23="Met",F22,F21)</f>
        <v/>
      </c>
      <c r="C34" s="396"/>
      <c r="D34" s="396"/>
      <c r="E34" s="223" t="str">
        <f>CONCATENATE("Starting MOE Threshold for SFY ",'2. Getting Started'!B$6+3)</f>
        <v>Starting MOE Threshold for SFY 2027</v>
      </c>
      <c r="F34" s="258" t="str">
        <f>IF(F31="Met",F30,F29)</f>
        <v/>
      </c>
    </row>
    <row r="35" spans="1:9" ht="15" customHeight="1" x14ac:dyDescent="0.75">
      <c r="A35" s="223" t="str">
        <f>CONCATENATE("SFY ",'2. Getting Started'!B$6+2," + ",'2. Getting Started'!B$6+3," Projected Exceptions")</f>
        <v>SFY 2026 + 2027 Projected Exceptions</v>
      </c>
      <c r="B35" s="258" t="str">
        <f>IF(B6="","",(('12. Year 3 Exc &amp; Adj'!B67+'15. Year 4 Exc &amp; Adj'!B67)/I27))</f>
        <v/>
      </c>
      <c r="C35" s="396"/>
      <c r="D35" s="396"/>
      <c r="E35" s="223" t="str">
        <f>CONCATENATE("SFY ",'2. Getting Started'!B$6+3," Exceptions")</f>
        <v>SFY 2027 Exceptions</v>
      </c>
      <c r="F35" s="258" t="str">
        <f>IF(F6="","",('15. Year 4 Exc &amp; Adj'!I67/I35))</f>
        <v/>
      </c>
      <c r="H35" t="s">
        <v>118</v>
      </c>
      <c r="I35" t="str">
        <f>IF(F31="Met",'11. Year 3 Amounts'!I1,IF(F23="Met",'8. Year 2 Amounts'!I1,IF(F15="Met",'5. Year 1 Amounts'!I1,F6)))</f>
        <v/>
      </c>
    </row>
    <row r="36" spans="1:9" ht="15" customHeight="1" x14ac:dyDescent="0.75">
      <c r="A36" s="223" t="str">
        <f>CONCATENATE("SFY ",'2. Getting Started'!B$6+2," + ",'2. Getting Started'!B$6+3," Projected Adjustments")</f>
        <v>SFY 2026 + 2027 Projected Adjustments</v>
      </c>
      <c r="B36" s="258" t="str">
        <f>IF(B6="","",((AdjDataYear3Budget[Projected Adjustment]+AdjDataYear4Budget[Projected Adjustment])/I27))</f>
        <v/>
      </c>
      <c r="C36" s="396"/>
      <c r="D36" s="396"/>
      <c r="E36" s="223" t="str">
        <f>CONCATENATE("SFY ",'2. Getting Started'!B$6+3," Adjustment")</f>
        <v>SFY 2027 Adjustment</v>
      </c>
      <c r="F36" s="258" t="str">
        <f>IF(F6="","",(AdjDataYear4Expenditures[[Adjustment ]]/I35))</f>
        <v/>
      </c>
    </row>
    <row r="37" spans="1:9" ht="15" customHeight="1" x14ac:dyDescent="0.75">
      <c r="A37" s="223" t="str">
        <f>CONCATENATE("Adjusted MOE Threshold for SFY ",'2. Getting Started'!B$6+3)</f>
        <v>Adjusted MOE Threshold for SFY 2027</v>
      </c>
      <c r="B37" s="258" t="str">
        <f>IF(B34="","",(B34-B35-B36))</f>
        <v/>
      </c>
      <c r="C37" s="396"/>
      <c r="D37" s="396"/>
      <c r="E37" s="223" t="str">
        <f>CONCATENATE("Adjusted MOE Threshold for SFY ",'2. Getting Started'!B$6+3)</f>
        <v>Adjusted MOE Threshold for SFY 2027</v>
      </c>
      <c r="F37" s="258" t="str">
        <f>IF(F34="","",(F34-F35-F36))</f>
        <v/>
      </c>
    </row>
    <row r="38" spans="1:9" ht="15" customHeight="1" x14ac:dyDescent="0.75">
      <c r="A38" s="223" t="str">
        <f>CONCATENATE("Budgeted Amount for SFY ",'2. Getting Started'!B$6+3)</f>
        <v>Budgeted Amount for SFY 2027</v>
      </c>
      <c r="B38" s="258" t="str">
        <f>'14. Year 4 Amounts'!D31</f>
        <v/>
      </c>
      <c r="C38" s="396"/>
      <c r="D38" s="396"/>
      <c r="E38" s="223" t="str">
        <f>CONCATENATE("Final Expenditures for SFY ",'2. Getting Started'!B$6+3)</f>
        <v>Final Expenditures for SFY 2027</v>
      </c>
      <c r="F38" s="258" t="str">
        <f>'14. Year 4 Amounts'!K31</f>
        <v/>
      </c>
    </row>
    <row r="39" spans="1:9" ht="15" customHeight="1" x14ac:dyDescent="0.75">
      <c r="A39" s="275" t="str">
        <f>CONCATENATE("MOE Result for SFY ",'2. Getting Started'!B$6+3)</f>
        <v>MOE Result for SFY 2027</v>
      </c>
      <c r="B39" s="285" t="str">
        <f>IF(B38="","",IF(B38&gt;=B37,"Met","Did Not Meet"))</f>
        <v/>
      </c>
      <c r="C39" s="396"/>
      <c r="D39" s="396"/>
      <c r="E39" s="275" t="str">
        <f>CONCATENATE("MOE Result for SFY ",'2. Getting Started'!B$6+3)</f>
        <v>MOE Result for SFY 2027</v>
      </c>
      <c r="F39" s="285" t="str">
        <f>IF(F38="","",IF(F38&gt;=F37,"Met","Did Not Meet"))</f>
        <v/>
      </c>
    </row>
    <row r="40" spans="1:9" ht="15" customHeight="1" x14ac:dyDescent="0.75">
      <c r="A40" s="388" t="s">
        <v>175</v>
      </c>
      <c r="B40" s="388"/>
      <c r="C40" s="396"/>
      <c r="D40" s="396"/>
      <c r="E40" s="388" t="s">
        <v>175</v>
      </c>
      <c r="F40" s="388"/>
    </row>
    <row r="41" spans="1:9" ht="15.75" customHeight="1" x14ac:dyDescent="0.8">
      <c r="A41" s="5" t="str">
        <f>CONCATENATE("Year 5: SFY ",'2. Getting Started'!B$6+4)</f>
        <v>Year 5: SFY 2028</v>
      </c>
      <c r="B41" s="4"/>
      <c r="C41" s="396"/>
      <c r="D41" s="396"/>
      <c r="E41" s="5" t="str">
        <f>CONCATENATE("Year 5: SFY ",'2. Getting Started'!B$6+4)</f>
        <v>Year 5: SFY 2028</v>
      </c>
      <c r="F41" s="4"/>
    </row>
    <row r="42" spans="1:9" ht="15" customHeight="1" x14ac:dyDescent="0.75">
      <c r="A42" s="223" t="str">
        <f>CONCATENATE("Starting MOE Threshold for SFY ",'2. Getting Started'!B$6+4)</f>
        <v>Starting MOE Threshold for SFY 2028</v>
      </c>
      <c r="B42" s="258" t="str">
        <f>IF(F31="Met",F30,F29)</f>
        <v/>
      </c>
      <c r="C42" s="396"/>
      <c r="D42" s="396"/>
      <c r="E42" s="223" t="str">
        <f>CONCATENATE("Starting MOE Threshold for SFY ",'2. Getting Started'!B$6+4)</f>
        <v>Starting MOE Threshold for SFY 2028</v>
      </c>
      <c r="F42" s="258" t="str">
        <f>IF(F39="Met",F38,F37)</f>
        <v/>
      </c>
    </row>
    <row r="43" spans="1:9" ht="15" customHeight="1" x14ac:dyDescent="0.75">
      <c r="A43" s="223" t="str">
        <f>CONCATENATE("SFY ",'2. Getting Started'!B$6+3," + ",'2. Getting Started'!B$6+4," Projected Exceptions")</f>
        <v>SFY 2027 + 2028 Projected Exceptions</v>
      </c>
      <c r="B43" s="258" t="str">
        <f>IF(B6="","",(('15. Year 4 Exc &amp; Adj'!B67+'18. Year 5 Exc &amp; Adj'!B67)/I35))</f>
        <v/>
      </c>
      <c r="C43" s="396"/>
      <c r="D43" s="396"/>
      <c r="E43" s="223" t="str">
        <f>CONCATENATE("SFY ",'2. Getting Started'!B$6+4," Exceptions")</f>
        <v>SFY 2028 Exceptions</v>
      </c>
      <c r="F43" s="258" t="str">
        <f>IF(F6="","",('18. Year 5 Exc &amp; Adj'!I67/I43))</f>
        <v/>
      </c>
      <c r="H43" t="s">
        <v>118</v>
      </c>
      <c r="I43" t="str">
        <f>IF(F39="Met",'14. Year 4 Amounts'!I1,IF(F31="Met",'11. Year 3 Amounts'!I1,IF(F23="Met",'8. Year 2 Amounts'!I1,IF(F15="Met",'5. Year 1 Amounts'!I1,F6))))</f>
        <v/>
      </c>
    </row>
    <row r="44" spans="1:9" ht="15" customHeight="1" x14ac:dyDescent="0.75">
      <c r="A44" s="223" t="str">
        <f>CONCATENATE("SFY ",'2. Getting Started'!B$6+3," + ",'2. Getting Started'!B$6+4," Projected Adjustments")</f>
        <v>SFY 2027 + 2028 Projected Adjustments</v>
      </c>
      <c r="B44" s="258" t="str">
        <f>IF(B6="","",((AdjDataYear4Budget[Projected Adjustment]+AdjDataYear5Budget[Projected Adjustment])/I35))</f>
        <v/>
      </c>
      <c r="C44" s="396"/>
      <c r="D44" s="396"/>
      <c r="E44" s="223" t="str">
        <f>CONCATENATE("SFY ",'2. Getting Started'!B$6+4," Adjustment")</f>
        <v>SFY 2028 Adjustment</v>
      </c>
      <c r="F44" s="258" t="str">
        <f>IF(F6="","",(AdjDataYear5Expenditures[[Adjustment ]]/I43))</f>
        <v/>
      </c>
    </row>
    <row r="45" spans="1:9" ht="15" customHeight="1" x14ac:dyDescent="0.75">
      <c r="A45" s="223" t="str">
        <f>CONCATENATE("Adjusted MOE Threshold for SFY ",'2. Getting Started'!B$6+4)</f>
        <v>Adjusted MOE Threshold for SFY 2028</v>
      </c>
      <c r="B45" s="258" t="str">
        <f>IF(B42="","",(B42-B43-B44))</f>
        <v/>
      </c>
      <c r="C45" s="396"/>
      <c r="D45" s="396"/>
      <c r="E45" s="223" t="str">
        <f>CONCATENATE("Adjusted MOE Threshold for SFY ",'2. Getting Started'!B$6+4)</f>
        <v>Adjusted MOE Threshold for SFY 2028</v>
      </c>
      <c r="F45" s="258" t="str">
        <f>IF(F42="","",(F42-F43-F44))</f>
        <v/>
      </c>
    </row>
    <row r="46" spans="1:9" ht="15" customHeight="1" x14ac:dyDescent="0.75">
      <c r="A46" s="223" t="str">
        <f>CONCATENATE("Budgeted Amount for SFY ",'2. Getting Started'!B$6+4)</f>
        <v>Budgeted Amount for SFY 2028</v>
      </c>
      <c r="B46" s="258" t="str">
        <f>'17. Year 5 Amounts'!D31</f>
        <v/>
      </c>
      <c r="C46" s="396"/>
      <c r="D46" s="396"/>
      <c r="E46" s="223" t="str">
        <f>CONCATENATE("Final Expenditures for SFY ",'2. Getting Started'!B$6+4)</f>
        <v>Final Expenditures for SFY 2028</v>
      </c>
      <c r="F46" s="258" t="str">
        <f>'17. Year 5 Amounts'!K31</f>
        <v/>
      </c>
    </row>
    <row r="47" spans="1:9" ht="15" customHeight="1" x14ac:dyDescent="0.75">
      <c r="A47" s="275" t="str">
        <f>CONCATENATE("MOE Result for SFY ",'2. Getting Started'!B$6+4)</f>
        <v>MOE Result for SFY 2028</v>
      </c>
      <c r="B47" s="285" t="str">
        <f>IF(B46="","",IF(B46&gt;=B45,"Met","Did Not Meet"))</f>
        <v/>
      </c>
      <c r="C47" s="396"/>
      <c r="D47" s="396"/>
      <c r="E47" s="275" t="str">
        <f>CONCATENATE("MOE Result for SFY ",'2. Getting Started'!B$6+4)</f>
        <v>MOE Result for SFY 2028</v>
      </c>
      <c r="F47" s="285" t="str">
        <f>IF(F46="","",IF(F46&gt;=F45,"Met","Did Not Meet"))</f>
        <v/>
      </c>
    </row>
    <row r="48" spans="1:9" ht="15" customHeight="1" x14ac:dyDescent="0.75">
      <c r="A48" s="388" t="s">
        <v>175</v>
      </c>
      <c r="B48" s="388"/>
      <c r="C48" s="396"/>
      <c r="D48" s="396"/>
      <c r="E48" s="388" t="s">
        <v>175</v>
      </c>
      <c r="F48" s="388"/>
    </row>
    <row r="49" spans="1:9" ht="15.75" customHeight="1" x14ac:dyDescent="0.8">
      <c r="A49" s="5" t="str">
        <f>CONCATENATE("Year 6: SFY ",'2. Getting Started'!B$6+5)</f>
        <v>Year 6: SFY 2029</v>
      </c>
      <c r="B49" s="4"/>
      <c r="C49" s="396"/>
      <c r="D49" s="396"/>
      <c r="E49" s="5" t="str">
        <f>CONCATENATE("Year 6: SFY ",'2. Getting Started'!B$6+5)</f>
        <v>Year 6: SFY 2029</v>
      </c>
      <c r="F49" s="4"/>
    </row>
    <row r="50" spans="1:9" ht="15" customHeight="1" x14ac:dyDescent="0.75">
      <c r="A50" s="223" t="str">
        <f>CONCATENATE("Starting MOE Threshold for SFY ",'2. Getting Started'!B$6+5)</f>
        <v>Starting MOE Threshold for SFY 2029</v>
      </c>
      <c r="B50" s="258" t="str">
        <f>IF(F39="Met",F38,F37)</f>
        <v/>
      </c>
      <c r="C50" s="396"/>
      <c r="D50" s="396"/>
      <c r="E50" s="223" t="str">
        <f>CONCATENATE("Starting MOE Threshold for SFY ",'2. Getting Started'!B$6+5)</f>
        <v>Starting MOE Threshold for SFY 2029</v>
      </c>
      <c r="F50" s="258" t="str">
        <f>IF(F47="Met",F46,F45)</f>
        <v/>
      </c>
    </row>
    <row r="51" spans="1:9" ht="15" customHeight="1" x14ac:dyDescent="0.75">
      <c r="A51" s="223" t="str">
        <f>CONCATENATE("SFY ",'2. Getting Started'!B$6+4," + ",'2. Getting Started'!B$6+5," Projected Exceptions")</f>
        <v>SFY 2028 + 2029 Projected Exceptions</v>
      </c>
      <c r="B51" s="258" t="str">
        <f>IF(B6="","",(('18. Year 5 Exc &amp; Adj'!B67+'21. Year 6 Exc &amp; Adj'!B67)/I43))</f>
        <v/>
      </c>
      <c r="C51" s="396"/>
      <c r="D51" s="396"/>
      <c r="E51" s="223" t="str">
        <f>CONCATENATE("SFY ",'2. Getting Started'!B$6+5," Exceptions")</f>
        <v>SFY 2029 Exceptions</v>
      </c>
      <c r="F51" s="258" t="str">
        <f>IF(F6="","",('21. Year 6 Exc &amp; Adj'!I67/I51))</f>
        <v/>
      </c>
      <c r="H51" t="s">
        <v>118</v>
      </c>
      <c r="I51" t="str">
        <f>IF(F47="Met",'17. Year 5 Amounts'!I1,IF(F39="Met",'14. Year 4 Amounts'!I1,IF(F31="Met",'11. Year 3 Amounts'!I1,IF(F23="Met",'8. Year 2 Amounts'!I1,IF(F15="Met",'5. Year 1 Amounts'!I1,F6)))))</f>
        <v/>
      </c>
    </row>
    <row r="52" spans="1:9" ht="15" customHeight="1" x14ac:dyDescent="0.75">
      <c r="A52" s="223" t="str">
        <f>CONCATENATE("SFY ",'2. Getting Started'!B$6+4," + ",'2. Getting Started'!B$6+5," Projected Adjustments")</f>
        <v>SFY 2028 + 2029 Projected Adjustments</v>
      </c>
      <c r="B52" s="258" t="str">
        <f>IF(B6="","",((AdjDataYear5Budget[Projected Adjustment]+AdjDataYear6Budget[Projected Adjustment])/I43))</f>
        <v/>
      </c>
      <c r="C52" s="396"/>
      <c r="D52" s="396"/>
      <c r="E52" s="223" t="str">
        <f>CONCATENATE("SFY ",'2. Getting Started'!B$6+5," Adjustment")</f>
        <v>SFY 2029 Adjustment</v>
      </c>
      <c r="F52" s="258" t="str">
        <f>IF(F6="","",(AdjDataYear6Expenditures[[Adjustment ]]/I51))</f>
        <v/>
      </c>
    </row>
    <row r="53" spans="1:9" ht="15" customHeight="1" x14ac:dyDescent="0.75">
      <c r="A53" s="223" t="str">
        <f>CONCATENATE("Adjusted MOE Threshold for SFY ",'2. Getting Started'!B$6+5)</f>
        <v>Adjusted MOE Threshold for SFY 2029</v>
      </c>
      <c r="B53" s="258" t="str">
        <f>IF(B50="","",(B50-B51-B52))</f>
        <v/>
      </c>
      <c r="C53" s="396"/>
      <c r="D53" s="396"/>
      <c r="E53" s="223" t="str">
        <f>CONCATENATE("Adjusted MOE Threshold for SFY ",'2. Getting Started'!B$6+5)</f>
        <v>Adjusted MOE Threshold for SFY 2029</v>
      </c>
      <c r="F53" s="258" t="str">
        <f>IF(F50="","",(F50-F51-F52))</f>
        <v/>
      </c>
    </row>
    <row r="54" spans="1:9" ht="15" customHeight="1" x14ac:dyDescent="0.75">
      <c r="A54" s="223" t="str">
        <f>CONCATENATE("Budgeted Amount for SFY ",'2. Getting Started'!B$6+5)</f>
        <v>Budgeted Amount for SFY 2029</v>
      </c>
      <c r="B54" s="258" t="str">
        <f>'20. Year 6 Amounts'!D31</f>
        <v/>
      </c>
      <c r="C54" s="396"/>
      <c r="D54" s="396"/>
      <c r="E54" s="223" t="str">
        <f>CONCATENATE("Final Expenditures for SFY ",'2. Getting Started'!B$6+5)</f>
        <v>Final Expenditures for SFY 2029</v>
      </c>
      <c r="F54" s="258" t="str">
        <f>'20. Year 6 Amounts'!K31</f>
        <v/>
      </c>
    </row>
    <row r="55" spans="1:9" ht="15" customHeight="1" x14ac:dyDescent="0.75">
      <c r="A55" s="275" t="str">
        <f>CONCATENATE("MOE Result for SFY ",'2. Getting Started'!B$6+5)</f>
        <v>MOE Result for SFY 2029</v>
      </c>
      <c r="B55" s="285" t="str">
        <f>IF(B54="","",IF(B54&gt;=B53,"Met","Did Not Meet"))</f>
        <v/>
      </c>
      <c r="C55" s="396"/>
      <c r="D55" s="396"/>
      <c r="E55" s="275" t="str">
        <f>CONCATENATE("MOE Result for SFY ",'2. Getting Started'!B$6+5)</f>
        <v>MOE Result for SFY 2029</v>
      </c>
      <c r="F55" s="285" t="str">
        <f>IF(F54="","",IF(F54&gt;=F53,"Met","Did Not Meet"))</f>
        <v/>
      </c>
    </row>
    <row r="56" spans="1:9" ht="15" customHeight="1" x14ac:dyDescent="0.75">
      <c r="A56" s="388" t="s">
        <v>175</v>
      </c>
      <c r="B56" s="388"/>
      <c r="C56" s="396"/>
      <c r="D56" s="396"/>
      <c r="E56" s="388" t="s">
        <v>175</v>
      </c>
      <c r="F56" s="388"/>
    </row>
    <row r="57" spans="1:9" ht="15.75" customHeight="1" x14ac:dyDescent="0.8">
      <c r="A57" s="5" t="str">
        <f>CONCATENATE("Year 7: SFY ",'2. Getting Started'!B$6+6)</f>
        <v>Year 7: SFY 2030</v>
      </c>
      <c r="B57" s="4"/>
      <c r="C57" s="396"/>
      <c r="D57" s="396"/>
      <c r="E57" s="5" t="str">
        <f>CONCATENATE("Year 7: SFY ",'2. Getting Started'!B$6+6)</f>
        <v>Year 7: SFY 2030</v>
      </c>
      <c r="F57" s="4"/>
    </row>
    <row r="58" spans="1:9" ht="15" customHeight="1" x14ac:dyDescent="0.75">
      <c r="A58" s="223" t="str">
        <f>CONCATENATE("Starting MOE Threshold for SFY ",'2. Getting Started'!B$6+6)</f>
        <v>Starting MOE Threshold for SFY 2030</v>
      </c>
      <c r="B58" s="258" t="str">
        <f>IF(F47="Met",F46,F45)</f>
        <v/>
      </c>
      <c r="C58" s="396"/>
      <c r="D58" s="396"/>
      <c r="E58" s="223" t="str">
        <f>CONCATENATE("Starting MOE Threshold for SFY ",'2. Getting Started'!B$6+6)</f>
        <v>Starting MOE Threshold for SFY 2030</v>
      </c>
      <c r="F58" s="258" t="str">
        <f>IF(F55="Met",F54,F53)</f>
        <v/>
      </c>
    </row>
    <row r="59" spans="1:9" ht="15" customHeight="1" x14ac:dyDescent="0.75">
      <c r="A59" s="223" t="str">
        <f>CONCATENATE("SFY ",'2. Getting Started'!B$6+5," + ",'2. Getting Started'!B$6+6," Projected Exceptions")</f>
        <v>SFY 2029 + 2030 Projected Exceptions</v>
      </c>
      <c r="B59" s="258" t="str">
        <f>IF(B6="","",(('21. Year 6 Exc &amp; Adj'!B67+'24. Year 7 Exc &amp; Adj'!B67)/I51))</f>
        <v/>
      </c>
      <c r="C59" s="396"/>
      <c r="D59" s="396"/>
      <c r="E59" s="223" t="str">
        <f>CONCATENATE("SFY ",'2. Getting Started'!B$6+6," Exceptions")</f>
        <v>SFY 2030 Exceptions</v>
      </c>
      <c r="F59" s="258" t="str">
        <f>IF(F6="","",('24. Year 7 Exc &amp; Adj'!I67/I59))</f>
        <v/>
      </c>
      <c r="H59" t="s">
        <v>118</v>
      </c>
      <c r="I59" t="str">
        <f>IF(F55="Met",'20. Year 6 Amounts'!I1,IF(F47="Met",'17. Year 5 Amounts'!I1,IF(F39="Met",'14. Year 4 Amounts'!I1,IF(F31="Met",'11. Year 3 Amounts'!I1,IF(F23="Met",'8. Year 2 Amounts'!I1,IF(F15="Met",'5. Year 1 Amounts'!I1,F6))))))</f>
        <v/>
      </c>
    </row>
    <row r="60" spans="1:9" ht="15" customHeight="1" x14ac:dyDescent="0.75">
      <c r="A60" s="223" t="str">
        <f>CONCATENATE("SFY ",'2. Getting Started'!B$6+5," + ",'2. Getting Started'!B$6+6," Projected Adjustments")</f>
        <v>SFY 2029 + 2030 Projected Adjustments</v>
      </c>
      <c r="B60" s="258" t="str">
        <f>IF(B6="","",((AdjDataYear6Budget[Projected Adjustment]+AdjDataYear7Budget[Projected Adjustment])/I51))</f>
        <v/>
      </c>
      <c r="C60" s="396"/>
      <c r="D60" s="396"/>
      <c r="E60" s="223" t="str">
        <f>CONCATENATE("SFY ",'2. Getting Started'!B$6+6," Adjustment")</f>
        <v>SFY 2030 Adjustment</v>
      </c>
      <c r="F60" s="258" t="str">
        <f>IF(F6="","",(AdjDataYear7Expenditures[[Adjustment ]]/I59))</f>
        <v/>
      </c>
    </row>
    <row r="61" spans="1:9" ht="15" customHeight="1" x14ac:dyDescent="0.75">
      <c r="A61" s="223" t="str">
        <f>CONCATENATE("Adjusted MOE Threshold for SFY ",'2. Getting Started'!B$6+6)</f>
        <v>Adjusted MOE Threshold for SFY 2030</v>
      </c>
      <c r="B61" s="258" t="str">
        <f>IF(B58="","",(B58-B59-B60))</f>
        <v/>
      </c>
      <c r="C61" s="396"/>
      <c r="D61" s="396"/>
      <c r="E61" s="223" t="str">
        <f>CONCATENATE("Adjusted MOE Threshold for SFY ",'2. Getting Started'!B$6+6)</f>
        <v>Adjusted MOE Threshold for SFY 2030</v>
      </c>
      <c r="F61" s="258" t="str">
        <f>IF(F58="","",(F58-F59-F60))</f>
        <v/>
      </c>
    </row>
    <row r="62" spans="1:9" ht="15" customHeight="1" x14ac:dyDescent="0.75">
      <c r="A62" s="223" t="str">
        <f>CONCATENATE("Budgeted Amount for SFY ",'2. Getting Started'!B$6+6)</f>
        <v>Budgeted Amount for SFY 2030</v>
      </c>
      <c r="B62" s="258" t="str">
        <f>'23. Year 7 Amounts'!D31</f>
        <v/>
      </c>
      <c r="C62" s="396"/>
      <c r="D62" s="396"/>
      <c r="E62" s="223" t="str">
        <f>CONCATENATE("Final Expenditures for SFY ",'2. Getting Started'!B$6+6)</f>
        <v>Final Expenditures for SFY 2030</v>
      </c>
      <c r="F62" s="258" t="str">
        <f>'23. Year 7 Amounts'!K31</f>
        <v/>
      </c>
    </row>
    <row r="63" spans="1:9" ht="15" customHeight="1" x14ac:dyDescent="0.75">
      <c r="A63" s="275" t="str">
        <f>CONCATENATE("MOE Result for SFY ",'2. Getting Started'!B$6+6)</f>
        <v>MOE Result for SFY 2030</v>
      </c>
      <c r="B63" s="285" t="str">
        <f>IF(B62="","",IF(B62&gt;=B61,"Met","Did Not Meet"))</f>
        <v/>
      </c>
      <c r="C63" s="396"/>
      <c r="D63" s="396"/>
      <c r="E63" s="275" t="str">
        <f>CONCATENATE("MOE Result for SFY ",'2. Getting Started'!B$6+6)</f>
        <v>MOE Result for SFY 2030</v>
      </c>
      <c r="F63" s="285" t="str">
        <f>IF(F62="","",IF(F62&gt;=F61,"Met","Did Not Meet"))</f>
        <v/>
      </c>
    </row>
    <row r="64" spans="1:9" ht="15" customHeight="1" x14ac:dyDescent="0.75">
      <c r="A64" s="388" t="s">
        <v>175</v>
      </c>
      <c r="B64" s="388"/>
      <c r="C64" s="396"/>
      <c r="D64" s="396"/>
      <c r="E64" s="388" t="s">
        <v>175</v>
      </c>
      <c r="F64" s="388"/>
    </row>
    <row r="65" spans="1:9" ht="15.75" customHeight="1" x14ac:dyDescent="0.8">
      <c r="A65" s="5" t="str">
        <f>CONCATENATE("Year 8: SFY ",'2. Getting Started'!B$6+7)</f>
        <v>Year 8: SFY 2031</v>
      </c>
      <c r="B65" s="4"/>
      <c r="C65" s="396"/>
      <c r="D65" s="396"/>
      <c r="E65" s="5" t="str">
        <f>CONCATENATE("Year 8: SFY ",'2. Getting Started'!B$6+7)</f>
        <v>Year 8: SFY 2031</v>
      </c>
      <c r="F65" s="4"/>
    </row>
    <row r="66" spans="1:9" ht="15" customHeight="1" x14ac:dyDescent="0.75">
      <c r="A66" s="223" t="str">
        <f>CONCATENATE("Starting MOE Threshold for SFY ",'2. Getting Started'!B$6+7)</f>
        <v>Starting MOE Threshold for SFY 2031</v>
      </c>
      <c r="B66" s="258" t="str">
        <f>IF(F55="Met",F54,F53)</f>
        <v/>
      </c>
      <c r="C66" s="396"/>
      <c r="D66" s="396"/>
      <c r="E66" s="223" t="str">
        <f>CONCATENATE("Starting MOE Threshold for SFY ",'2. Getting Started'!B$6+7)</f>
        <v>Starting MOE Threshold for SFY 2031</v>
      </c>
      <c r="F66" s="258" t="str">
        <f>IF(F63="Met",F62,F61)</f>
        <v/>
      </c>
    </row>
    <row r="67" spans="1:9" ht="15" customHeight="1" x14ac:dyDescent="0.75">
      <c r="A67" s="223" t="str">
        <f>CONCATENATE("SFY ",'2. Getting Started'!B$6+6," + ",'2. Getting Started'!B$6+7," Projected Exceptions")</f>
        <v>SFY 2030 + 2031 Projected Exceptions</v>
      </c>
      <c r="B67" s="258" t="str">
        <f>IF(B6="","",(('24. Year 7 Exc &amp; Adj'!B67+'27. Year 8 Exc &amp; Adj'!B67)/I59))</f>
        <v/>
      </c>
      <c r="C67" s="396"/>
      <c r="D67" s="396"/>
      <c r="E67" s="223" t="str">
        <f>CONCATENATE("SFY ",'2. Getting Started'!B$6+7," Exceptions")</f>
        <v>SFY 2031 Exceptions</v>
      </c>
      <c r="F67" s="258" t="str">
        <f>IF(F6="","",('27. Year 8 Exc &amp; Adj'!I67/I67))</f>
        <v/>
      </c>
      <c r="H67" t="s">
        <v>118</v>
      </c>
      <c r="I67" t="str">
        <f>IF(F63="Met",'23. Year 7 Amounts'!I1,IF(F55="Met",'20. Year 6 Amounts'!I1,IF(F47="Met",'17. Year 5 Amounts'!I1,IF(F39="Met",'14. Year 4 Amounts'!I1,IF(F31="Met",'11. Year 3 Amounts'!I1,IF(F23="Met",'8. Year 2 Amounts'!I1,IF(F15="Met",'5. Year 1 Amounts'!I1,F6)))))))</f>
        <v/>
      </c>
    </row>
    <row r="68" spans="1:9" ht="15" customHeight="1" x14ac:dyDescent="0.75">
      <c r="A68" s="223" t="str">
        <f>CONCATENATE("SFY ",'2. Getting Started'!B$6+6," + ",'2. Getting Started'!B$6+7," Projected Adjustments")</f>
        <v>SFY 2030 + 2031 Projected Adjustments</v>
      </c>
      <c r="B68" s="258" t="str">
        <f>IF(B6="","",((AdjDataYear7Budget[Projected Adjustment]+AdjDataYear8Budget[Projected Adjustment])/I59))</f>
        <v/>
      </c>
      <c r="C68" s="396"/>
      <c r="D68" s="396"/>
      <c r="E68" s="223" t="str">
        <f>CONCATENATE("SFY ",'2. Getting Started'!B$6+7," Adjustment")</f>
        <v>SFY 2031 Adjustment</v>
      </c>
      <c r="F68" s="258" t="str">
        <f>IF(F6="","",(AdjDataYear8Expenditures[[Adjustment ]]/I67))</f>
        <v/>
      </c>
    </row>
    <row r="69" spans="1:9" ht="15" customHeight="1" x14ac:dyDescent="0.75">
      <c r="A69" s="223" t="str">
        <f>CONCATENATE("Adjusted MOE Threshold for SFY ",'2. Getting Started'!B$6+7)</f>
        <v>Adjusted MOE Threshold for SFY 2031</v>
      </c>
      <c r="B69" s="258" t="str">
        <f>IF(B66="","",(B66-B67-B68))</f>
        <v/>
      </c>
      <c r="C69" s="396"/>
      <c r="D69" s="396"/>
      <c r="E69" s="223" t="str">
        <f>CONCATENATE("Adjusted MOE Threshold for SFY ",'2. Getting Started'!B$6+7)</f>
        <v>Adjusted MOE Threshold for SFY 2031</v>
      </c>
      <c r="F69" s="258" t="str">
        <f>IF(F66="","",(F66-F67-F68))</f>
        <v/>
      </c>
    </row>
    <row r="70" spans="1:9" ht="15" customHeight="1" x14ac:dyDescent="0.75">
      <c r="A70" s="223" t="str">
        <f>CONCATENATE("Budgeted Amount for SFY ",'2. Getting Started'!B$6+7)</f>
        <v>Budgeted Amount for SFY 2031</v>
      </c>
      <c r="B70" s="258" t="str">
        <f>'26. Year 8 Amounts'!D31</f>
        <v/>
      </c>
      <c r="C70" s="396"/>
      <c r="D70" s="396"/>
      <c r="E70" s="223" t="str">
        <f>CONCATENATE("Final Expenditures for SFY ",'2. Getting Started'!B$6+7)</f>
        <v>Final Expenditures for SFY 2031</v>
      </c>
      <c r="F70" s="258" t="str">
        <f>'26. Year 8 Amounts'!K31</f>
        <v/>
      </c>
    </row>
    <row r="71" spans="1:9" ht="15" customHeight="1" x14ac:dyDescent="0.75">
      <c r="A71" s="275" t="str">
        <f>CONCATENATE("MOE Result for SFY ",'2. Getting Started'!B$6+7)</f>
        <v>MOE Result for SFY 2031</v>
      </c>
      <c r="B71" s="285" t="str">
        <f>IF(B70="","",IF(B70&gt;=B69,"Met","Did Not Meet"))</f>
        <v/>
      </c>
      <c r="C71" s="396"/>
      <c r="D71" s="396"/>
      <c r="E71" s="275" t="str">
        <f>CONCATENATE("MOE Result for SFY ",'2. Getting Started'!B$6+7)</f>
        <v>MOE Result for SFY 2031</v>
      </c>
      <c r="F71" s="285" t="str">
        <f>IF(F70="","",IF(F70&gt;=F69,"Met","Did Not Meet"))</f>
        <v/>
      </c>
    </row>
    <row r="72" spans="1:9" ht="15" customHeight="1" x14ac:dyDescent="0.75">
      <c r="A72" s="388" t="s">
        <v>175</v>
      </c>
      <c r="B72" s="388"/>
      <c r="C72" s="396"/>
      <c r="D72" s="396"/>
      <c r="E72" s="388" t="s">
        <v>175</v>
      </c>
      <c r="F72" s="388"/>
    </row>
    <row r="73" spans="1:9" ht="15.75" customHeight="1" x14ac:dyDescent="0.8">
      <c r="A73" s="5" t="str">
        <f>CONCATENATE("Year 9: SFY ",'2. Getting Started'!B$6+8)</f>
        <v>Year 9: SFY 2032</v>
      </c>
      <c r="B73" s="4"/>
      <c r="C73" s="396"/>
      <c r="D73" s="396"/>
      <c r="E73" s="5" t="str">
        <f>CONCATENATE("Year 9: SFY ",'2. Getting Started'!B$6+8)</f>
        <v>Year 9: SFY 2032</v>
      </c>
      <c r="F73" s="4"/>
    </row>
    <row r="74" spans="1:9" ht="15" customHeight="1" x14ac:dyDescent="0.75">
      <c r="A74" s="223" t="str">
        <f>CONCATENATE("Starting MOE Threshold for SFY ",'2. Getting Started'!B$6+8)</f>
        <v>Starting MOE Threshold for SFY 2032</v>
      </c>
      <c r="B74" s="258" t="str">
        <f>IF(F63="Met",F62,F61)</f>
        <v/>
      </c>
      <c r="C74" s="396"/>
      <c r="D74" s="396"/>
      <c r="E74" s="223" t="str">
        <f>CONCATENATE("Starting MOE Threshold for SFY ",'2. Getting Started'!B$6+8)</f>
        <v>Starting MOE Threshold for SFY 2032</v>
      </c>
      <c r="F74" s="258" t="str">
        <f>IF(F71="Met",F70,F69)</f>
        <v/>
      </c>
    </row>
    <row r="75" spans="1:9" ht="15" customHeight="1" x14ac:dyDescent="0.75">
      <c r="A75" s="223" t="str">
        <f>CONCATENATE("SFY ",'2. Getting Started'!B$6+7," + ",'2. Getting Started'!B$6+8," Projected Exceptions")</f>
        <v>SFY 2031 + 2032 Projected Exceptions</v>
      </c>
      <c r="B75" s="258" t="str">
        <f>IF(B6="","",(('27. Year 8 Exc &amp; Adj'!B67+'30. Year 9 Exc &amp; Adj'!B67)/I67))</f>
        <v/>
      </c>
      <c r="C75" s="396"/>
      <c r="D75" s="396"/>
      <c r="E75" s="223" t="str">
        <f>CONCATENATE("SFY ",'2. Getting Started'!B$6+8," Exceptions")</f>
        <v>SFY 2032 Exceptions</v>
      </c>
      <c r="F75" s="258" t="str">
        <f>IF(F6="","",('30. Year 9 Exc &amp; Adj'!I67/I75))</f>
        <v/>
      </c>
      <c r="H75" t="s">
        <v>118</v>
      </c>
      <c r="I75" t="str">
        <f>IF(F71="Met",'26. Year 8 Amounts'!I1,IF(F63="Met",'23. Year 7 Amounts'!I1,IF(F55="Met",'20. Year 6 Amounts'!I1,IF(F47="Met",'17. Year 5 Amounts'!I1,IF(F39="Met",'14. Year 4 Amounts'!I1,IF(F31="Met",'11. Year 3 Amounts'!I1,IF(F23="Met",'8. Year 2 Amounts'!I1,IF(F15="Met",'5. Year 1 Amounts'!I1,F6))))))))</f>
        <v/>
      </c>
    </row>
    <row r="76" spans="1:9" ht="15" customHeight="1" x14ac:dyDescent="0.75">
      <c r="A76" s="223" t="str">
        <f>CONCATENATE("SFY ",'2. Getting Started'!B$6+7," + ",'2. Getting Started'!B$6+8," Projected Adjustments")</f>
        <v>SFY 2031 + 2032 Projected Adjustments</v>
      </c>
      <c r="B76" s="258" t="str">
        <f>IF(B6="","",((AdjDataYear8Budget[Projected Adjustment]+AdjDataYear9Budget[Projected Adjustment])/I67))</f>
        <v/>
      </c>
      <c r="C76" s="396"/>
      <c r="D76" s="396"/>
      <c r="E76" s="223" t="str">
        <f>CONCATENATE("SFY ",'2. Getting Started'!B$6+8," Adjustment")</f>
        <v>SFY 2032 Adjustment</v>
      </c>
      <c r="F76" s="258" t="str">
        <f>IF(F6="","",(AdjDataYear9Expenditures[[Adjustment ]]/I75))</f>
        <v/>
      </c>
    </row>
    <row r="77" spans="1:9" ht="15" customHeight="1" x14ac:dyDescent="0.75">
      <c r="A77" s="223" t="str">
        <f>CONCATENATE("Adjusted MOE Threshold for SFY ",'2. Getting Started'!B$6+8)</f>
        <v>Adjusted MOE Threshold for SFY 2032</v>
      </c>
      <c r="B77" s="258" t="str">
        <f>IF(B74="","",(B74-B75-B76))</f>
        <v/>
      </c>
      <c r="C77" s="396"/>
      <c r="D77" s="396"/>
      <c r="E77" s="223" t="str">
        <f>CONCATENATE("Adjusted MOE Threshold for SFY ",'2. Getting Started'!B$6+8)</f>
        <v>Adjusted MOE Threshold for SFY 2032</v>
      </c>
      <c r="F77" s="258" t="str">
        <f>IF(F74="","",(F74-F75-F76))</f>
        <v/>
      </c>
    </row>
    <row r="78" spans="1:9" ht="15" customHeight="1" x14ac:dyDescent="0.75">
      <c r="A78" s="223" t="str">
        <f>CONCATENATE("Budgeted Amount for SFY ",'2. Getting Started'!B$6+8)</f>
        <v>Budgeted Amount for SFY 2032</v>
      </c>
      <c r="B78" s="258" t="str">
        <f>'29. Year 9 Amounts'!D31</f>
        <v/>
      </c>
      <c r="C78" s="396"/>
      <c r="D78" s="396"/>
      <c r="E78" s="223" t="str">
        <f>CONCATENATE("Final Expenditures for SFY ",'2. Getting Started'!B$6+8)</f>
        <v>Final Expenditures for SFY 2032</v>
      </c>
      <c r="F78" s="258" t="str">
        <f>'29. Year 9 Amounts'!K31</f>
        <v/>
      </c>
    </row>
    <row r="79" spans="1:9" ht="15" customHeight="1" x14ac:dyDescent="0.75">
      <c r="A79" s="275" t="str">
        <f>CONCATENATE("MOE Result for SFY ",'2. Getting Started'!B$6+8)</f>
        <v>MOE Result for SFY 2032</v>
      </c>
      <c r="B79" s="285" t="str">
        <f>IF(B78="","",IF(B78&gt;=B77,"Met","Did Not Meet"))</f>
        <v/>
      </c>
      <c r="C79" s="396"/>
      <c r="D79" s="396"/>
      <c r="E79" s="275" t="str">
        <f>CONCATENATE("MOE Result for SFY ",'2. Getting Started'!B$6+8)</f>
        <v>MOE Result for SFY 2032</v>
      </c>
      <c r="F79" s="285" t="str">
        <f>IF(F78="","",IF(F78&gt;=F77,"Met","Did Not Meet"))</f>
        <v/>
      </c>
    </row>
    <row r="80" spans="1:9" ht="15" customHeight="1" x14ac:dyDescent="0.75">
      <c r="A80" s="388" t="s">
        <v>175</v>
      </c>
      <c r="B80" s="388"/>
      <c r="C80" s="396"/>
      <c r="D80" s="396"/>
      <c r="E80" s="388" t="s">
        <v>175</v>
      </c>
      <c r="F80" s="388"/>
    </row>
    <row r="81" spans="1:9" ht="15.75" customHeight="1" x14ac:dyDescent="0.8">
      <c r="A81" s="5" t="str">
        <f>CONCATENATE("Year 10: SFY ",'2. Getting Started'!B$6+9)</f>
        <v>Year 10: SFY 2033</v>
      </c>
      <c r="B81" s="4"/>
      <c r="C81" s="396"/>
      <c r="D81" s="396"/>
      <c r="E81" s="5" t="str">
        <f>CONCATENATE("Year 10: SFY ",'2. Getting Started'!B$6+9)</f>
        <v>Year 10: SFY 2033</v>
      </c>
      <c r="F81" s="4"/>
    </row>
    <row r="82" spans="1:9" ht="15" customHeight="1" x14ac:dyDescent="0.75">
      <c r="A82" s="223" t="str">
        <f>CONCATENATE("Starting MOE Threshold for SFY ",'2. Getting Started'!B$6+9)</f>
        <v>Starting MOE Threshold for SFY 2033</v>
      </c>
      <c r="B82" s="258" t="str">
        <f>IF(F71="Met",F70,F69)</f>
        <v/>
      </c>
      <c r="C82" s="396"/>
      <c r="D82" s="396"/>
      <c r="E82" s="223" t="str">
        <f>CONCATENATE("Starting MOE Threshold for SFY ",'2. Getting Started'!B$6+9)</f>
        <v>Starting MOE Threshold for SFY 2033</v>
      </c>
      <c r="F82" s="258" t="str">
        <f>IF(F79="Met",F78,F77)</f>
        <v/>
      </c>
    </row>
    <row r="83" spans="1:9" ht="15" customHeight="1" x14ac:dyDescent="0.75">
      <c r="A83" s="223" t="str">
        <f>CONCATENATE("SFY ",'2. Getting Started'!B$6+8," + ",'2. Getting Started'!B$6+9," Projected Exceptions")</f>
        <v>SFY 2032 + 2033 Projected Exceptions</v>
      </c>
      <c r="B83" s="258" t="str">
        <f>IF(B6="","",(('30. Year 9 Exc &amp; Adj'!B67+'33. Year 10 Exc &amp; Adj'!B67)/I75))</f>
        <v/>
      </c>
      <c r="C83" s="396"/>
      <c r="D83" s="396"/>
      <c r="E83" s="223" t="str">
        <f>CONCATENATE("SFY ",'2. Getting Started'!B$6+9," Exceptions")</f>
        <v>SFY 2033 Exceptions</v>
      </c>
      <c r="F83" s="258" t="str">
        <f>IF(F6="","",('33. Year 10 Exc &amp; Adj'!I67/I83))</f>
        <v/>
      </c>
      <c r="H83" t="s">
        <v>118</v>
      </c>
      <c r="I83" t="str">
        <f>IF(F79="Met",'29. Year 9 Amounts'!I1,IF(F71="Met",'26. Year 8 Amounts'!I1,IF(F63="Met",'23. Year 7 Amounts'!I1,IF(F55="Met",'20. Year 6 Amounts'!I1,IF(F47="Met",'17. Year 5 Amounts'!I1,IF(F39="Met",'14. Year 4 Amounts'!I1,IF(F31="Met",'11. Year 3 Amounts'!I1,IF(F23="Met",'8. Year 2 Amounts'!I1,IF(F15="Met",'5. Year 1 Amounts'!I1,F6)))))))))</f>
        <v/>
      </c>
    </row>
    <row r="84" spans="1:9" ht="15" customHeight="1" x14ac:dyDescent="0.75">
      <c r="A84" s="223" t="str">
        <f>CONCATENATE("SFY ",'2. Getting Started'!B$6+8," + ",'2. Getting Started'!B$6+9," Projected Adjustments")</f>
        <v>SFY 2032 + 2033 Projected Adjustments</v>
      </c>
      <c r="B84" s="258" t="str">
        <f>IF(B6="","",((AdjDataYear9Budget[Projected Adjustment]+AdjDataYear10Budget[Projected Adjustment])/I75))</f>
        <v/>
      </c>
      <c r="C84" s="396"/>
      <c r="D84" s="396"/>
      <c r="E84" s="223" t="str">
        <f>CONCATENATE("SFY ",'2. Getting Started'!B$6+9," Adjustment")</f>
        <v>SFY 2033 Adjustment</v>
      </c>
      <c r="F84" s="258" t="str">
        <f>IF(F6="","",(AdjDataYear10Expenditures[[Adjustment ]]/I83))</f>
        <v/>
      </c>
    </row>
    <row r="85" spans="1:9" ht="15" customHeight="1" x14ac:dyDescent="0.75">
      <c r="A85" s="223" t="str">
        <f>CONCATENATE("Adjusted MOE Threshold for SFY ",'2. Getting Started'!B$6+9)</f>
        <v>Adjusted MOE Threshold for SFY 2033</v>
      </c>
      <c r="B85" s="258" t="str">
        <f>IF(B82="","",(B82-B83-B84))</f>
        <v/>
      </c>
      <c r="C85" s="396"/>
      <c r="D85" s="396"/>
      <c r="E85" s="223" t="str">
        <f>CONCATENATE("Adjusted MOE Threshold for SFY ",'2. Getting Started'!B$6+9)</f>
        <v>Adjusted MOE Threshold for SFY 2033</v>
      </c>
      <c r="F85" s="258" t="str">
        <f>IF(F82="","",(F82-F83-F84))</f>
        <v/>
      </c>
    </row>
    <row r="86" spans="1:9" ht="15" customHeight="1" x14ac:dyDescent="0.75">
      <c r="A86" s="223" t="str">
        <f>CONCATENATE("Budgeted Amount for SFY ",'2. Getting Started'!B$6+9)</f>
        <v>Budgeted Amount for SFY 2033</v>
      </c>
      <c r="B86" s="258" t="str">
        <f>'32. Year 10 Amounts'!D30</f>
        <v/>
      </c>
      <c r="C86" s="396"/>
      <c r="D86" s="396"/>
      <c r="E86" s="223" t="str">
        <f>CONCATENATE("Final Expenditures for SFY ",'2. Getting Started'!B$6+9)</f>
        <v>Final Expenditures for SFY 2033</v>
      </c>
      <c r="F86" s="258" t="str">
        <f>'32. Year 10 Amounts'!K31</f>
        <v/>
      </c>
    </row>
    <row r="87" spans="1:9" ht="15" customHeight="1" x14ac:dyDescent="0.75">
      <c r="A87" s="275" t="str">
        <f>CONCATENATE("MOE Result for SFY ",'2. Getting Started'!B$6+9)</f>
        <v>MOE Result for SFY 2033</v>
      </c>
      <c r="B87" s="285" t="str">
        <f>IF(B86="","",IF(B86&gt;=B85,"Met","Did Not Meet"))</f>
        <v/>
      </c>
      <c r="C87" s="396"/>
      <c r="D87" s="396"/>
      <c r="E87" s="275" t="str">
        <f>CONCATENATE("MOE Result for SFY ",'2. Getting Started'!B$6+9)</f>
        <v>MOE Result for SFY 2033</v>
      </c>
      <c r="F87" s="285" t="str">
        <f>IF(F86="","",IF(F86&gt;=F85,"Met","Did Not Meet"))</f>
        <v/>
      </c>
    </row>
    <row r="88" spans="1:9" ht="15" customHeight="1" x14ac:dyDescent="0.75">
      <c r="A88" s="388" t="s">
        <v>175</v>
      </c>
      <c r="B88" s="388"/>
      <c r="C88" s="396"/>
      <c r="D88" s="396"/>
      <c r="E88" s="388" t="s">
        <v>175</v>
      </c>
      <c r="F88" s="388"/>
    </row>
    <row r="89" spans="1:9" ht="15.75" customHeight="1" x14ac:dyDescent="0.8">
      <c r="A89" s="5" t="str">
        <f>CONCATENATE("Year 11: SFY ",'2. Getting Started'!B$6+10)</f>
        <v>Year 11: SFY 2034</v>
      </c>
      <c r="B89" s="4"/>
      <c r="C89" s="396"/>
      <c r="D89" s="396"/>
      <c r="E89" s="5" t="str">
        <f>CONCATENATE("Year 11: SFY ",'2. Getting Started'!B$6+10)</f>
        <v>Year 11: SFY 2034</v>
      </c>
      <c r="F89" s="4"/>
    </row>
    <row r="90" spans="1:9" ht="15" customHeight="1" x14ac:dyDescent="0.75">
      <c r="A90" s="223" t="str">
        <f>CONCATENATE("Starting MOE Threshold for SFY ",'2. Getting Started'!B$6+10)</f>
        <v>Starting MOE Threshold for SFY 2034</v>
      </c>
      <c r="B90" s="258" t="str">
        <f>IF(F79="Met",F78,F77)</f>
        <v/>
      </c>
      <c r="C90" s="396"/>
      <c r="D90" s="396"/>
      <c r="E90" s="390" t="s">
        <v>47</v>
      </c>
      <c r="F90" s="391"/>
    </row>
    <row r="91" spans="1:9" ht="15" customHeight="1" x14ac:dyDescent="0.75">
      <c r="A91" s="223" t="str">
        <f>CONCATENATE("SFY ",'2. Getting Started'!B$6+9," + ",'2. Getting Started'!B$6+10," Projected Exceptions")</f>
        <v>SFY 2033 + 2034 Projected Exceptions</v>
      </c>
      <c r="B91" s="258" t="str">
        <f>IF(B6="","",(('33. Year 10 Exc &amp; Adj'!B67+'36. Year 11 Exc &amp; Adj'!B67)/I83))</f>
        <v/>
      </c>
      <c r="C91" s="396"/>
      <c r="D91" s="396"/>
      <c r="E91" s="392"/>
      <c r="F91" s="393"/>
    </row>
    <row r="92" spans="1:9" ht="15" customHeight="1" x14ac:dyDescent="0.75">
      <c r="A92" s="223" t="str">
        <f>CONCATENATE("SFY ",'2. Getting Started'!B$6+9," + ",'2. Getting Started'!B$6+10," Projected Adjustments")</f>
        <v>SFY 2033 + 2034 Projected Adjustments</v>
      </c>
      <c r="B92" s="258" t="str">
        <f>IF(B6="","",((AdjDataYear10Budget[Projected Adjustment]+AdjDataYear11Budget[Projected Adjustment])/I83))</f>
        <v/>
      </c>
      <c r="C92" s="396"/>
      <c r="D92" s="396"/>
      <c r="E92" s="392"/>
      <c r="F92" s="393"/>
    </row>
    <row r="93" spans="1:9" ht="15" customHeight="1" x14ac:dyDescent="0.75">
      <c r="A93" s="223" t="str">
        <f>CONCATENATE("Adjusted MOE Threshold for SFY ",'2. Getting Started'!B$6+10)</f>
        <v>Adjusted MOE Threshold for SFY 2034</v>
      </c>
      <c r="B93" s="258" t="str">
        <f>IF(B90="","",(B90-B91-B92))</f>
        <v/>
      </c>
      <c r="C93" s="396"/>
      <c r="D93" s="396"/>
      <c r="E93" s="392"/>
      <c r="F93" s="393"/>
    </row>
    <row r="94" spans="1:9" ht="15" customHeight="1" x14ac:dyDescent="0.75">
      <c r="A94" s="223" t="str">
        <f>CONCATENATE("Budgeted Amount for SFY ",'2. Getting Started'!B$6+10)</f>
        <v>Budgeted Amount for SFY 2034</v>
      </c>
      <c r="B94" s="258" t="str">
        <f>'35. Year 11 Amounts'!D31</f>
        <v/>
      </c>
      <c r="C94" s="396"/>
      <c r="D94" s="396"/>
      <c r="E94" s="392"/>
      <c r="F94" s="393"/>
    </row>
    <row r="95" spans="1:9" ht="15" customHeight="1" x14ac:dyDescent="0.75">
      <c r="A95" s="275" t="str">
        <f>CONCATENATE("MOE Result for SFY ",'2. Getting Started'!B$6+10)</f>
        <v>MOE Result for SFY 2034</v>
      </c>
      <c r="B95" s="285" t="str">
        <f>IF(B94="","",IF(B94&gt;=B93,"Met","Did Not Meet"))</f>
        <v/>
      </c>
      <c r="C95" s="396"/>
      <c r="D95" s="396"/>
      <c r="E95" s="394"/>
      <c r="F95" s="395"/>
    </row>
    <row r="96" spans="1:9" ht="24.75" customHeight="1" x14ac:dyDescent="0.75">
      <c r="A96" s="345" t="s">
        <v>183</v>
      </c>
      <c r="C96" s="355"/>
      <c r="D96" s="355"/>
    </row>
    <row r="97" spans="1:6" ht="16" x14ac:dyDescent="0.8">
      <c r="A97" s="358" t="s">
        <v>182</v>
      </c>
    </row>
    <row r="98" spans="1:6" x14ac:dyDescent="0.75">
      <c r="A98" s="373" t="s">
        <v>24</v>
      </c>
      <c r="B98" s="373"/>
      <c r="C98" s="373"/>
      <c r="D98" s="373"/>
      <c r="E98" s="373"/>
      <c r="F98" s="373"/>
    </row>
  </sheetData>
  <sheetProtection algorithmName="SHA-512" hashValue="IshotLTLfJCkKTWEx0DG1/UKHi/6fixs5pxHFwa0URT5HiO1Hod4my3RDqqf0Yx+PCzquXxuAdVLePWO3k+D3A==" saltValue="jnoQ9A2BWdlgoNr8ACG49w==" spinCount="100000" sheet="1" objects="1" scenarios="1" formatColumns="0" formatRows="0"/>
  <mergeCells count="25">
    <mergeCell ref="A88:B88"/>
    <mergeCell ref="E88:F88"/>
    <mergeCell ref="C1:D95"/>
    <mergeCell ref="A98:F98"/>
    <mergeCell ref="A64:B64"/>
    <mergeCell ref="E64:F64"/>
    <mergeCell ref="A72:B72"/>
    <mergeCell ref="E72:F72"/>
    <mergeCell ref="A80:B80"/>
    <mergeCell ref="E80:F80"/>
    <mergeCell ref="E90:F95"/>
    <mergeCell ref="A8:B8"/>
    <mergeCell ref="E8:F8"/>
    <mergeCell ref="A16:B16"/>
    <mergeCell ref="E16:F16"/>
    <mergeCell ref="A48:B48"/>
    <mergeCell ref="E48:F48"/>
    <mergeCell ref="A56:B56"/>
    <mergeCell ref="E56:F56"/>
    <mergeCell ref="A24:B24"/>
    <mergeCell ref="E24:F24"/>
    <mergeCell ref="A32:B32"/>
    <mergeCell ref="E32:F32"/>
    <mergeCell ref="A40:B40"/>
    <mergeCell ref="E40:F40"/>
  </mergeCells>
  <conditionalFormatting sqref="B23">
    <cfRule type="containsText" dxfId="79" priority="36" operator="containsText" text="Met">
      <formula>NOT(ISERROR(SEARCH("Met",B23)))</formula>
    </cfRule>
    <cfRule type="containsText" dxfId="78" priority="35" operator="containsText" text="Did Not Meet">
      <formula>NOT(ISERROR(SEARCH("Did Not Meet",B23)))</formula>
    </cfRule>
  </conditionalFormatting>
  <conditionalFormatting sqref="B31">
    <cfRule type="containsText" dxfId="77" priority="34" operator="containsText" text="Met">
      <formula>NOT(ISERROR(SEARCH("Met",B31)))</formula>
    </cfRule>
    <cfRule type="containsText" dxfId="76" priority="33" operator="containsText" text="Did Not Meet">
      <formula>NOT(ISERROR(SEARCH("Did Not Meet",B31)))</formula>
    </cfRule>
  </conditionalFormatting>
  <conditionalFormatting sqref="B39">
    <cfRule type="containsText" dxfId="75" priority="30" operator="containsText" text="Met">
      <formula>NOT(ISERROR(SEARCH("Met",B39)))</formula>
    </cfRule>
    <cfRule type="containsText" dxfId="74" priority="29" operator="containsText" text="Did Not Meet">
      <formula>NOT(ISERROR(SEARCH("Did Not Meet",B39)))</formula>
    </cfRule>
  </conditionalFormatting>
  <conditionalFormatting sqref="B47">
    <cfRule type="containsText" dxfId="73" priority="25" operator="containsText" text="Did Not Meet">
      <formula>NOT(ISERROR(SEARCH("Did Not Meet",B47)))</formula>
    </cfRule>
    <cfRule type="containsText" dxfId="72" priority="26" operator="containsText" text="Met">
      <formula>NOT(ISERROR(SEARCH("Met",B47)))</formula>
    </cfRule>
  </conditionalFormatting>
  <conditionalFormatting sqref="B55">
    <cfRule type="containsText" dxfId="71" priority="21" operator="containsText" text="Did Not Meet">
      <formula>NOT(ISERROR(SEARCH("Did Not Meet",B55)))</formula>
    </cfRule>
    <cfRule type="containsText" dxfId="70" priority="22" operator="containsText" text="Met">
      <formula>NOT(ISERROR(SEARCH("Met",B55)))</formula>
    </cfRule>
  </conditionalFormatting>
  <conditionalFormatting sqref="B63">
    <cfRule type="containsText" dxfId="69" priority="15" operator="containsText" text="Did Not Meet">
      <formula>NOT(ISERROR(SEARCH("Did Not Meet",B63)))</formula>
    </cfRule>
    <cfRule type="containsText" dxfId="68" priority="16" operator="containsText" text="Met">
      <formula>NOT(ISERROR(SEARCH("Met",B63)))</formula>
    </cfRule>
  </conditionalFormatting>
  <conditionalFormatting sqref="B71">
    <cfRule type="containsText" dxfId="67" priority="13" operator="containsText" text="Did Not Meet">
      <formula>NOT(ISERROR(SEARCH("Did Not Meet",B71)))</formula>
    </cfRule>
    <cfRule type="containsText" dxfId="66" priority="14" operator="containsText" text="Met">
      <formula>NOT(ISERROR(SEARCH("Met",B71)))</formula>
    </cfRule>
  </conditionalFormatting>
  <conditionalFormatting sqref="B79">
    <cfRule type="containsText" dxfId="65" priority="7" operator="containsText" text="Did Not Meet">
      <formula>NOT(ISERROR(SEARCH("Did Not Meet",B79)))</formula>
    </cfRule>
    <cfRule type="containsText" dxfId="64" priority="8" operator="containsText" text="Met">
      <formula>NOT(ISERROR(SEARCH("Met",B79)))</formula>
    </cfRule>
  </conditionalFormatting>
  <conditionalFormatting sqref="B87">
    <cfRule type="containsText" dxfId="63" priority="5" operator="containsText" text="Did Not Meet">
      <formula>NOT(ISERROR(SEARCH("Did Not Meet",B87)))</formula>
    </cfRule>
    <cfRule type="containsText" dxfId="62" priority="6" operator="containsText" text="Met">
      <formula>NOT(ISERROR(SEARCH("Met",B87)))</formula>
    </cfRule>
  </conditionalFormatting>
  <conditionalFormatting sqref="B95">
    <cfRule type="containsText" dxfId="61" priority="2" operator="containsText" text="Met">
      <formula>NOT(ISERROR(SEARCH("Met",B95)))</formula>
    </cfRule>
    <cfRule type="containsText" dxfId="60" priority="1" operator="containsText" text="Did Not Meet">
      <formula>NOT(ISERROR(SEARCH("Did Not Meet",B95)))</formula>
    </cfRule>
  </conditionalFormatting>
  <conditionalFormatting sqref="F15">
    <cfRule type="containsText" dxfId="59" priority="39" operator="containsText" text="Did Not Meet">
      <formula>NOT(ISERROR(SEARCH("Did Not Meet",F15)))</formula>
    </cfRule>
    <cfRule type="containsText" dxfId="58" priority="40" operator="containsText" text="Met">
      <formula>NOT(ISERROR(SEARCH("Met",F15)))</formula>
    </cfRule>
  </conditionalFormatting>
  <conditionalFormatting sqref="F23">
    <cfRule type="containsText" dxfId="57" priority="37" operator="containsText" text="Did Not Meet">
      <formula>NOT(ISERROR(SEARCH("Did Not Meet",F23)))</formula>
    </cfRule>
    <cfRule type="containsText" dxfId="56" priority="38" operator="containsText" text="Met">
      <formula>NOT(ISERROR(SEARCH("Met",F23)))</formula>
    </cfRule>
  </conditionalFormatting>
  <conditionalFormatting sqref="F31">
    <cfRule type="containsText" dxfId="55" priority="31" operator="containsText" text="Did Not Meet">
      <formula>NOT(ISERROR(SEARCH("Did Not Meet",F31)))</formula>
    </cfRule>
    <cfRule type="containsText" dxfId="54" priority="32" operator="containsText" text="Met">
      <formula>NOT(ISERROR(SEARCH("Met",F31)))</formula>
    </cfRule>
  </conditionalFormatting>
  <conditionalFormatting sqref="F39">
    <cfRule type="containsText" dxfId="53" priority="27" operator="containsText" text="Did Not Meet">
      <formula>NOT(ISERROR(SEARCH("Did Not Meet",F39)))</formula>
    </cfRule>
    <cfRule type="containsText" dxfId="52" priority="28" operator="containsText" text="Met">
      <formula>NOT(ISERROR(SEARCH("Met",F39)))</formula>
    </cfRule>
  </conditionalFormatting>
  <conditionalFormatting sqref="F47">
    <cfRule type="containsText" dxfId="51" priority="23" operator="containsText" text="Did Not Meet">
      <formula>NOT(ISERROR(SEARCH("Did Not Meet",F47)))</formula>
    </cfRule>
    <cfRule type="containsText" dxfId="50" priority="24" operator="containsText" text="Met">
      <formula>NOT(ISERROR(SEARCH("Met",F47)))</formula>
    </cfRule>
  </conditionalFormatting>
  <conditionalFormatting sqref="F55">
    <cfRule type="containsText" dxfId="49" priority="20" operator="containsText" text="Met">
      <formula>NOT(ISERROR(SEARCH("Met",F55)))</formula>
    </cfRule>
    <cfRule type="containsText" dxfId="48" priority="19" operator="containsText" text="Did Not Meet">
      <formula>NOT(ISERROR(SEARCH("Did Not Meet",F55)))</formula>
    </cfRule>
  </conditionalFormatting>
  <conditionalFormatting sqref="F63">
    <cfRule type="containsText" dxfId="47" priority="18" operator="containsText" text="Met">
      <formula>NOT(ISERROR(SEARCH("Met",F63)))</formula>
    </cfRule>
    <cfRule type="containsText" dxfId="46" priority="17" operator="containsText" text="Did Not Meet">
      <formula>NOT(ISERROR(SEARCH("Did Not Meet",F63)))</formula>
    </cfRule>
  </conditionalFormatting>
  <conditionalFormatting sqref="F71">
    <cfRule type="containsText" dxfId="45" priority="12" operator="containsText" text="Met">
      <formula>NOT(ISERROR(SEARCH("Met",F71)))</formula>
    </cfRule>
    <cfRule type="containsText" dxfId="44" priority="11" operator="containsText" text="Did Not Meet">
      <formula>NOT(ISERROR(SEARCH("Did Not Meet",F71)))</formula>
    </cfRule>
  </conditionalFormatting>
  <conditionalFormatting sqref="F79">
    <cfRule type="containsText" dxfId="43" priority="10" operator="containsText" text="Met">
      <formula>NOT(ISERROR(SEARCH("Met",F79)))</formula>
    </cfRule>
    <cfRule type="containsText" dxfId="42" priority="9" operator="containsText" text="Did Not Meet">
      <formula>NOT(ISERROR(SEARCH("Did Not Meet",F79)))</formula>
    </cfRule>
  </conditionalFormatting>
  <conditionalFormatting sqref="F87">
    <cfRule type="containsText" dxfId="41" priority="3" operator="containsText" text="Did Not Meet">
      <formula>NOT(ISERROR(SEARCH("Did Not Meet",F87)))</formula>
    </cfRule>
    <cfRule type="containsText" dxfId="40" priority="4" operator="containsText" text="Met">
      <formula>NOT(ISERROR(SEARCH("Met",F87)))</formula>
    </cfRule>
  </conditionalFormatting>
  <hyperlinks>
    <hyperlink ref="A97" r:id="rId1" xr:uid="{1E59EDFC-46E7-4831-9EFE-B3991450F8E3}"/>
  </hyperlinks>
  <pageMargins left="0.7" right="0.7" top="0.75" bottom="0.75" header="0.3" footer="0.3"/>
  <pageSetup orientation="portrait" r:id="rId2"/>
  <tableParts count="2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tabColor theme="7"/>
  </sheetPr>
  <dimension ref="A1:I98"/>
  <sheetViews>
    <sheetView showGridLines="0" zoomScaleNormal="100" workbookViewId="0">
      <selection activeCell="A4" sqref="A4"/>
    </sheetView>
  </sheetViews>
  <sheetFormatPr defaultColWidth="0" defaultRowHeight="14.75" zeroHeight="1" x14ac:dyDescent="0.75"/>
  <cols>
    <col min="1" max="1" width="40.7265625" customWidth="1"/>
    <col min="2" max="2" width="25.86328125" bestFit="1" customWidth="1"/>
    <col min="3" max="4" width="9.1328125" customWidth="1"/>
    <col min="5" max="5" width="40.7265625" customWidth="1"/>
    <col min="6" max="6" width="26.1328125" bestFit="1" customWidth="1"/>
    <col min="7" max="7" width="0.86328125" customWidth="1"/>
    <col min="8" max="8" width="27" hidden="1" customWidth="1"/>
    <col min="9" max="9" width="9.1328125" hidden="1" customWidth="1"/>
    <col min="10" max="16384" width="9.1328125" hidden="1"/>
  </cols>
  <sheetData>
    <row r="1" spans="1:9" ht="37.5" customHeight="1" x14ac:dyDescent="0.75">
      <c r="A1" s="303" t="s">
        <v>180</v>
      </c>
      <c r="B1" s="304"/>
      <c r="C1" s="396" t="s">
        <v>175</v>
      </c>
      <c r="D1" s="396"/>
      <c r="E1" s="21" t="s">
        <v>14</v>
      </c>
      <c r="F1" s="20" t="str">
        <f>IF('2. Getting Started'!B2="","",'2. Getting Started'!B2)</f>
        <v/>
      </c>
    </row>
    <row r="2" spans="1:9" ht="18.75" customHeight="1" x14ac:dyDescent="0.9">
      <c r="A2" s="18" t="s">
        <v>13</v>
      </c>
      <c r="B2" s="4"/>
      <c r="C2" s="396"/>
      <c r="D2" s="396"/>
      <c r="E2" s="18" t="s">
        <v>6</v>
      </c>
      <c r="F2" s="4"/>
      <c r="H2" s="2" t="s">
        <v>12</v>
      </c>
    </row>
    <row r="3" spans="1:9" ht="39" customHeight="1" x14ac:dyDescent="0.8">
      <c r="A3" s="16" t="str">
        <f>CONCATENATE("Prior to Year 1: SFY ",'2. Getting Started'!B6)</f>
        <v>Prior to Year 1: SFY 2024</v>
      </c>
      <c r="B3" s="16"/>
      <c r="C3" s="396"/>
      <c r="D3" s="396"/>
      <c r="E3" s="16" t="str">
        <f>CONCATENATE("Prior to Year 1: SFY ",'2. Getting Started'!B6)</f>
        <v>Prior to Year 1: SFY 2024</v>
      </c>
      <c r="F3" s="16"/>
      <c r="H3" s="2"/>
    </row>
    <row r="4" spans="1:9" ht="44.25" x14ac:dyDescent="0.75">
      <c r="A4" s="224" t="str">
        <f>CONCATENATE("Last year before SFY ",'2. Getting Started'!B6," that the compliance standard was met for state and local funds per capita")</f>
        <v>Last year before SFY 2024 that the compliance standard was met for state and local funds per capita</v>
      </c>
      <c r="B4" s="257" t="str">
        <f>IF('2. Getting Started'!B13="","",'2. Getting Started'!B13)</f>
        <v/>
      </c>
      <c r="C4" s="396"/>
      <c r="D4" s="396"/>
      <c r="E4" s="224" t="str">
        <f>CONCATENATE("Last year before SFY ",'2. Getting Started'!B6," that the compliance standard was met for state and local funds per capita")</f>
        <v>Last year before SFY 2024 that the compliance standard was met for state and local funds per capita</v>
      </c>
      <c r="F4" s="257" t="str">
        <f>IF('2. Getting Started'!B13="","",'2. Getting Started'!B13)</f>
        <v/>
      </c>
      <c r="H4" s="1" t="s">
        <v>21</v>
      </c>
      <c r="I4">
        <f>'2. Getting Started'!B6-'2. Getting Started'!B13</f>
        <v>2024</v>
      </c>
    </row>
    <row r="5" spans="1:9" ht="15" customHeight="1" x14ac:dyDescent="0.75">
      <c r="A5" s="223" t="s">
        <v>1</v>
      </c>
      <c r="B5" s="258" t="str">
        <f>IF('2. Getting Started'!C13="","",'2. Getting Started'!C13)</f>
        <v/>
      </c>
      <c r="C5" s="396"/>
      <c r="D5" s="396"/>
      <c r="E5" s="223" t="s">
        <v>1</v>
      </c>
      <c r="F5" s="258" t="str">
        <f>IF('2. Getting Started'!C13="","",'2. Getting Started'!C13)</f>
        <v/>
      </c>
    </row>
    <row r="6" spans="1:9" ht="15" customHeight="1" x14ac:dyDescent="0.75">
      <c r="A6" s="223" t="s">
        <v>116</v>
      </c>
      <c r="B6" s="286" t="str">
        <f>IF('2. Getting Started'!D13="","",'2. Getting Started'!D13)</f>
        <v/>
      </c>
      <c r="C6" s="396"/>
      <c r="D6" s="396"/>
      <c r="E6" s="223" t="s">
        <v>116</v>
      </c>
      <c r="F6" s="286" t="str">
        <f>IF('2. Getting Started'!D13="","",'2. Getting Started'!D13)</f>
        <v/>
      </c>
    </row>
    <row r="7" spans="1:9" x14ac:dyDescent="0.75">
      <c r="A7" s="228" t="s">
        <v>5</v>
      </c>
      <c r="B7" s="261" t="str">
        <f>IF(B6="","",IF(I4=1,0,IF(I4&gt;1,(VLOOKUP(I4,'3a. Intervening Years'!I4:K22,3)/B6))))</f>
        <v/>
      </c>
      <c r="C7" s="396"/>
      <c r="D7" s="396"/>
      <c r="E7" s="228" t="s">
        <v>5</v>
      </c>
      <c r="F7" s="261" t="str">
        <f>IF(F6="","",IF(I4=1,0,IF(I4&gt;1,(VLOOKUP(I4,'3a. Intervening Years'!I4:K22,3)/F6))))</f>
        <v/>
      </c>
    </row>
    <row r="8" spans="1:9" ht="15" customHeight="1" x14ac:dyDescent="0.75">
      <c r="A8" s="388" t="s">
        <v>175</v>
      </c>
      <c r="B8" s="388"/>
      <c r="C8" s="396"/>
      <c r="D8" s="396"/>
      <c r="E8" s="388" t="s">
        <v>175</v>
      </c>
      <c r="F8" s="388"/>
    </row>
    <row r="9" spans="1:9" ht="15.75" customHeight="1" x14ac:dyDescent="0.8">
      <c r="A9" s="5" t="str">
        <f>CONCATENATE("Year 1: SFY ",'2. Getting Started'!B$6)</f>
        <v>Year 1: SFY 2024</v>
      </c>
      <c r="B9" s="4"/>
      <c r="C9" s="396"/>
      <c r="D9" s="396"/>
      <c r="E9" s="5" t="str">
        <f>CONCATENATE("Year 1: SFY ",'2. Getting Started'!B$6)</f>
        <v>Year 1: SFY 2024</v>
      </c>
      <c r="F9" s="4"/>
    </row>
    <row r="10" spans="1:9" ht="15" customHeight="1" x14ac:dyDescent="0.75">
      <c r="A10" s="365" t="s">
        <v>185</v>
      </c>
      <c r="B10" s="360"/>
      <c r="C10" s="396"/>
      <c r="D10" s="396"/>
      <c r="E10" s="223" t="str">
        <f>CONCATENATE("Starting MOE Threshold for SFY ",'2. Getting Started'!B$6)</f>
        <v>Starting MOE Threshold for SFY 2024</v>
      </c>
      <c r="F10" s="258" t="str">
        <f>IF(F5="","",(F5-F7))</f>
        <v/>
      </c>
    </row>
    <row r="11" spans="1:9" ht="15" customHeight="1" x14ac:dyDescent="0.75">
      <c r="A11" s="366" t="s">
        <v>186</v>
      </c>
      <c r="B11" s="362"/>
      <c r="C11" s="396"/>
      <c r="D11" s="396"/>
      <c r="E11" s="223" t="str">
        <f>CONCATENATE("SFY ",'2. Getting Started'!B$6," Exceptions")</f>
        <v>SFY 2024 Exceptions</v>
      </c>
      <c r="F11" s="258" t="str">
        <f>IF(F6="","",('6. Year 1 Exc &amp; Adj'!I68/F6))</f>
        <v/>
      </c>
    </row>
    <row r="12" spans="1:9" ht="15" customHeight="1" x14ac:dyDescent="0.75">
      <c r="A12" s="361" t="s">
        <v>187</v>
      </c>
      <c r="B12" s="362"/>
      <c r="C12" s="396"/>
      <c r="D12" s="396"/>
      <c r="E12" s="223" t="str">
        <f>CONCATENATE("SFY ",'2. Getting Started'!B$6," Adjustment")</f>
        <v>SFY 2024 Adjustment</v>
      </c>
      <c r="F12" s="258" t="str">
        <f>IF(F6="","",(AdjDataYear1Expenditures[[Adjustment ]]/F6))</f>
        <v/>
      </c>
    </row>
    <row r="13" spans="1:9" ht="15" customHeight="1" x14ac:dyDescent="0.75">
      <c r="A13" s="361"/>
      <c r="B13" s="362"/>
      <c r="C13" s="396"/>
      <c r="D13" s="396"/>
      <c r="E13" s="223" t="str">
        <f>CONCATENATE("Adjusted MOE Threshold for SFY ",'2. Getting Started'!B$6)</f>
        <v>Adjusted MOE Threshold for SFY 2024</v>
      </c>
      <c r="F13" s="258" t="str">
        <f>IF(F10="","",(F10-F11-F12))</f>
        <v/>
      </c>
    </row>
    <row r="14" spans="1:9" ht="15" customHeight="1" x14ac:dyDescent="0.75">
      <c r="A14" s="361"/>
      <c r="B14" s="362"/>
      <c r="C14" s="396"/>
      <c r="D14" s="396"/>
      <c r="E14" s="223" t="str">
        <f>CONCATENATE("Final Expenditures for SFY ",'2. Getting Started'!B$6)</f>
        <v>Final Expenditures for SFY 2024</v>
      </c>
      <c r="F14" s="258" t="str">
        <f>IF('5. Year 1 Amounts'!M30="","",'5. Year 1 Amounts'!M31)</f>
        <v/>
      </c>
    </row>
    <row r="15" spans="1:9" ht="15" customHeight="1" x14ac:dyDescent="0.75">
      <c r="A15" s="363"/>
      <c r="B15" s="364"/>
      <c r="C15" s="396"/>
      <c r="D15" s="396"/>
      <c r="E15" s="275" t="str">
        <f>CONCATENATE("MOE Result for SFY ",'2. Getting Started'!B$6)</f>
        <v>MOE Result for SFY 2024</v>
      </c>
      <c r="F15" s="285" t="str">
        <f>IF(F14="","",IF(F14&gt;=F13,"Met","Did Not Meet"))</f>
        <v/>
      </c>
    </row>
    <row r="16" spans="1:9" ht="15" customHeight="1" x14ac:dyDescent="0.75">
      <c r="A16" s="388" t="s">
        <v>175</v>
      </c>
      <c r="B16" s="388"/>
      <c r="C16" s="396"/>
      <c r="D16" s="396"/>
      <c r="E16" s="388" t="s">
        <v>175</v>
      </c>
      <c r="F16" s="388"/>
    </row>
    <row r="17" spans="1:9" ht="15.75" customHeight="1" x14ac:dyDescent="0.8">
      <c r="A17" s="5" t="str">
        <f>CONCATENATE("Year 2: SFY ",'2. Getting Started'!B$6+1)</f>
        <v>Year 2: SFY 2025</v>
      </c>
      <c r="B17" s="4"/>
      <c r="C17" s="396"/>
      <c r="D17" s="396"/>
      <c r="E17" s="5" t="str">
        <f>CONCATENATE("Year 2: SFY ",'2. Getting Started'!B$6+1)</f>
        <v>Year 2: SFY 2025</v>
      </c>
      <c r="F17" s="4"/>
    </row>
    <row r="18" spans="1:9" ht="15" customHeight="1" x14ac:dyDescent="0.75">
      <c r="A18" s="223" t="str">
        <f>CONCATENATE("Starting MOE Threshold for SFY ",'2. Getting Started'!B$6+1)</f>
        <v>Starting MOE Threshold for SFY 2025</v>
      </c>
      <c r="B18" s="258" t="str">
        <f>IF(B5="","",(B5-B7))</f>
        <v/>
      </c>
      <c r="C18" s="396"/>
      <c r="D18" s="396"/>
      <c r="E18" s="223" t="str">
        <f>CONCATENATE("Starting MOE Threshold for SFY ",'2. Getting Started'!B$6+1)</f>
        <v>Starting MOE Threshold for SFY 2025</v>
      </c>
      <c r="F18" s="258" t="str">
        <f>IF(F15="Met",F14,F13)</f>
        <v/>
      </c>
    </row>
    <row r="19" spans="1:9" ht="15" customHeight="1" x14ac:dyDescent="0.75">
      <c r="A19" s="223" t="str">
        <f>CONCATENATE("SFY ",'2. Getting Started'!B$6," + ",'2. Getting Started'!B$6+1," Projected Exceptions")</f>
        <v>SFY 2024 + 2025 Projected Exceptions</v>
      </c>
      <c r="B19" s="258" t="str">
        <f>IF(B6="","",(('6. Year 1 Exc &amp; Adj'!B68+'9. Year 2 Exc &amp; Adj'!B68)/B6))</f>
        <v/>
      </c>
      <c r="C19" s="396"/>
      <c r="D19" s="396"/>
      <c r="E19" s="223" t="str">
        <f>CONCATENATE("SFY ",'2. Getting Started'!B$6+1," Exceptions")</f>
        <v>SFY 2025 Exceptions</v>
      </c>
      <c r="F19" s="258" t="str">
        <f>IF(F6="","",('9. Year 2 Exc &amp; Adj'!I68/I19))</f>
        <v/>
      </c>
      <c r="H19" t="s">
        <v>118</v>
      </c>
      <c r="I19" t="str">
        <f>IF(F15="Met",'5. Year 1 Amounts'!I1,F6)</f>
        <v/>
      </c>
    </row>
    <row r="20" spans="1:9" ht="15" customHeight="1" x14ac:dyDescent="0.75">
      <c r="A20" s="223" t="str">
        <f>CONCATENATE("SFY ",'2. Getting Started'!B$6," + ",'2. Getting Started'!B$6+1," Projected Adjustments")</f>
        <v>SFY 2024 + 2025 Projected Adjustments</v>
      </c>
      <c r="B20" s="258" t="str">
        <f>IF(B6="","",((AdjDataYear1Budget[Projected Adjustment]+AdjDataYear2Budget[Projected Adjustment])/B6))</f>
        <v/>
      </c>
      <c r="C20" s="396"/>
      <c r="D20" s="396"/>
      <c r="E20" s="223" t="str">
        <f>CONCATENATE("SFY ",'2. Getting Started'!B$6+1," Adjustment")</f>
        <v>SFY 2025 Adjustment</v>
      </c>
      <c r="F20" s="258" t="str">
        <f>IF(F6="","",(AdjDataYear2Expenditures[[Adjustment ]]/I19))</f>
        <v/>
      </c>
    </row>
    <row r="21" spans="1:9" ht="15" customHeight="1" x14ac:dyDescent="0.75">
      <c r="A21" s="223" t="str">
        <f>CONCATENATE("Adjusted MOE Threshold for SFY ",'2. Getting Started'!B$6+1)</f>
        <v>Adjusted MOE Threshold for SFY 2025</v>
      </c>
      <c r="B21" s="258" t="str">
        <f>IF(B18="","",(B18-B19-B20))</f>
        <v/>
      </c>
      <c r="C21" s="396"/>
      <c r="D21" s="396"/>
      <c r="E21" s="223" t="str">
        <f>CONCATENATE("Adjusted MOE Threshold for SFY ",'2. Getting Started'!B$6+1)</f>
        <v>Adjusted MOE Threshold for SFY 2025</v>
      </c>
      <c r="F21" s="258" t="str">
        <f>IF(F18="","",(F18-F19-F20))</f>
        <v/>
      </c>
    </row>
    <row r="22" spans="1:9" ht="15" customHeight="1" x14ac:dyDescent="0.75">
      <c r="A22" s="223" t="str">
        <f>CONCATENATE("Budgeted Amount for SFY ",'2. Getting Started'!B$6+1)</f>
        <v>Budgeted Amount for SFY 2025</v>
      </c>
      <c r="B22" s="258" t="str">
        <f>'8. Year 2 Amounts'!F31</f>
        <v/>
      </c>
      <c r="C22" s="396"/>
      <c r="D22" s="396"/>
      <c r="E22" s="223" t="str">
        <f>CONCATENATE("Final Expenditures for SFY ",'2. Getting Started'!B$6+1)</f>
        <v>Final Expenditures for SFY 2025</v>
      </c>
      <c r="F22" s="258" t="str">
        <f>'8. Year 2 Amounts'!M31</f>
        <v/>
      </c>
    </row>
    <row r="23" spans="1:9" ht="15" customHeight="1" x14ac:dyDescent="0.75">
      <c r="A23" s="275" t="str">
        <f>CONCATENATE("MOE Result for SFY ",'2. Getting Started'!B$6+1)</f>
        <v>MOE Result for SFY 2025</v>
      </c>
      <c r="B23" s="285" t="str">
        <f>IF(B22="","",IF(B22&gt;=B21,"Met","Did Not Meet"))</f>
        <v/>
      </c>
      <c r="C23" s="396"/>
      <c r="D23" s="396"/>
      <c r="E23" s="275" t="str">
        <f>CONCATENATE("MOE Result for SFY ",'2. Getting Started'!B$6+1)</f>
        <v>MOE Result for SFY 2025</v>
      </c>
      <c r="F23" s="285" t="str">
        <f>IF(F22="","",IF(F22&gt;=F21,"Met","Did Not Meet"))</f>
        <v/>
      </c>
    </row>
    <row r="24" spans="1:9" ht="15" customHeight="1" x14ac:dyDescent="0.75">
      <c r="A24" s="388" t="s">
        <v>175</v>
      </c>
      <c r="B24" s="388"/>
      <c r="C24" s="396"/>
      <c r="D24" s="396"/>
      <c r="E24" s="388" t="s">
        <v>175</v>
      </c>
      <c r="F24" s="388"/>
    </row>
    <row r="25" spans="1:9" ht="15.75" customHeight="1" x14ac:dyDescent="0.8">
      <c r="A25" s="5" t="str">
        <f>CONCATENATE("Year 3: SFY ",'2. Getting Started'!B$6+2)</f>
        <v>Year 3: SFY 2026</v>
      </c>
      <c r="B25" s="4"/>
      <c r="C25" s="396"/>
      <c r="D25" s="396"/>
      <c r="E25" s="5" t="str">
        <f>CONCATENATE("Year 3: SFY ",'2. Getting Started'!B$6+2)</f>
        <v>Year 3: SFY 2026</v>
      </c>
      <c r="F25" s="4"/>
    </row>
    <row r="26" spans="1:9" ht="15" customHeight="1" x14ac:dyDescent="0.75">
      <c r="A26" s="223" t="str">
        <f>CONCATENATE("Starting MOE Threshold for SFY ",'2. Getting Started'!B$6+2)</f>
        <v>Starting MOE Threshold for SFY 2026</v>
      </c>
      <c r="B26" s="258" t="str">
        <f>IF(F15="Met",F14,F13)</f>
        <v/>
      </c>
      <c r="C26" s="396"/>
      <c r="D26" s="396"/>
      <c r="E26" s="223" t="str">
        <f>CONCATENATE("Starting MOE Threshold for SFY ",'2. Getting Started'!B$6+2)</f>
        <v>Starting MOE Threshold for SFY 2026</v>
      </c>
      <c r="F26" s="258" t="str">
        <f>IF(F23="Met",F22,F21)</f>
        <v/>
      </c>
    </row>
    <row r="27" spans="1:9" ht="15" customHeight="1" x14ac:dyDescent="0.75">
      <c r="A27" s="223" t="str">
        <f>CONCATENATE("SFY ",'2. Getting Started'!B$6+1," + ",'2. Getting Started'!B$6+2," Projected Exceptions")</f>
        <v>SFY 2025 + 2026 Projected Exceptions</v>
      </c>
      <c r="B27" s="258" t="str">
        <f>IF(B6="","",(('9. Year 2 Exc &amp; Adj'!B68+'12. Year 3 Exc &amp; Adj'!B68)/I19))</f>
        <v/>
      </c>
      <c r="C27" s="396"/>
      <c r="D27" s="396"/>
      <c r="E27" s="223" t="str">
        <f>CONCATENATE("SFY ",'2. Getting Started'!B$6+2," Exceptions")</f>
        <v>SFY 2026 Exceptions</v>
      </c>
      <c r="F27" s="258" t="str">
        <f>IF(F6="","",('12. Year 3 Exc &amp; Adj'!I68/I27))</f>
        <v/>
      </c>
      <c r="H27" t="s">
        <v>118</v>
      </c>
      <c r="I27" t="str">
        <f>IF(F23="Met",'8. Year 2 Amounts'!I1,IF(F15="Met",'5. Year 1 Amounts'!I1,F6))</f>
        <v/>
      </c>
    </row>
    <row r="28" spans="1:9" ht="15" customHeight="1" x14ac:dyDescent="0.75">
      <c r="A28" s="223" t="str">
        <f>CONCATENATE("SFY ",'2. Getting Started'!B$6+1," + ",'2. Getting Started'!B$6+2," Projected Adjustments")</f>
        <v>SFY 2025 + 2026 Projected Adjustments</v>
      </c>
      <c r="B28" s="258" t="str">
        <f>IF(B6="","",((AdjDataYear2Budget[Projected Adjustment]+AdjDataYear3Budget[Projected Adjustment])/I19))</f>
        <v/>
      </c>
      <c r="C28" s="396"/>
      <c r="D28" s="396"/>
      <c r="E28" s="223" t="str">
        <f>CONCATENATE("SFY ",'2. Getting Started'!B$6+2," Adjustment")</f>
        <v>SFY 2026 Adjustment</v>
      </c>
      <c r="F28" s="258" t="str">
        <f>IF(F6="","",(AdjDataYear3Expenditures[[Adjustment ]]/I27))</f>
        <v/>
      </c>
    </row>
    <row r="29" spans="1:9" ht="15" customHeight="1" x14ac:dyDescent="0.75">
      <c r="A29" s="223" t="str">
        <f>CONCATENATE("Adjusted MOE Threshold for SFY ",'2. Getting Started'!B$6+2)</f>
        <v>Adjusted MOE Threshold for SFY 2026</v>
      </c>
      <c r="B29" s="258" t="str">
        <f>IF(B26="","",(B26-B27-B28))</f>
        <v/>
      </c>
      <c r="C29" s="396"/>
      <c r="D29" s="396"/>
      <c r="E29" s="223" t="str">
        <f>CONCATENATE("Adjusted MOE Threshold for SFY ",'2. Getting Started'!B$6+2)</f>
        <v>Adjusted MOE Threshold for SFY 2026</v>
      </c>
      <c r="F29" s="258" t="str">
        <f>IF(F26="","",(F26-F27-F28))</f>
        <v/>
      </c>
    </row>
    <row r="30" spans="1:9" ht="15" customHeight="1" x14ac:dyDescent="0.75">
      <c r="A30" s="223" t="str">
        <f>CONCATENATE("Budgeted Amount for SFY ",'2. Getting Started'!B$6+2)</f>
        <v>Budgeted Amount for SFY 2026</v>
      </c>
      <c r="B30" s="258" t="str">
        <f>'11. Year 3 Amounts'!F31</f>
        <v/>
      </c>
      <c r="C30" s="396"/>
      <c r="D30" s="396"/>
      <c r="E30" s="223" t="str">
        <f>CONCATENATE("Final Expenditures for SFY ",'2. Getting Started'!B$6+2)</f>
        <v>Final Expenditures for SFY 2026</v>
      </c>
      <c r="F30" s="258" t="str">
        <f>'11. Year 3 Amounts'!M31</f>
        <v/>
      </c>
    </row>
    <row r="31" spans="1:9" ht="15" customHeight="1" x14ac:dyDescent="0.75">
      <c r="A31" s="275" t="str">
        <f>CONCATENATE("MOE Result for SFY ",'2. Getting Started'!B$6+2)</f>
        <v>MOE Result for SFY 2026</v>
      </c>
      <c r="B31" s="285" t="str">
        <f>IF(B30="","",IF(B30&gt;=B29,"Met","Did Not Meet"))</f>
        <v/>
      </c>
      <c r="C31" s="396"/>
      <c r="D31" s="396"/>
      <c r="E31" s="275" t="str">
        <f>CONCATENATE("MOE Result for SFY ",'2. Getting Started'!B$6+2)</f>
        <v>MOE Result for SFY 2026</v>
      </c>
      <c r="F31" s="285" t="str">
        <f>IF(F30="","",IF(F30&gt;=F29,"Met","Did Not Meet"))</f>
        <v/>
      </c>
    </row>
    <row r="32" spans="1:9" ht="15" customHeight="1" x14ac:dyDescent="0.75">
      <c r="A32" s="388" t="s">
        <v>175</v>
      </c>
      <c r="B32" s="388"/>
      <c r="C32" s="396"/>
      <c r="D32" s="396"/>
      <c r="E32" s="388" t="s">
        <v>175</v>
      </c>
      <c r="F32" s="388"/>
    </row>
    <row r="33" spans="1:9" ht="15.75" customHeight="1" x14ac:dyDescent="0.8">
      <c r="A33" s="5" t="str">
        <f>CONCATENATE("Year 4: SFY ",'2. Getting Started'!B$6+3)</f>
        <v>Year 4: SFY 2027</v>
      </c>
      <c r="B33" s="4"/>
      <c r="C33" s="396"/>
      <c r="D33" s="396"/>
      <c r="E33" s="5" t="str">
        <f>CONCATENATE("Year 4: SFY ",'2. Getting Started'!B$6+3)</f>
        <v>Year 4: SFY 2027</v>
      </c>
      <c r="F33" s="4"/>
    </row>
    <row r="34" spans="1:9" ht="15" customHeight="1" x14ac:dyDescent="0.75">
      <c r="A34" s="223" t="str">
        <f>CONCATENATE("Starting MOE Threshold for SFY ",'2. Getting Started'!B$6+3)</f>
        <v>Starting MOE Threshold for SFY 2027</v>
      </c>
      <c r="B34" s="258" t="str">
        <f>IF(F23="Met",F22,F21)</f>
        <v/>
      </c>
      <c r="C34" s="396"/>
      <c r="D34" s="396"/>
      <c r="E34" s="223" t="str">
        <f>CONCATENATE("Starting MOE Threshold for SFY ",'2. Getting Started'!B$6+3)</f>
        <v>Starting MOE Threshold for SFY 2027</v>
      </c>
      <c r="F34" s="258" t="str">
        <f>IF(F31="Met",F30,F29)</f>
        <v/>
      </c>
    </row>
    <row r="35" spans="1:9" ht="15" customHeight="1" x14ac:dyDescent="0.75">
      <c r="A35" s="223" t="str">
        <f>CONCATENATE("SFY ",'2. Getting Started'!B$6+2," + ",'2. Getting Started'!B$6+3," Projected Exceptions")</f>
        <v>SFY 2026 + 2027 Projected Exceptions</v>
      </c>
      <c r="B35" s="258" t="str">
        <f>IF(B6="","",(('12. Year 3 Exc &amp; Adj'!B68+'15. Year 4 Exc &amp; Adj'!B68)/I27))</f>
        <v/>
      </c>
      <c r="C35" s="396"/>
      <c r="D35" s="396"/>
      <c r="E35" s="223" t="str">
        <f>CONCATENATE("SFY ",'2. Getting Started'!B$6+3," Exceptions")</f>
        <v>SFY 2027 Exceptions</v>
      </c>
      <c r="F35" s="258" t="str">
        <f>IF(F6="","",('15. Year 4 Exc &amp; Adj'!I68/I35))</f>
        <v/>
      </c>
      <c r="H35" t="s">
        <v>118</v>
      </c>
      <c r="I35" t="str">
        <f>IF(F31="Met",'11. Year 3 Amounts'!I1,IF(F23="Met",'8. Year 2 Amounts'!I1,IF(F15="Met",'5. Year 1 Amounts'!I1,F6)))</f>
        <v/>
      </c>
    </row>
    <row r="36" spans="1:9" ht="15" customHeight="1" x14ac:dyDescent="0.75">
      <c r="A36" s="223" t="str">
        <f>CONCATENATE("SFY ",'2. Getting Started'!B$6+2," + ",'2. Getting Started'!B$6+3," Projected Adjustments")</f>
        <v>SFY 2026 + 2027 Projected Adjustments</v>
      </c>
      <c r="B36" s="258" t="str">
        <f>IF(B6="","",((AdjDataYear3Budget[Projected Adjustment]+AdjDataYear4Budget[Projected Adjustment])/I27))</f>
        <v/>
      </c>
      <c r="C36" s="396"/>
      <c r="D36" s="396"/>
      <c r="E36" s="223" t="str">
        <f>CONCATENATE("SFY ",'2. Getting Started'!B$6+3," Adjustment")</f>
        <v>SFY 2027 Adjustment</v>
      </c>
      <c r="F36" s="258" t="str">
        <f>IF(F6="","",(AdjDataYear4Expenditures[[Adjustment ]]/I35))</f>
        <v/>
      </c>
    </row>
    <row r="37" spans="1:9" ht="15" customHeight="1" x14ac:dyDescent="0.75">
      <c r="A37" s="223" t="str">
        <f>CONCATENATE("Adjusted MOE Threshold for SFY ",'2. Getting Started'!B$6+3)</f>
        <v>Adjusted MOE Threshold for SFY 2027</v>
      </c>
      <c r="B37" s="258" t="str">
        <f>IF(B34="","",(B34-B35-B36))</f>
        <v/>
      </c>
      <c r="C37" s="396"/>
      <c r="D37" s="396"/>
      <c r="E37" s="223" t="str">
        <f>CONCATENATE("Adjusted MOE Threshold for SFY ",'2. Getting Started'!B$6+3)</f>
        <v>Adjusted MOE Threshold for SFY 2027</v>
      </c>
      <c r="F37" s="258" t="str">
        <f>IF(F34="","",(F34-F35-F36))</f>
        <v/>
      </c>
    </row>
    <row r="38" spans="1:9" ht="15" customHeight="1" x14ac:dyDescent="0.75">
      <c r="A38" s="223" t="str">
        <f>CONCATENATE("Budgeted Amount for SFY ",'2. Getting Started'!B$6+3)</f>
        <v>Budgeted Amount for SFY 2027</v>
      </c>
      <c r="B38" s="258" t="str">
        <f>'14. Year 4 Amounts'!F31</f>
        <v/>
      </c>
      <c r="C38" s="396"/>
      <c r="D38" s="396"/>
      <c r="E38" s="223" t="str">
        <f>CONCATENATE("Final Expenditures for SFY ",'2. Getting Started'!B$6+3)</f>
        <v>Final Expenditures for SFY 2027</v>
      </c>
      <c r="F38" s="258" t="str">
        <f>'14. Year 4 Amounts'!M31</f>
        <v/>
      </c>
    </row>
    <row r="39" spans="1:9" ht="15" customHeight="1" x14ac:dyDescent="0.75">
      <c r="A39" s="275" t="str">
        <f>CONCATENATE("MOE Result for SFY ",'2. Getting Started'!B$6+3)</f>
        <v>MOE Result for SFY 2027</v>
      </c>
      <c r="B39" s="285" t="str">
        <f>IF(B38="","",IF(B38&gt;=B37,"Met","Did Not Meet"))</f>
        <v/>
      </c>
      <c r="C39" s="396"/>
      <c r="D39" s="396"/>
      <c r="E39" s="275" t="str">
        <f>CONCATENATE("MOE Result for SFY ",'2. Getting Started'!B$6+3)</f>
        <v>MOE Result for SFY 2027</v>
      </c>
      <c r="F39" s="285" t="str">
        <f>IF(F38="","",IF(F38&gt;=F37,"Met","Did Not Meet"))</f>
        <v/>
      </c>
    </row>
    <row r="40" spans="1:9" ht="15" customHeight="1" x14ac:dyDescent="0.75">
      <c r="A40" s="388" t="s">
        <v>175</v>
      </c>
      <c r="B40" s="388"/>
      <c r="C40" s="396"/>
      <c r="D40" s="396"/>
      <c r="E40" s="388" t="s">
        <v>175</v>
      </c>
      <c r="F40" s="388"/>
    </row>
    <row r="41" spans="1:9" ht="15.75" customHeight="1" x14ac:dyDescent="0.8">
      <c r="A41" s="5" t="str">
        <f>CONCATENATE("Year 5: SFY ",'2. Getting Started'!B$6+4)</f>
        <v>Year 5: SFY 2028</v>
      </c>
      <c r="B41" s="4"/>
      <c r="C41" s="396"/>
      <c r="D41" s="396"/>
      <c r="E41" s="5" t="str">
        <f>CONCATENATE("Year 5: SFY ",'2. Getting Started'!B$6+4)</f>
        <v>Year 5: SFY 2028</v>
      </c>
      <c r="F41" s="4"/>
    </row>
    <row r="42" spans="1:9" ht="15" customHeight="1" x14ac:dyDescent="0.75">
      <c r="A42" s="223" t="str">
        <f>CONCATENATE("Starting MOE Threshold for SFY ",'2. Getting Started'!B$6+4)</f>
        <v>Starting MOE Threshold for SFY 2028</v>
      </c>
      <c r="B42" s="258" t="str">
        <f>IF(F31="Met",F30,F29)</f>
        <v/>
      </c>
      <c r="C42" s="396"/>
      <c r="D42" s="396"/>
      <c r="E42" s="223" t="str">
        <f>CONCATENATE("Starting MOE Threshold for SFY ",'2. Getting Started'!B$6+4)</f>
        <v>Starting MOE Threshold for SFY 2028</v>
      </c>
      <c r="F42" s="258" t="str">
        <f>IF(F39="Met",F38,F37)</f>
        <v/>
      </c>
    </row>
    <row r="43" spans="1:9" ht="15" customHeight="1" x14ac:dyDescent="0.75">
      <c r="A43" s="223" t="str">
        <f>CONCATENATE("SFY ",'2. Getting Started'!B$6+3," + ",'2. Getting Started'!B$6+4," Projected Exceptions")</f>
        <v>SFY 2027 + 2028 Projected Exceptions</v>
      </c>
      <c r="B43" s="258" t="str">
        <f>IF(B6="","",(('15. Year 4 Exc &amp; Adj'!B68+'18. Year 5 Exc &amp; Adj'!B68)/I35))</f>
        <v/>
      </c>
      <c r="C43" s="396"/>
      <c r="D43" s="396"/>
      <c r="E43" s="223" t="str">
        <f>CONCATENATE("SFY ",'2. Getting Started'!B$6+4," Exceptions")</f>
        <v>SFY 2028 Exceptions</v>
      </c>
      <c r="F43" s="258" t="str">
        <f>IF(F6="","",('18. Year 5 Exc &amp; Adj'!I68/I43))</f>
        <v/>
      </c>
      <c r="H43" t="s">
        <v>118</v>
      </c>
      <c r="I43" t="str">
        <f>IF(F39="Met",'14. Year 4 Amounts'!I1,IF(F31="Met",'11. Year 3 Amounts'!I1,IF(F23="Met",'8. Year 2 Amounts'!I1,IF(F15="Met",'5. Year 1 Amounts'!I1,F6))))</f>
        <v/>
      </c>
    </row>
    <row r="44" spans="1:9" ht="15" customHeight="1" x14ac:dyDescent="0.75">
      <c r="A44" s="223" t="str">
        <f>CONCATENATE("SFY ",'2. Getting Started'!B$6+3," + ",'2. Getting Started'!B$6+4," Projected Adjustments")</f>
        <v>SFY 2027 + 2028 Projected Adjustments</v>
      </c>
      <c r="B44" s="258" t="str">
        <f>IF(B6="","",((AdjDataYear4Budget[Projected Adjustment]+AdjDataYear5Budget[Projected Adjustment])/I35))</f>
        <v/>
      </c>
      <c r="C44" s="396"/>
      <c r="D44" s="396"/>
      <c r="E44" s="223" t="str">
        <f>CONCATENATE("SFY ",'2. Getting Started'!B$6+4," Adjustment")</f>
        <v>SFY 2028 Adjustment</v>
      </c>
      <c r="F44" s="258" t="str">
        <f>IF(F6="","",(AdjDataYear5Expenditures[[Adjustment ]]/I43))</f>
        <v/>
      </c>
    </row>
    <row r="45" spans="1:9" ht="15" customHeight="1" x14ac:dyDescent="0.75">
      <c r="A45" s="223" t="str">
        <f>CONCATENATE("Adjusted MOE Threshold for SFY ",'2. Getting Started'!B$6+4)</f>
        <v>Adjusted MOE Threshold for SFY 2028</v>
      </c>
      <c r="B45" s="258" t="str">
        <f>IF(B42="","",(B42-B43-B44))</f>
        <v/>
      </c>
      <c r="C45" s="396"/>
      <c r="D45" s="396"/>
      <c r="E45" s="223" t="str">
        <f>CONCATENATE("Adjusted MOE Threshold for SFY ",'2. Getting Started'!B$6+4)</f>
        <v>Adjusted MOE Threshold for SFY 2028</v>
      </c>
      <c r="F45" s="258" t="str">
        <f>IF(F42="","",(F42-F43-F44))</f>
        <v/>
      </c>
    </row>
    <row r="46" spans="1:9" ht="15" customHeight="1" x14ac:dyDescent="0.75">
      <c r="A46" s="223" t="str">
        <f>CONCATENATE("Budgeted Amount for SFY ",'2. Getting Started'!B$6+4)</f>
        <v>Budgeted Amount for SFY 2028</v>
      </c>
      <c r="B46" s="258" t="str">
        <f>'17. Year 5 Amounts'!F31</f>
        <v/>
      </c>
      <c r="C46" s="396"/>
      <c r="D46" s="396"/>
      <c r="E46" s="223" t="str">
        <f>CONCATENATE("Final Expenditures for SFY ",'2. Getting Started'!B$6+4)</f>
        <v>Final Expenditures for SFY 2028</v>
      </c>
      <c r="F46" s="258" t="str">
        <f>'17. Year 5 Amounts'!M31</f>
        <v/>
      </c>
    </row>
    <row r="47" spans="1:9" ht="15" customHeight="1" x14ac:dyDescent="0.75">
      <c r="A47" s="275" t="str">
        <f>CONCATENATE("MOE Result for SFY ",'2. Getting Started'!B$6+4)</f>
        <v>MOE Result for SFY 2028</v>
      </c>
      <c r="B47" s="285" t="str">
        <f>IF(B46="","",IF(B46&gt;=B45,"Met","Did Not Meet"))</f>
        <v/>
      </c>
      <c r="C47" s="396"/>
      <c r="D47" s="396"/>
      <c r="E47" s="275" t="str">
        <f>CONCATENATE("MOE Result for SFY ",'2. Getting Started'!B$6+4)</f>
        <v>MOE Result for SFY 2028</v>
      </c>
      <c r="F47" s="285" t="str">
        <f>IF(F46="","",IF(F46&gt;=F45,"Met","Did Not Meet"))</f>
        <v/>
      </c>
    </row>
    <row r="48" spans="1:9" ht="15" customHeight="1" x14ac:dyDescent="0.75">
      <c r="A48" s="388" t="s">
        <v>175</v>
      </c>
      <c r="B48" s="388"/>
      <c r="C48" s="396"/>
      <c r="D48" s="396"/>
      <c r="E48" s="388" t="s">
        <v>175</v>
      </c>
      <c r="F48" s="388"/>
    </row>
    <row r="49" spans="1:9" ht="15.75" customHeight="1" x14ac:dyDescent="0.8">
      <c r="A49" s="5" t="str">
        <f>CONCATENATE("Year 6: SFY ",'2. Getting Started'!B$6+5)</f>
        <v>Year 6: SFY 2029</v>
      </c>
      <c r="B49" s="4"/>
      <c r="C49" s="396"/>
      <c r="D49" s="396"/>
      <c r="E49" s="5" t="str">
        <f>CONCATENATE("Year 6: SFY ",'2. Getting Started'!B$6+5)</f>
        <v>Year 6: SFY 2029</v>
      </c>
      <c r="F49" s="4"/>
    </row>
    <row r="50" spans="1:9" ht="15" customHeight="1" x14ac:dyDescent="0.75">
      <c r="A50" s="223" t="str">
        <f>CONCATENATE("Starting MOE Threshold for SFY ",'2. Getting Started'!B$6+5)</f>
        <v>Starting MOE Threshold for SFY 2029</v>
      </c>
      <c r="B50" s="258" t="str">
        <f>IF(F39="Met",F38,F37)</f>
        <v/>
      </c>
      <c r="C50" s="396"/>
      <c r="D50" s="396"/>
      <c r="E50" s="223" t="str">
        <f>CONCATENATE("Starting MOE Threshold for SFY ",'2. Getting Started'!B$6+5)</f>
        <v>Starting MOE Threshold for SFY 2029</v>
      </c>
      <c r="F50" s="258" t="str">
        <f>IF(F47="Met",F46,F45)</f>
        <v/>
      </c>
    </row>
    <row r="51" spans="1:9" ht="15" customHeight="1" x14ac:dyDescent="0.75">
      <c r="A51" s="223" t="str">
        <f>CONCATENATE("SFY ",'2. Getting Started'!B$6+4," + ",'2. Getting Started'!B$6+5," Projected Exceptions")</f>
        <v>SFY 2028 + 2029 Projected Exceptions</v>
      </c>
      <c r="B51" s="258" t="str">
        <f>IF(B6="","",(('18. Year 5 Exc &amp; Adj'!B68+'21. Year 6 Exc &amp; Adj'!B68)/I43))</f>
        <v/>
      </c>
      <c r="C51" s="396"/>
      <c r="D51" s="396"/>
      <c r="E51" s="223" t="str">
        <f>CONCATENATE("SFY ",'2. Getting Started'!B$6+5," Exceptions")</f>
        <v>SFY 2029 Exceptions</v>
      </c>
      <c r="F51" s="258" t="str">
        <f>IF(F6="","",('21. Year 6 Exc &amp; Adj'!I68/I51))</f>
        <v/>
      </c>
      <c r="H51" t="s">
        <v>118</v>
      </c>
      <c r="I51" t="str">
        <f>IF(F47="Met",'17. Year 5 Amounts'!I1,IF(F39="Met",'14. Year 4 Amounts'!I1,IF(F31="Met",'11. Year 3 Amounts'!I1,IF(F23="Met",'8. Year 2 Amounts'!I1,IF(F15="Met",'5. Year 1 Amounts'!I1,F6)))))</f>
        <v/>
      </c>
    </row>
    <row r="52" spans="1:9" ht="15" customHeight="1" x14ac:dyDescent="0.75">
      <c r="A52" s="223" t="str">
        <f>CONCATENATE("SFY ",'2. Getting Started'!B$6+4," + ",'2. Getting Started'!B$6+5," Projected Adjustments")</f>
        <v>SFY 2028 + 2029 Projected Adjustments</v>
      </c>
      <c r="B52" s="258" t="str">
        <f>IF(B6="","",((AdjDataYear5Budget[Projected Adjustment]+AdjDataYear6Budget[Projected Adjustment])/I43))</f>
        <v/>
      </c>
      <c r="C52" s="396"/>
      <c r="D52" s="396"/>
      <c r="E52" s="223" t="str">
        <f>CONCATENATE("SFY ",'2. Getting Started'!B$6+5," Adjustment")</f>
        <v>SFY 2029 Adjustment</v>
      </c>
      <c r="F52" s="258" t="str">
        <f>IF(F6="","",(AdjDataYear6Expenditures[[Adjustment ]]/I51))</f>
        <v/>
      </c>
    </row>
    <row r="53" spans="1:9" ht="15" customHeight="1" x14ac:dyDescent="0.75">
      <c r="A53" s="223" t="str">
        <f>CONCATENATE("Adjusted MOE Threshold for SFY ",'2. Getting Started'!B$6+5)</f>
        <v>Adjusted MOE Threshold for SFY 2029</v>
      </c>
      <c r="B53" s="258" t="str">
        <f>IF(B50="","",(B50-B51-B52))</f>
        <v/>
      </c>
      <c r="C53" s="396"/>
      <c r="D53" s="396"/>
      <c r="E53" s="223" t="str">
        <f>CONCATENATE("Adjusted MOE Threshold for SFY ",'2. Getting Started'!B$6+5)</f>
        <v>Adjusted MOE Threshold for SFY 2029</v>
      </c>
      <c r="F53" s="258" t="str">
        <f>IF(F50="","",(F50-F51-F52))</f>
        <v/>
      </c>
    </row>
    <row r="54" spans="1:9" ht="15" customHeight="1" x14ac:dyDescent="0.75">
      <c r="A54" s="223" t="str">
        <f>CONCATENATE("Budgeted Amount for SFY ",'2. Getting Started'!B$6+5)</f>
        <v>Budgeted Amount for SFY 2029</v>
      </c>
      <c r="B54" s="258" t="str">
        <f>'20. Year 6 Amounts'!F31</f>
        <v/>
      </c>
      <c r="C54" s="396"/>
      <c r="D54" s="396"/>
      <c r="E54" s="223" t="str">
        <f>CONCATENATE("Final Expenditures for SFY ",'2. Getting Started'!B$6+5)</f>
        <v>Final Expenditures for SFY 2029</v>
      </c>
      <c r="F54" s="258" t="str">
        <f>'20. Year 6 Amounts'!M31</f>
        <v/>
      </c>
    </row>
    <row r="55" spans="1:9" ht="15" customHeight="1" x14ac:dyDescent="0.75">
      <c r="A55" s="275" t="str">
        <f>CONCATENATE("MOE Result for SFY ",'2. Getting Started'!B$6+5)</f>
        <v>MOE Result for SFY 2029</v>
      </c>
      <c r="B55" s="285" t="str">
        <f>IF(B54="","",IF(B54&gt;=B53,"Met","Did Not Meet"))</f>
        <v/>
      </c>
      <c r="C55" s="396"/>
      <c r="D55" s="396"/>
      <c r="E55" s="275" t="str">
        <f>CONCATENATE("MOE Result for SFY ",'2. Getting Started'!B$6+5)</f>
        <v>MOE Result for SFY 2029</v>
      </c>
      <c r="F55" s="285" t="str">
        <f>IF(F54="","",IF(F54&gt;=F53,"Met","Did Not Meet"))</f>
        <v/>
      </c>
    </row>
    <row r="56" spans="1:9" ht="15" customHeight="1" x14ac:dyDescent="0.75">
      <c r="A56" s="388" t="s">
        <v>175</v>
      </c>
      <c r="B56" s="388"/>
      <c r="C56" s="396"/>
      <c r="D56" s="396"/>
      <c r="E56" s="388" t="s">
        <v>175</v>
      </c>
      <c r="F56" s="388"/>
    </row>
    <row r="57" spans="1:9" ht="15.75" customHeight="1" x14ac:dyDescent="0.8">
      <c r="A57" s="5" t="str">
        <f>CONCATENATE("Year 7: SFY ",'2. Getting Started'!B$6+6)</f>
        <v>Year 7: SFY 2030</v>
      </c>
      <c r="B57" s="4"/>
      <c r="C57" s="396"/>
      <c r="D57" s="396"/>
      <c r="E57" s="5" t="str">
        <f>CONCATENATE("Year 7: SFY ",'2. Getting Started'!B$6+6)</f>
        <v>Year 7: SFY 2030</v>
      </c>
      <c r="F57" s="4"/>
    </row>
    <row r="58" spans="1:9" ht="15" customHeight="1" x14ac:dyDescent="0.75">
      <c r="A58" s="223" t="str">
        <f>CONCATENATE("Starting MOE Threshold for SFY ",'2. Getting Started'!B$6+6)</f>
        <v>Starting MOE Threshold for SFY 2030</v>
      </c>
      <c r="B58" s="258" t="str">
        <f>IF(F47="Met",F46,F45)</f>
        <v/>
      </c>
      <c r="C58" s="396"/>
      <c r="D58" s="396"/>
      <c r="E58" s="223" t="str">
        <f>CONCATENATE("Starting MOE Threshold for SFY ",'2. Getting Started'!B$6+6)</f>
        <v>Starting MOE Threshold for SFY 2030</v>
      </c>
      <c r="F58" s="258" t="str">
        <f>IF(F55="Met",F54,F53)</f>
        <v/>
      </c>
    </row>
    <row r="59" spans="1:9" ht="15" customHeight="1" x14ac:dyDescent="0.75">
      <c r="A59" s="223" t="str">
        <f>CONCATENATE("SFY ",'2. Getting Started'!B$6+5," + ",'2. Getting Started'!B$6+6," Projected Exceptions")</f>
        <v>SFY 2029 + 2030 Projected Exceptions</v>
      </c>
      <c r="B59" s="258" t="str">
        <f>IF(B6="","",(('21. Year 6 Exc &amp; Adj'!B68+'24. Year 7 Exc &amp; Adj'!B68)/I51))</f>
        <v/>
      </c>
      <c r="C59" s="396"/>
      <c r="D59" s="396"/>
      <c r="E59" s="223" t="str">
        <f>CONCATENATE("SFY ",'2. Getting Started'!B$6+6," Exceptions")</f>
        <v>SFY 2030 Exceptions</v>
      </c>
      <c r="F59" s="258" t="str">
        <f>IF(F6="","",('24. Year 7 Exc &amp; Adj'!I68/I59))</f>
        <v/>
      </c>
      <c r="H59" t="s">
        <v>118</v>
      </c>
      <c r="I59" t="str">
        <f>IF(F55="Met",'20. Year 6 Amounts'!I1,IF(F47="Met",'17. Year 5 Amounts'!I1,IF(F39="Met",'14. Year 4 Amounts'!I1,IF(F31="Met",'11. Year 3 Amounts'!I1,IF(F23="Met",'8. Year 2 Amounts'!I1,IF(F15="Met",'5. Year 1 Amounts'!I1,F6))))))</f>
        <v/>
      </c>
    </row>
    <row r="60" spans="1:9" ht="15" customHeight="1" x14ac:dyDescent="0.75">
      <c r="A60" s="223" t="str">
        <f>CONCATENATE("SFY ",'2. Getting Started'!B$6+5," + ",'2. Getting Started'!B$6+6," Projected Adjustments")</f>
        <v>SFY 2029 + 2030 Projected Adjustments</v>
      </c>
      <c r="B60" s="258" t="str">
        <f>IF(B6="","",((AdjDataYear6Budget[Projected Adjustment]+AdjDataYear7Budget[Projected Adjustment])/I51))</f>
        <v/>
      </c>
      <c r="C60" s="396"/>
      <c r="D60" s="396"/>
      <c r="E60" s="223" t="str">
        <f>CONCATENATE("SFY ",'2. Getting Started'!B$6+6," Adjustment")</f>
        <v>SFY 2030 Adjustment</v>
      </c>
      <c r="F60" s="258" t="str">
        <f>IF(F6="","",(AdjDataYear7Expenditures[[Adjustment ]]/I59))</f>
        <v/>
      </c>
    </row>
    <row r="61" spans="1:9" ht="15" customHeight="1" x14ac:dyDescent="0.75">
      <c r="A61" s="223" t="str">
        <f>CONCATENATE("Adjusted MOE Threshold for SFY ",'2. Getting Started'!B$6+6)</f>
        <v>Adjusted MOE Threshold for SFY 2030</v>
      </c>
      <c r="B61" s="258" t="str">
        <f>IF(B58="","",(B58-B59-B60))</f>
        <v/>
      </c>
      <c r="C61" s="396"/>
      <c r="D61" s="396"/>
      <c r="E61" s="223" t="str">
        <f>CONCATENATE("Adjusted MOE Threshold for SFY ",'2. Getting Started'!B$6+6)</f>
        <v>Adjusted MOE Threshold for SFY 2030</v>
      </c>
      <c r="F61" s="258" t="str">
        <f>IF(F58="","",(F58-F59-F60))</f>
        <v/>
      </c>
    </row>
    <row r="62" spans="1:9" ht="15" customHeight="1" x14ac:dyDescent="0.75">
      <c r="A62" s="223" t="str">
        <f>CONCATENATE("Budgeted Amount for SFY ",'2. Getting Started'!B$6+6)</f>
        <v>Budgeted Amount for SFY 2030</v>
      </c>
      <c r="B62" s="258" t="str">
        <f>'23. Year 7 Amounts'!F31</f>
        <v/>
      </c>
      <c r="C62" s="396"/>
      <c r="D62" s="396"/>
      <c r="E62" s="223" t="str">
        <f>CONCATENATE("Final Expenditures for SFY ",'2. Getting Started'!B$6+6)</f>
        <v>Final Expenditures for SFY 2030</v>
      </c>
      <c r="F62" s="258" t="str">
        <f>'23. Year 7 Amounts'!M31</f>
        <v/>
      </c>
    </row>
    <row r="63" spans="1:9" ht="15" customHeight="1" x14ac:dyDescent="0.75">
      <c r="A63" s="275" t="str">
        <f>CONCATENATE("MOE Result for SFY ",'2. Getting Started'!B$6+6)</f>
        <v>MOE Result for SFY 2030</v>
      </c>
      <c r="B63" s="285" t="str">
        <f>IF(B62="","",IF(B62&gt;=B61,"Met","Did Not Meet"))</f>
        <v/>
      </c>
      <c r="C63" s="396"/>
      <c r="D63" s="396"/>
      <c r="E63" s="275" t="str">
        <f>CONCATENATE("MOE Result for SFY ",'2. Getting Started'!B$6+6)</f>
        <v>MOE Result for SFY 2030</v>
      </c>
      <c r="F63" s="285" t="str">
        <f>IF(F62="","",IF(F62&gt;=F61,"Met","Did Not Meet"))</f>
        <v/>
      </c>
    </row>
    <row r="64" spans="1:9" ht="15" customHeight="1" x14ac:dyDescent="0.75">
      <c r="A64" s="388" t="s">
        <v>175</v>
      </c>
      <c r="B64" s="388"/>
      <c r="C64" s="396"/>
      <c r="D64" s="396"/>
      <c r="E64" s="388" t="s">
        <v>175</v>
      </c>
      <c r="F64" s="388"/>
    </row>
    <row r="65" spans="1:9" ht="15.75" customHeight="1" x14ac:dyDescent="0.8">
      <c r="A65" s="5" t="str">
        <f>CONCATENATE("Year 8: SFY ",'2. Getting Started'!B$6+7)</f>
        <v>Year 8: SFY 2031</v>
      </c>
      <c r="B65" s="4"/>
      <c r="C65" s="396"/>
      <c r="D65" s="396"/>
      <c r="E65" s="5" t="str">
        <f>CONCATENATE("Year 8: SFY ",'2. Getting Started'!B$6+7)</f>
        <v>Year 8: SFY 2031</v>
      </c>
      <c r="F65" s="4"/>
    </row>
    <row r="66" spans="1:9" ht="15" customHeight="1" x14ac:dyDescent="0.75">
      <c r="A66" s="223" t="str">
        <f>CONCATENATE("Starting MOE Threshold for SFY ",'2. Getting Started'!B$6+7)</f>
        <v>Starting MOE Threshold for SFY 2031</v>
      </c>
      <c r="B66" s="258" t="str">
        <f>IF(F55="Met",F54,F53)</f>
        <v/>
      </c>
      <c r="C66" s="396"/>
      <c r="D66" s="396"/>
      <c r="E66" s="223" t="str">
        <f>CONCATENATE("Starting MOE Threshold for SFY ",'2. Getting Started'!B$6+7)</f>
        <v>Starting MOE Threshold for SFY 2031</v>
      </c>
      <c r="F66" s="258" t="str">
        <f>IF(F63="Met",F62,F61)</f>
        <v/>
      </c>
    </row>
    <row r="67" spans="1:9" ht="15" customHeight="1" x14ac:dyDescent="0.75">
      <c r="A67" s="223" t="str">
        <f>CONCATENATE("SFY ",'2. Getting Started'!B$6+6," + ",'2. Getting Started'!B$6+7," Projected Exceptions")</f>
        <v>SFY 2030 + 2031 Projected Exceptions</v>
      </c>
      <c r="B67" s="258" t="str">
        <f>IF(B6="","",(('24. Year 7 Exc &amp; Adj'!B68+'27. Year 8 Exc &amp; Adj'!B68)/I59))</f>
        <v/>
      </c>
      <c r="C67" s="396"/>
      <c r="D67" s="396"/>
      <c r="E67" s="223" t="str">
        <f>CONCATENATE("SFY ",'2. Getting Started'!B$6+7," Exceptions")</f>
        <v>SFY 2031 Exceptions</v>
      </c>
      <c r="F67" s="258" t="str">
        <f>IF(F6="","",('27. Year 8 Exc &amp; Adj'!I68/I67))</f>
        <v/>
      </c>
      <c r="H67" t="s">
        <v>118</v>
      </c>
      <c r="I67" t="str">
        <f>IF(F63="Met",'23. Year 7 Amounts'!I1,IF(F55="Met",'20. Year 6 Amounts'!I1,IF(F47="Met",'17. Year 5 Amounts'!I1,IF(F39="Met",'14. Year 4 Amounts'!I1,IF(F31="Met",'11. Year 3 Amounts'!I1,IF(F23="Met",'8. Year 2 Amounts'!I1,IF(F15="Met",'5. Year 1 Amounts'!I1,F6)))))))</f>
        <v/>
      </c>
    </row>
    <row r="68" spans="1:9" ht="15" customHeight="1" x14ac:dyDescent="0.75">
      <c r="A68" s="223" t="str">
        <f>CONCATENATE("SFY ",'2. Getting Started'!B$6+6," + ",'2. Getting Started'!B$6+7," Projected Adjustments")</f>
        <v>SFY 2030 + 2031 Projected Adjustments</v>
      </c>
      <c r="B68" s="258" t="str">
        <f>IF(B6="","",((AdjDataYear7Budget[Projected Adjustment]+AdjDataYear8Budget[Projected Adjustment])/I59))</f>
        <v/>
      </c>
      <c r="C68" s="396"/>
      <c r="D68" s="396"/>
      <c r="E68" s="223" t="str">
        <f>CONCATENATE("SFY ",'2. Getting Started'!B$6+7," Adjustment")</f>
        <v>SFY 2031 Adjustment</v>
      </c>
      <c r="F68" s="258" t="str">
        <f>IF(F6="","",(AdjDataYear8Expenditures[[Adjustment ]]/I67))</f>
        <v/>
      </c>
    </row>
    <row r="69" spans="1:9" ht="15" customHeight="1" x14ac:dyDescent="0.75">
      <c r="A69" s="223" t="str">
        <f>CONCATENATE("Adjusted MOE Threshold for SFY ",'2. Getting Started'!B$6+7)</f>
        <v>Adjusted MOE Threshold for SFY 2031</v>
      </c>
      <c r="B69" s="258" t="str">
        <f>IF(B66="","",(B66-B67-B68))</f>
        <v/>
      </c>
      <c r="C69" s="396"/>
      <c r="D69" s="396"/>
      <c r="E69" s="223" t="str">
        <f>CONCATENATE("Adjusted MOE Threshold for SFY ",'2. Getting Started'!B$6+7)</f>
        <v>Adjusted MOE Threshold for SFY 2031</v>
      </c>
      <c r="F69" s="258" t="str">
        <f>IF(F66="","",(F66-F67-F68))</f>
        <v/>
      </c>
    </row>
    <row r="70" spans="1:9" ht="15" customHeight="1" x14ac:dyDescent="0.75">
      <c r="A70" s="223" t="str">
        <f>CONCATENATE("Budgeted Amount for SFY ",'2. Getting Started'!B$6+7)</f>
        <v>Budgeted Amount for SFY 2031</v>
      </c>
      <c r="B70" s="258" t="str">
        <f>'26. Year 8 Amounts'!F31</f>
        <v/>
      </c>
      <c r="C70" s="396"/>
      <c r="D70" s="396"/>
      <c r="E70" s="223" t="str">
        <f>CONCATENATE("Final Expenditures for SFY ",'2. Getting Started'!B$6+7)</f>
        <v>Final Expenditures for SFY 2031</v>
      </c>
      <c r="F70" s="258" t="str">
        <f>'26. Year 8 Amounts'!M31</f>
        <v/>
      </c>
    </row>
    <row r="71" spans="1:9" ht="15" customHeight="1" x14ac:dyDescent="0.75">
      <c r="A71" s="275" t="str">
        <f>CONCATENATE("MOE Result for SFY ",'2. Getting Started'!B$6+7)</f>
        <v>MOE Result for SFY 2031</v>
      </c>
      <c r="B71" s="285" t="str">
        <f>IF(B70="","",IF(B70&gt;=B69,"Met","Did Not Meet"))</f>
        <v/>
      </c>
      <c r="C71" s="396"/>
      <c r="D71" s="396"/>
      <c r="E71" s="275" t="str">
        <f>CONCATENATE("MOE Result for SFY ",'2. Getting Started'!B$6+7)</f>
        <v>MOE Result for SFY 2031</v>
      </c>
      <c r="F71" s="285" t="str">
        <f>IF(F70="","",IF(F70&gt;=F69,"Met","Did Not Meet"))</f>
        <v/>
      </c>
    </row>
    <row r="72" spans="1:9" ht="15" customHeight="1" x14ac:dyDescent="0.75">
      <c r="A72" s="388" t="s">
        <v>175</v>
      </c>
      <c r="B72" s="388"/>
      <c r="C72" s="396"/>
      <c r="D72" s="396"/>
      <c r="E72" s="388" t="s">
        <v>175</v>
      </c>
      <c r="F72" s="388"/>
    </row>
    <row r="73" spans="1:9" ht="15.75" customHeight="1" x14ac:dyDescent="0.8">
      <c r="A73" s="5" t="str">
        <f>CONCATENATE("Year 9: SFY ",'2. Getting Started'!B$6+8)</f>
        <v>Year 9: SFY 2032</v>
      </c>
      <c r="B73" s="4"/>
      <c r="C73" s="396"/>
      <c r="D73" s="396"/>
      <c r="E73" s="5" t="str">
        <f>CONCATENATE("Year 9: SFY ",'2. Getting Started'!B$6+8)</f>
        <v>Year 9: SFY 2032</v>
      </c>
      <c r="F73" s="4"/>
    </row>
    <row r="74" spans="1:9" ht="15" customHeight="1" x14ac:dyDescent="0.75">
      <c r="A74" s="223" t="str">
        <f>CONCATENATE("Starting MOE Threshold for SFY ",'2. Getting Started'!B$6+8)</f>
        <v>Starting MOE Threshold for SFY 2032</v>
      </c>
      <c r="B74" s="258" t="str">
        <f>IF(F63="Met",F62,F61)</f>
        <v/>
      </c>
      <c r="C74" s="396"/>
      <c r="D74" s="396"/>
      <c r="E74" s="223" t="str">
        <f>CONCATENATE("Starting MOE Threshold for SFY ",'2. Getting Started'!B$6+8)</f>
        <v>Starting MOE Threshold for SFY 2032</v>
      </c>
      <c r="F74" s="258" t="str">
        <f>IF(F71="Met",F70,F69)</f>
        <v/>
      </c>
    </row>
    <row r="75" spans="1:9" ht="15" customHeight="1" x14ac:dyDescent="0.75">
      <c r="A75" s="223" t="str">
        <f>CONCATENATE("SFY ",'2. Getting Started'!B$6+7," + ",'2. Getting Started'!B$6+8," Projected Exceptions")</f>
        <v>SFY 2031 + 2032 Projected Exceptions</v>
      </c>
      <c r="B75" s="258" t="str">
        <f>IF(B6="","",(('27. Year 8 Exc &amp; Adj'!B68+'30. Year 9 Exc &amp; Adj'!B68)/I67))</f>
        <v/>
      </c>
      <c r="C75" s="396"/>
      <c r="D75" s="396"/>
      <c r="E75" s="223" t="str">
        <f>CONCATENATE("SFY ",'2. Getting Started'!B$6+8," Exceptions")</f>
        <v>SFY 2032 Exceptions</v>
      </c>
      <c r="F75" s="258" t="str">
        <f>IF(F6="","",('30. Year 9 Exc &amp; Adj'!I68/I75))</f>
        <v/>
      </c>
      <c r="H75" t="s">
        <v>118</v>
      </c>
      <c r="I75" t="str">
        <f>IF(F71="Met",'26. Year 8 Amounts'!I1,IF(F63="Met",'23. Year 7 Amounts'!I1,IF(F55="Met",'20. Year 6 Amounts'!I1,IF(F47="Met",'17. Year 5 Amounts'!I1,IF(F39="Met",'14. Year 4 Amounts'!I1,IF(F31="Met",'11. Year 3 Amounts'!I1,IF(F23="Met",'8. Year 2 Amounts'!I1,IF(F15="Met",'5. Year 1 Amounts'!I1,F6))))))))</f>
        <v/>
      </c>
    </row>
    <row r="76" spans="1:9" ht="15" customHeight="1" x14ac:dyDescent="0.75">
      <c r="A76" s="223" t="str">
        <f>CONCATENATE("SFY ",'2. Getting Started'!B$6+7," + ",'2. Getting Started'!B$6+8," Projected Adjustments")</f>
        <v>SFY 2031 + 2032 Projected Adjustments</v>
      </c>
      <c r="B76" s="258" t="str">
        <f>IF(B6="","",((AdjDataYear8Budget[Projected Adjustment]+AdjDataYear9Budget[Projected Adjustment])/I67))</f>
        <v/>
      </c>
      <c r="C76" s="396"/>
      <c r="D76" s="396"/>
      <c r="E76" s="223" t="str">
        <f>CONCATENATE("SFY ",'2. Getting Started'!B$6+8," Adjustment")</f>
        <v>SFY 2032 Adjustment</v>
      </c>
      <c r="F76" s="258" t="str">
        <f>IF(F6="","",(AdjDataYear9Expenditures[[Adjustment ]]/I75))</f>
        <v/>
      </c>
    </row>
    <row r="77" spans="1:9" ht="15" customHeight="1" x14ac:dyDescent="0.75">
      <c r="A77" s="223" t="str">
        <f>CONCATENATE("Adjusted MOE Threshold for SFY ",'2. Getting Started'!B$6+8)</f>
        <v>Adjusted MOE Threshold for SFY 2032</v>
      </c>
      <c r="B77" s="258" t="str">
        <f>IF(B74="","",(B74-B75-B76))</f>
        <v/>
      </c>
      <c r="C77" s="396"/>
      <c r="D77" s="396"/>
      <c r="E77" s="223" t="str">
        <f>CONCATENATE("Adjusted MOE Threshold for SFY ",'2. Getting Started'!B$6+8)</f>
        <v>Adjusted MOE Threshold for SFY 2032</v>
      </c>
      <c r="F77" s="258" t="str">
        <f>IF(F74="","",(F74-F75-F76))</f>
        <v/>
      </c>
    </row>
    <row r="78" spans="1:9" ht="15" customHeight="1" x14ac:dyDescent="0.75">
      <c r="A78" s="223" t="str">
        <f>CONCATENATE("Budgeted Amount for SFY ",'2. Getting Started'!B$6+8)</f>
        <v>Budgeted Amount for SFY 2032</v>
      </c>
      <c r="B78" s="258" t="str">
        <f>'29. Year 9 Amounts'!F31</f>
        <v/>
      </c>
      <c r="C78" s="396"/>
      <c r="D78" s="396"/>
      <c r="E78" s="223" t="str">
        <f>CONCATENATE("Final Expenditures for SFY ",'2. Getting Started'!B$6+8)</f>
        <v>Final Expenditures for SFY 2032</v>
      </c>
      <c r="F78" s="258" t="str">
        <f>'29. Year 9 Amounts'!M31</f>
        <v/>
      </c>
    </row>
    <row r="79" spans="1:9" ht="15" customHeight="1" x14ac:dyDescent="0.75">
      <c r="A79" s="275" t="str">
        <f>CONCATENATE("MOE Result for SFY ",'2. Getting Started'!B$6+8)</f>
        <v>MOE Result for SFY 2032</v>
      </c>
      <c r="B79" s="285" t="str">
        <f>IF(B78="","",IF(B78&gt;=B77,"Met","Did Not Meet"))</f>
        <v/>
      </c>
      <c r="C79" s="396"/>
      <c r="D79" s="396"/>
      <c r="E79" s="275" t="str">
        <f>CONCATENATE("MOE Result for SFY ",'2. Getting Started'!B$6+8)</f>
        <v>MOE Result for SFY 2032</v>
      </c>
      <c r="F79" s="285" t="str">
        <f>IF(F78="","",IF(F78&gt;=F77,"Met","Did Not Meet"))</f>
        <v/>
      </c>
    </row>
    <row r="80" spans="1:9" ht="15" customHeight="1" x14ac:dyDescent="0.75">
      <c r="A80" s="388" t="s">
        <v>175</v>
      </c>
      <c r="B80" s="388"/>
      <c r="C80" s="396"/>
      <c r="D80" s="396"/>
      <c r="E80" s="388" t="s">
        <v>175</v>
      </c>
      <c r="F80" s="388"/>
    </row>
    <row r="81" spans="1:9" ht="15.75" customHeight="1" x14ac:dyDescent="0.8">
      <c r="A81" s="5" t="str">
        <f>CONCATENATE("Year 10: SFY ",'2. Getting Started'!B$6+9)</f>
        <v>Year 10: SFY 2033</v>
      </c>
      <c r="B81" s="4"/>
      <c r="C81" s="396"/>
      <c r="D81" s="396"/>
      <c r="E81" s="5" t="str">
        <f>CONCATENATE("Year 10: SFY ",'2. Getting Started'!B$6+9)</f>
        <v>Year 10: SFY 2033</v>
      </c>
      <c r="F81" s="4"/>
    </row>
    <row r="82" spans="1:9" ht="15" customHeight="1" x14ac:dyDescent="0.75">
      <c r="A82" s="223" t="str">
        <f>CONCATENATE("Starting MOE Threshold for SFY ",'2. Getting Started'!B$6+9)</f>
        <v>Starting MOE Threshold for SFY 2033</v>
      </c>
      <c r="B82" s="258" t="str">
        <f>IF(F71="Met",F70,F69)</f>
        <v/>
      </c>
      <c r="C82" s="396"/>
      <c r="D82" s="396"/>
      <c r="E82" s="223" t="str">
        <f>CONCATENATE("Starting MOE Threshold for SFY ",'2. Getting Started'!B$6+9)</f>
        <v>Starting MOE Threshold for SFY 2033</v>
      </c>
      <c r="F82" s="258" t="str">
        <f>IF(F79="Met",F78,F77)</f>
        <v/>
      </c>
    </row>
    <row r="83" spans="1:9" ht="15" customHeight="1" x14ac:dyDescent="0.75">
      <c r="A83" s="223" t="str">
        <f>CONCATENATE("SFY ",'2. Getting Started'!B$6+8," + ",'2. Getting Started'!B$6+9," Projected Exceptions")</f>
        <v>SFY 2032 + 2033 Projected Exceptions</v>
      </c>
      <c r="B83" s="258" t="str">
        <f>IF(B6="","",(('30. Year 9 Exc &amp; Adj'!B68+'33. Year 10 Exc &amp; Adj'!B68)/I75))</f>
        <v/>
      </c>
      <c r="C83" s="396"/>
      <c r="D83" s="396"/>
      <c r="E83" s="223" t="str">
        <f>CONCATENATE("SFY ",'2. Getting Started'!B$6+9," Exceptions")</f>
        <v>SFY 2033 Exceptions</v>
      </c>
      <c r="F83" s="258" t="str">
        <f>IF(F6="","",('33. Year 10 Exc &amp; Adj'!I68/I83))</f>
        <v/>
      </c>
      <c r="H83" t="s">
        <v>118</v>
      </c>
      <c r="I83" t="str">
        <f>IF(F79="Met",'29. Year 9 Amounts'!I1,IF(F71="Met",'26. Year 8 Amounts'!I1,IF(F63="Met",'23. Year 7 Amounts'!I1,IF(F55="Met",'20. Year 6 Amounts'!I1,IF(F47="Met",'17. Year 5 Amounts'!I1,IF(F39="Met",'14. Year 4 Amounts'!I1,IF(F31="Met",'11. Year 3 Amounts'!I1,IF(F23="Met",'8. Year 2 Amounts'!I1,IF(F15="Met",'5. Year 1 Amounts'!I1,F6)))))))))</f>
        <v/>
      </c>
    </row>
    <row r="84" spans="1:9" ht="15" customHeight="1" x14ac:dyDescent="0.75">
      <c r="A84" s="223" t="str">
        <f>CONCATENATE("SFY ",'2. Getting Started'!B$6+8," + ",'2. Getting Started'!B$6+9," Projected Adjustments")</f>
        <v>SFY 2032 + 2033 Projected Adjustments</v>
      </c>
      <c r="B84" s="258" t="str">
        <f>IF(B6="","",((AdjDataYear9Budget[Projected Adjustment]+AdjDataYear10Budget[Projected Adjustment])/I75))</f>
        <v/>
      </c>
      <c r="C84" s="396"/>
      <c r="D84" s="396"/>
      <c r="E84" s="223" t="str">
        <f>CONCATENATE("SFY ",'2. Getting Started'!B$6+9," Adjustment")</f>
        <v>SFY 2033 Adjustment</v>
      </c>
      <c r="F84" s="258" t="str">
        <f>IF(F6="","",(AdjDataYear10Expenditures[[Adjustment ]]/I83))</f>
        <v/>
      </c>
    </row>
    <row r="85" spans="1:9" ht="15" customHeight="1" x14ac:dyDescent="0.75">
      <c r="A85" s="223" t="str">
        <f>CONCATENATE("Adjusted MOE Threshold for SFY ",'2. Getting Started'!B$6+9)</f>
        <v>Adjusted MOE Threshold for SFY 2033</v>
      </c>
      <c r="B85" s="258" t="str">
        <f>IF(B82="","",(B82-B83-B84))</f>
        <v/>
      </c>
      <c r="C85" s="396"/>
      <c r="D85" s="396"/>
      <c r="E85" s="223" t="str">
        <f>CONCATENATE("Adjusted MOE Threshold for SFY ",'2. Getting Started'!B$6+9)</f>
        <v>Adjusted MOE Threshold for SFY 2033</v>
      </c>
      <c r="F85" s="258" t="str">
        <f>IF(F82="","",(F82-F83-F84))</f>
        <v/>
      </c>
    </row>
    <row r="86" spans="1:9" ht="15" customHeight="1" x14ac:dyDescent="0.75">
      <c r="A86" s="223" t="str">
        <f>CONCATENATE("Budgeted Amount for SFY ",'2. Getting Started'!B$6+9)</f>
        <v>Budgeted Amount for SFY 2033</v>
      </c>
      <c r="B86" s="258" t="str">
        <f>'32. Year 10 Amounts'!F31</f>
        <v/>
      </c>
      <c r="C86" s="396"/>
      <c r="D86" s="396"/>
      <c r="E86" s="223" t="str">
        <f>CONCATENATE("Final Expenditures for SFY ",'2. Getting Started'!B$6+9)</f>
        <v>Final Expenditures for SFY 2033</v>
      </c>
      <c r="F86" s="258" t="str">
        <f>'32. Year 10 Amounts'!M31</f>
        <v/>
      </c>
    </row>
    <row r="87" spans="1:9" ht="15" customHeight="1" x14ac:dyDescent="0.75">
      <c r="A87" s="275" t="str">
        <f>CONCATENATE("MOE Result for SFY ",'2. Getting Started'!B$6+9)</f>
        <v>MOE Result for SFY 2033</v>
      </c>
      <c r="B87" s="285" t="str">
        <f>IF(B86="","",IF(B86&gt;=B85,"Met","Did Not Meet"))</f>
        <v/>
      </c>
      <c r="C87" s="396"/>
      <c r="D87" s="396"/>
      <c r="E87" s="275" t="str">
        <f>CONCATENATE("MOE Result for SFY ",'2. Getting Started'!B$6+9)</f>
        <v>MOE Result for SFY 2033</v>
      </c>
      <c r="F87" s="285" t="str">
        <f>IF(F86="","",IF(F86&gt;=F85,"Met","Did Not Meet"))</f>
        <v/>
      </c>
    </row>
    <row r="88" spans="1:9" ht="15" customHeight="1" x14ac:dyDescent="0.75">
      <c r="A88" s="388" t="s">
        <v>175</v>
      </c>
      <c r="B88" s="388"/>
      <c r="C88" s="396"/>
      <c r="D88" s="396"/>
      <c r="E88" s="388" t="s">
        <v>175</v>
      </c>
      <c r="F88" s="388"/>
    </row>
    <row r="89" spans="1:9" ht="15.75" customHeight="1" x14ac:dyDescent="0.8">
      <c r="A89" s="5" t="str">
        <f>CONCATENATE("Year 11: SFY ",'2. Getting Started'!B$6+10)</f>
        <v>Year 11: SFY 2034</v>
      </c>
      <c r="B89" s="4"/>
      <c r="C89" s="396"/>
      <c r="D89" s="396"/>
      <c r="E89" s="5" t="str">
        <f>CONCATENATE("Year 11: SFY ",'2. Getting Started'!B$6+10)</f>
        <v>Year 11: SFY 2034</v>
      </c>
      <c r="F89" s="4"/>
    </row>
    <row r="90" spans="1:9" ht="15" customHeight="1" x14ac:dyDescent="0.75">
      <c r="A90" s="223" t="str">
        <f>CONCATENATE("Starting MOE Threshold for SFY ",'2. Getting Started'!B$6+10)</f>
        <v>Starting MOE Threshold for SFY 2034</v>
      </c>
      <c r="B90" s="258" t="str">
        <f>IF(F79="Met",F78,F77)</f>
        <v/>
      </c>
      <c r="C90" s="396"/>
      <c r="D90" s="396"/>
      <c r="E90" s="390" t="s">
        <v>47</v>
      </c>
      <c r="F90" s="391"/>
    </row>
    <row r="91" spans="1:9" ht="15" customHeight="1" x14ac:dyDescent="0.75">
      <c r="A91" s="223" t="str">
        <f>CONCATENATE("SFY ",'2. Getting Started'!B$6+9," + ",'2. Getting Started'!B$6+10," Projected Exceptions")</f>
        <v>SFY 2033 + 2034 Projected Exceptions</v>
      </c>
      <c r="B91" s="258" t="str">
        <f>IF(B6="","",(('33. Year 10 Exc &amp; Adj'!B68+'36. Year 11 Exc &amp; Adj'!B68)/I83))</f>
        <v/>
      </c>
      <c r="C91" s="396"/>
      <c r="D91" s="396"/>
      <c r="E91" s="392"/>
      <c r="F91" s="393"/>
    </row>
    <row r="92" spans="1:9" ht="15" customHeight="1" x14ac:dyDescent="0.75">
      <c r="A92" s="223" t="str">
        <f>CONCATENATE("SFY ",'2. Getting Started'!B$6+9," + ",'2. Getting Started'!B$6+10," Projected Adjustments")</f>
        <v>SFY 2033 + 2034 Projected Adjustments</v>
      </c>
      <c r="B92" s="258" t="str">
        <f>IF(B6="","",((AdjDataYear10Budget[Projected Adjustment]+AdjDataYear11Budget[Projected Adjustment])/I83))</f>
        <v/>
      </c>
      <c r="C92" s="396"/>
      <c r="D92" s="396"/>
      <c r="E92" s="392"/>
      <c r="F92" s="393"/>
    </row>
    <row r="93" spans="1:9" ht="15" customHeight="1" x14ac:dyDescent="0.75">
      <c r="A93" s="223" t="str">
        <f>CONCATENATE("Adjusted MOE Threshold for SFY ",'2. Getting Started'!B$6+10)</f>
        <v>Adjusted MOE Threshold for SFY 2034</v>
      </c>
      <c r="B93" s="258" t="str">
        <f>IF(B90="","",(B90-B91-B92))</f>
        <v/>
      </c>
      <c r="C93" s="396"/>
      <c r="D93" s="396"/>
      <c r="E93" s="392"/>
      <c r="F93" s="393"/>
    </row>
    <row r="94" spans="1:9" ht="15" customHeight="1" x14ac:dyDescent="0.75">
      <c r="A94" s="223" t="str">
        <f>CONCATENATE("Budgeted Amount for SFY ",'2. Getting Started'!B$6+10)</f>
        <v>Budgeted Amount for SFY 2034</v>
      </c>
      <c r="B94" s="258" t="str">
        <f>'35. Year 11 Amounts'!F31</f>
        <v/>
      </c>
      <c r="C94" s="396"/>
      <c r="D94" s="396"/>
      <c r="E94" s="392"/>
      <c r="F94" s="393"/>
    </row>
    <row r="95" spans="1:9" ht="15" customHeight="1" x14ac:dyDescent="0.75">
      <c r="A95" s="275" t="str">
        <f>CONCATENATE("MOE Result for SFY ",'2. Getting Started'!B$6+10)</f>
        <v>MOE Result for SFY 2034</v>
      </c>
      <c r="B95" s="285" t="str">
        <f>IF(B94="","",IF(B94&gt;=B93,"Met","Did Not Meet"))</f>
        <v/>
      </c>
      <c r="C95" s="396"/>
      <c r="D95" s="396"/>
      <c r="E95" s="394"/>
      <c r="F95" s="395"/>
    </row>
    <row r="96" spans="1:9" ht="26.25" customHeight="1" x14ac:dyDescent="0.75">
      <c r="A96" s="345" t="s">
        <v>183</v>
      </c>
      <c r="C96" s="355"/>
      <c r="D96" s="355"/>
    </row>
    <row r="97" spans="1:6" ht="16" x14ac:dyDescent="0.8">
      <c r="A97" s="358" t="s">
        <v>182</v>
      </c>
    </row>
    <row r="98" spans="1:6" x14ac:dyDescent="0.75">
      <c r="A98" s="373" t="s">
        <v>24</v>
      </c>
      <c r="B98" s="373"/>
      <c r="C98" s="373"/>
      <c r="D98" s="373"/>
      <c r="E98" s="373"/>
      <c r="F98" s="373"/>
    </row>
  </sheetData>
  <sheetProtection algorithmName="SHA-512" hashValue="aBl0HoyMb5cEwST0NVpoeBYN5WoPujq0d7Axa9Mwhfk3xm3Am8Cu0KPj7UvO25WUmKrNDcyZy6VQ6YpHZlXvqw==" saltValue="dlkfDMtJuWmcFTuMl+b76Q==" spinCount="100000" sheet="1" objects="1" scenarios="1" formatColumns="0" formatRows="0"/>
  <mergeCells count="25">
    <mergeCell ref="A16:B16"/>
    <mergeCell ref="E16:F16"/>
    <mergeCell ref="A24:B24"/>
    <mergeCell ref="E24:F24"/>
    <mergeCell ref="A32:B32"/>
    <mergeCell ref="E32:F32"/>
    <mergeCell ref="A40:B40"/>
    <mergeCell ref="E40:F40"/>
    <mergeCell ref="C1:D95"/>
    <mergeCell ref="A64:B64"/>
    <mergeCell ref="E64:F64"/>
    <mergeCell ref="A72:B72"/>
    <mergeCell ref="E72:F72"/>
    <mergeCell ref="A80:B80"/>
    <mergeCell ref="E80:F80"/>
    <mergeCell ref="E90:F95"/>
    <mergeCell ref="A8:B8"/>
    <mergeCell ref="E8:F8"/>
    <mergeCell ref="A98:F98"/>
    <mergeCell ref="A48:B48"/>
    <mergeCell ref="E48:F48"/>
    <mergeCell ref="A56:B56"/>
    <mergeCell ref="E56:F56"/>
    <mergeCell ref="A88:B88"/>
    <mergeCell ref="E88:F88"/>
  </mergeCells>
  <conditionalFormatting sqref="B23">
    <cfRule type="containsText" dxfId="39" priority="36" operator="containsText" text="Met">
      <formula>NOT(ISERROR(SEARCH("Met",B23)))</formula>
    </cfRule>
    <cfRule type="containsText" dxfId="38" priority="35" operator="containsText" text="Did Not Meet">
      <formula>NOT(ISERROR(SEARCH("Did Not Meet",B23)))</formula>
    </cfRule>
  </conditionalFormatting>
  <conditionalFormatting sqref="B31">
    <cfRule type="containsText" dxfId="37" priority="34" operator="containsText" text="Met">
      <formula>NOT(ISERROR(SEARCH("Met",B31)))</formula>
    </cfRule>
    <cfRule type="containsText" dxfId="36" priority="33" operator="containsText" text="Did Not Meet">
      <formula>NOT(ISERROR(SEARCH("Did Not Meet",B31)))</formula>
    </cfRule>
  </conditionalFormatting>
  <conditionalFormatting sqref="B39">
    <cfRule type="containsText" dxfId="35" priority="28" operator="containsText" text="Met">
      <formula>NOT(ISERROR(SEARCH("Met",B39)))</formula>
    </cfRule>
    <cfRule type="containsText" dxfId="34" priority="27" operator="containsText" text="Did Not Meet">
      <formula>NOT(ISERROR(SEARCH("Did Not Meet",B39)))</formula>
    </cfRule>
  </conditionalFormatting>
  <conditionalFormatting sqref="B47">
    <cfRule type="containsText" dxfId="33" priority="26" operator="containsText" text="Met">
      <formula>NOT(ISERROR(SEARCH("Met",B47)))</formula>
    </cfRule>
    <cfRule type="containsText" dxfId="32" priority="25" operator="containsText" text="Did Not Meet">
      <formula>NOT(ISERROR(SEARCH("Did Not Meet",B47)))</formula>
    </cfRule>
  </conditionalFormatting>
  <conditionalFormatting sqref="B55">
    <cfRule type="containsText" dxfId="31" priority="19" operator="containsText" text="Did Not Meet">
      <formula>NOT(ISERROR(SEARCH("Did Not Meet",B55)))</formula>
    </cfRule>
    <cfRule type="containsText" dxfId="30" priority="20" operator="containsText" text="Met">
      <formula>NOT(ISERROR(SEARCH("Met",B55)))</formula>
    </cfRule>
  </conditionalFormatting>
  <conditionalFormatting sqref="B63">
    <cfRule type="containsText" dxfId="29" priority="17" operator="containsText" text="Did Not Meet">
      <formula>NOT(ISERROR(SEARCH("Did Not Meet",B63)))</formula>
    </cfRule>
    <cfRule type="containsText" dxfId="28" priority="18" operator="containsText" text="Met">
      <formula>NOT(ISERROR(SEARCH("Met",B63)))</formula>
    </cfRule>
  </conditionalFormatting>
  <conditionalFormatting sqref="B71">
    <cfRule type="containsText" dxfId="27" priority="11" operator="containsText" text="Did Not Meet">
      <formula>NOT(ISERROR(SEARCH("Did Not Meet",B71)))</formula>
    </cfRule>
    <cfRule type="containsText" dxfId="26" priority="12" operator="containsText" text="Met">
      <formula>NOT(ISERROR(SEARCH("Met",B71)))</formula>
    </cfRule>
  </conditionalFormatting>
  <conditionalFormatting sqref="B79">
    <cfRule type="containsText" dxfId="25" priority="9" operator="containsText" text="Did Not Meet">
      <formula>NOT(ISERROR(SEARCH("Did Not Meet",B79)))</formula>
    </cfRule>
    <cfRule type="containsText" dxfId="24" priority="10" operator="containsText" text="Met">
      <formula>NOT(ISERROR(SEARCH("Met",B79)))</formula>
    </cfRule>
  </conditionalFormatting>
  <conditionalFormatting sqref="B87">
    <cfRule type="containsText" dxfId="23" priority="3" operator="containsText" text="Did Not Meet">
      <formula>NOT(ISERROR(SEARCH("Did Not Meet",B87)))</formula>
    </cfRule>
    <cfRule type="containsText" dxfId="22" priority="4" operator="containsText" text="Met">
      <formula>NOT(ISERROR(SEARCH("Met",B87)))</formula>
    </cfRule>
  </conditionalFormatting>
  <conditionalFormatting sqref="B95">
    <cfRule type="containsText" dxfId="21" priority="1" operator="containsText" text="Did Not Meet">
      <formula>NOT(ISERROR(SEARCH("Did Not Meet",B95)))</formula>
    </cfRule>
    <cfRule type="containsText" dxfId="20" priority="2" operator="containsText" text="Met">
      <formula>NOT(ISERROR(SEARCH("Met",B95)))</formula>
    </cfRule>
  </conditionalFormatting>
  <conditionalFormatting sqref="F15">
    <cfRule type="containsText" dxfId="19" priority="40" operator="containsText" text="Met">
      <formula>NOT(ISERROR(SEARCH("Met",F15)))</formula>
    </cfRule>
    <cfRule type="containsText" dxfId="18" priority="39" operator="containsText" text="Did Not Meet">
      <formula>NOT(ISERROR(SEARCH("Did Not Meet",F15)))</formula>
    </cfRule>
  </conditionalFormatting>
  <conditionalFormatting sqref="F23">
    <cfRule type="containsText" dxfId="17" priority="37" operator="containsText" text="Did Not Meet">
      <formula>NOT(ISERROR(SEARCH("Did Not Meet",F23)))</formula>
    </cfRule>
    <cfRule type="containsText" dxfId="16" priority="38" operator="containsText" text="Met">
      <formula>NOT(ISERROR(SEARCH("Met",F23)))</formula>
    </cfRule>
  </conditionalFormatting>
  <conditionalFormatting sqref="F31">
    <cfRule type="containsText" dxfId="15" priority="31" operator="containsText" text="Did Not Meet">
      <formula>NOT(ISERROR(SEARCH("Did Not Meet",F31)))</formula>
    </cfRule>
    <cfRule type="containsText" dxfId="14" priority="32" operator="containsText" text="Met">
      <formula>NOT(ISERROR(SEARCH("Met",F31)))</formula>
    </cfRule>
  </conditionalFormatting>
  <conditionalFormatting sqref="F39">
    <cfRule type="containsText" dxfId="13" priority="29" operator="containsText" text="Did Not Meet">
      <formula>NOT(ISERROR(SEARCH("Did Not Meet",F39)))</formula>
    </cfRule>
    <cfRule type="containsText" dxfId="12" priority="30" operator="containsText" text="Met">
      <formula>NOT(ISERROR(SEARCH("Met",F39)))</formula>
    </cfRule>
  </conditionalFormatting>
  <conditionalFormatting sqref="F47">
    <cfRule type="containsText" dxfId="11" priority="23" operator="containsText" text="Did Not Meet">
      <formula>NOT(ISERROR(SEARCH("Did Not Meet",F47)))</formula>
    </cfRule>
    <cfRule type="containsText" dxfId="10" priority="24" operator="containsText" text="Met">
      <formula>NOT(ISERROR(SEARCH("Met",F47)))</formula>
    </cfRule>
  </conditionalFormatting>
  <conditionalFormatting sqref="F55">
    <cfRule type="containsText" dxfId="9" priority="22" operator="containsText" text="Met">
      <formula>NOT(ISERROR(SEARCH("Met",F55)))</formula>
    </cfRule>
    <cfRule type="containsText" dxfId="8" priority="21" operator="containsText" text="Did Not Meet">
      <formula>NOT(ISERROR(SEARCH("Did Not Meet",F55)))</formula>
    </cfRule>
  </conditionalFormatting>
  <conditionalFormatting sqref="F63">
    <cfRule type="containsText" dxfId="7" priority="16" operator="containsText" text="Met">
      <formula>NOT(ISERROR(SEARCH("Met",F63)))</formula>
    </cfRule>
    <cfRule type="containsText" dxfId="6" priority="15" operator="containsText" text="Did Not Meet">
      <formula>NOT(ISERROR(SEARCH("Did Not Meet",F63)))</formula>
    </cfRule>
  </conditionalFormatting>
  <conditionalFormatting sqref="F71">
    <cfRule type="containsText" dxfId="5" priority="14" operator="containsText" text="Met">
      <formula>NOT(ISERROR(SEARCH("Met",F71)))</formula>
    </cfRule>
    <cfRule type="containsText" dxfId="4" priority="13" operator="containsText" text="Did Not Meet">
      <formula>NOT(ISERROR(SEARCH("Did Not Meet",F71)))</formula>
    </cfRule>
  </conditionalFormatting>
  <conditionalFormatting sqref="F79">
    <cfRule type="containsText" dxfId="3" priority="8" operator="containsText" text="Met">
      <formula>NOT(ISERROR(SEARCH("Met",F79)))</formula>
    </cfRule>
    <cfRule type="containsText" dxfId="2" priority="7" operator="containsText" text="Did Not Meet">
      <formula>NOT(ISERROR(SEARCH("Did Not Meet",F79)))</formula>
    </cfRule>
  </conditionalFormatting>
  <conditionalFormatting sqref="F87">
    <cfRule type="containsText" dxfId="1" priority="6" operator="containsText" text="Met">
      <formula>NOT(ISERROR(SEARCH("Met",F87)))</formula>
    </cfRule>
    <cfRule type="containsText" dxfId="0" priority="5" operator="containsText" text="Did Not Meet">
      <formula>NOT(ISERROR(SEARCH("Did Not Meet",F87)))</formula>
    </cfRule>
  </conditionalFormatting>
  <hyperlinks>
    <hyperlink ref="A97" r:id="rId1" xr:uid="{B0253852-F065-4130-8EA1-9E4FCC65BAC6}"/>
  </hyperlinks>
  <pageMargins left="0.7" right="0.7" top="0.75" bottom="0.75" header="0.3" footer="0.3"/>
  <pageSetup orientation="portrait" r:id="rId2"/>
  <tableParts count="2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tabColor rgb="FF00B050"/>
  </sheetPr>
  <dimension ref="A1"/>
  <sheetViews>
    <sheetView workbookViewId="0"/>
  </sheetViews>
  <sheetFormatPr defaultRowHeight="14.75" x14ac:dyDescent="0.7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tabColor rgb="FF00B050"/>
  </sheetPr>
  <dimension ref="A1"/>
  <sheetViews>
    <sheetView workbookViewId="0"/>
  </sheetViews>
  <sheetFormatPr defaultRowHeight="14.75" x14ac:dyDescent="0.7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dimension ref="A1:A5"/>
  <sheetViews>
    <sheetView workbookViewId="0">
      <selection activeCell="A9" sqref="A9"/>
    </sheetView>
  </sheetViews>
  <sheetFormatPr defaultRowHeight="14.75" x14ac:dyDescent="0.75"/>
  <cols>
    <col min="1" max="1" width="46.26953125" bestFit="1" customWidth="1"/>
  </cols>
  <sheetData>
    <row r="1" spans="1:1" ht="16" x14ac:dyDescent="0.8">
      <c r="A1" s="198" t="s">
        <v>165</v>
      </c>
    </row>
    <row r="2" spans="1:1" x14ac:dyDescent="0.75">
      <c r="A2" t="s">
        <v>166</v>
      </c>
    </row>
    <row r="3" spans="1:1" x14ac:dyDescent="0.75">
      <c r="A3" t="s">
        <v>167</v>
      </c>
    </row>
    <row r="4" spans="1:1" x14ac:dyDescent="0.75">
      <c r="A4" t="s">
        <v>168</v>
      </c>
    </row>
    <row r="5" spans="1:1" x14ac:dyDescent="0.75">
      <c r="A5"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autoPageBreaks="0"/>
  </sheetPr>
  <dimension ref="A1:AD16"/>
  <sheetViews>
    <sheetView showGridLines="0" zoomScale="90" zoomScaleNormal="90" workbookViewId="0"/>
  </sheetViews>
  <sheetFormatPr defaultColWidth="0" defaultRowHeight="16" zeroHeight="1" x14ac:dyDescent="0.8"/>
  <cols>
    <col min="1" max="2" width="13.7265625" style="10" customWidth="1"/>
    <col min="3" max="4" width="18" style="10" customWidth="1"/>
    <col min="5" max="6" width="18" style="15" customWidth="1"/>
    <col min="7" max="12" width="18" style="10" customWidth="1"/>
    <col min="13" max="13" width="0.86328125" style="10" customWidth="1"/>
    <col min="14" max="16" width="12.54296875" style="10" hidden="1" customWidth="1"/>
    <col min="17" max="17" width="19.1328125" style="10" hidden="1" customWidth="1"/>
    <col min="18" max="22" width="12.54296875" style="10" hidden="1" customWidth="1"/>
    <col min="23" max="23" width="19.1328125" style="10" hidden="1" customWidth="1"/>
    <col min="24" max="27" width="12.54296875" style="10" hidden="1" customWidth="1"/>
    <col min="28" max="30" width="19.1328125" style="10" hidden="1" customWidth="1"/>
    <col min="31" max="60" width="12.54296875" style="10" hidden="1" customWidth="1"/>
    <col min="61" max="16384" width="12.54296875" style="10" hidden="1"/>
  </cols>
  <sheetData>
    <row r="1" spans="1:16" ht="19.25" thickBot="1" x14ac:dyDescent="1.05">
      <c r="A1" s="295" t="s">
        <v>14</v>
      </c>
      <c r="B1" s="295"/>
      <c r="C1" s="296" t="str">
        <f>IF('2. Getting Started'!B2="","",'2. Getting Started'!B2)</f>
        <v/>
      </c>
      <c r="D1" s="296"/>
      <c r="E1" s="177"/>
      <c r="F1" s="295" t="s">
        <v>150</v>
      </c>
      <c r="G1" s="297"/>
      <c r="H1" s="297"/>
      <c r="I1" s="297"/>
      <c r="J1" s="297"/>
      <c r="K1" s="297"/>
      <c r="L1" s="297"/>
      <c r="M1" s="344"/>
      <c r="N1" s="344"/>
      <c r="O1" s="344"/>
      <c r="P1" s="344"/>
    </row>
    <row r="2" spans="1:16" s="11" customFormat="1" ht="186.5" thickTop="1" thickBot="1" x14ac:dyDescent="0.95">
      <c r="A2" s="290" t="s">
        <v>25</v>
      </c>
      <c r="B2" s="311" t="s">
        <v>23</v>
      </c>
      <c r="C2" s="319" t="s">
        <v>146</v>
      </c>
      <c r="D2" s="294" t="s">
        <v>49</v>
      </c>
      <c r="E2" s="291" t="s">
        <v>0</v>
      </c>
      <c r="F2" s="292" t="s">
        <v>36</v>
      </c>
      <c r="G2" s="293" t="s">
        <v>37</v>
      </c>
      <c r="H2" s="294" t="s">
        <v>38</v>
      </c>
      <c r="I2" s="293" t="s">
        <v>39</v>
      </c>
      <c r="J2" s="294" t="s">
        <v>40</v>
      </c>
      <c r="K2" s="293" t="s">
        <v>41</v>
      </c>
      <c r="L2" s="294" t="s">
        <v>42</v>
      </c>
      <c r="M2" s="344"/>
      <c r="N2" s="344"/>
      <c r="O2" s="344"/>
      <c r="P2" s="344"/>
    </row>
    <row r="3" spans="1:16" s="11" customFormat="1" ht="47.15" customHeight="1" thickTop="1" x14ac:dyDescent="0.8">
      <c r="A3" s="307" t="str">
        <f>CONCATENATE("Last Year Met Compliance Standard Prior to ",'2. Getting Started'!B6)</f>
        <v>Last Year Met Compliance Standard Prior to 2024</v>
      </c>
      <c r="B3" s="312"/>
      <c r="C3" s="318"/>
      <c r="D3" s="308"/>
      <c r="E3" s="309" t="str">
        <f>IF('2. Getting Started'!C10="","",'2. Getting Started'!C10)</f>
        <v/>
      </c>
      <c r="F3" s="310" t="str">
        <f>IF('2. Getting Started'!B10="","",CONCATENATE('2. Getting Started'!B10,": Met"))</f>
        <v/>
      </c>
      <c r="G3" s="309" t="str">
        <f>IF('2. Getting Started'!C11="","",'2. Getting Started'!C11)</f>
        <v/>
      </c>
      <c r="H3" s="310" t="str">
        <f>IF('2. Getting Started'!B11="","",CONCATENATE('2. Getting Started'!B11,": Met"))</f>
        <v/>
      </c>
      <c r="I3" s="309" t="str">
        <f>IF('2. Getting Started'!C12="","",'2. Getting Started'!C12)</f>
        <v/>
      </c>
      <c r="J3" s="310" t="str">
        <f>IF('2. Getting Started'!B12="","",CONCATENATE('2. Getting Started'!B12,": Met"))</f>
        <v/>
      </c>
      <c r="K3" s="309" t="str">
        <f>IF('2. Getting Started'!C13="","",'2. Getting Started'!C13)</f>
        <v/>
      </c>
      <c r="L3" s="310" t="str">
        <f>IF('2. Getting Started'!B13="","",CONCATENATE('2. Getting Started'!B13,": Met"))</f>
        <v/>
      </c>
      <c r="M3" s="344"/>
      <c r="N3" s="344"/>
      <c r="O3" s="344"/>
      <c r="P3" s="344"/>
    </row>
    <row r="4" spans="1:16" ht="46.9" customHeight="1" x14ac:dyDescent="0.8">
      <c r="A4" s="315" t="s">
        <v>26</v>
      </c>
      <c r="B4" s="313">
        <f>'2. Getting Started'!B$6</f>
        <v>2024</v>
      </c>
      <c r="C4" s="320" t="s">
        <v>147</v>
      </c>
      <c r="D4" s="334" t="str">
        <f>IF('5. Year 1 Amounts'!I1="","",'5. Year 1 Amounts'!I1)</f>
        <v/>
      </c>
      <c r="E4" s="306" t="str">
        <f>'5. Year 1 Amounts'!K$30</f>
        <v/>
      </c>
      <c r="F4" s="298" t="str">
        <f>'7. Year 1 Summary'!B$17</f>
        <v/>
      </c>
      <c r="G4" s="306" t="str">
        <f>'5. Year 1 Amounts'!M$30</f>
        <v/>
      </c>
      <c r="H4" s="298" t="str">
        <f>'7. Year 1 Summary'!C$17</f>
        <v/>
      </c>
      <c r="I4" s="306" t="str">
        <f>'5. Year 1 Amounts'!K$31</f>
        <v/>
      </c>
      <c r="J4" s="298" t="str">
        <f>'7. Year 1 Summary'!D$17</f>
        <v/>
      </c>
      <c r="K4" s="306" t="str">
        <f>'5. Year 1 Amounts'!M$31</f>
        <v/>
      </c>
      <c r="L4" s="298" t="str">
        <f>'7. Year 1 Summary'!E$17</f>
        <v/>
      </c>
      <c r="M4" s="344"/>
      <c r="N4" s="344"/>
      <c r="O4" s="344"/>
      <c r="P4" s="344"/>
    </row>
    <row r="5" spans="1:16" ht="46.9" customHeight="1" x14ac:dyDescent="0.8">
      <c r="A5" s="316" t="s">
        <v>27</v>
      </c>
      <c r="B5" s="314">
        <f>'2. Getting Started'!B$6+1</f>
        <v>2025</v>
      </c>
      <c r="C5" s="321" t="s">
        <v>147</v>
      </c>
      <c r="D5" s="334" t="str">
        <f>IF(AND($C5="Compliance Standard (Expenditures)",'8. Year 2 Amounts'!$I$1&lt;&gt;""),'8. Year 2 Amounts'!$I$1,IF(AND($C5="Eligibility Standard (Budget)",'8. Year 2 Amounts'!$B$1&lt;&gt;""),'8. Year 2 Amounts'!$B$1,""))</f>
        <v/>
      </c>
      <c r="E5" s="299" t="str">
        <f>IF($C5="Compliance Standard (Expenditures)",'8. Year 2 Amounts'!$K$30,IF($C5="Eligibility Standard (Budget)",'8. Year 2 Amounts'!$D$30,""))</f>
        <v/>
      </c>
      <c r="F5" s="298" t="str">
        <f>IF($C5="Compliance Standard (Expenditures)",'10. Year 2 Summary'!B$17,IF($C5="Eligibility Standard (Budget)",'10. Year 2 Summary'!B$9,""))</f>
        <v/>
      </c>
      <c r="G5" s="299" t="str">
        <f>IF(C5="Compliance Standard (Expenditures)",'8. Year 2 Amounts'!M$30,IF(C5="Eligibility Standard (Budget)",'8. Year 2 Amounts'!F$30,""))</f>
        <v/>
      </c>
      <c r="H5" s="298" t="str">
        <f>IF($C5="Compliance Standard (Expenditures)",'10. Year 2 Summary'!C$17,IF($C5="Eligibility Standard (Budget)",'10. Year 2 Summary'!C$9,""))</f>
        <v/>
      </c>
      <c r="I5" s="299" t="str">
        <f>IF($C5="Compliance Standard (Expenditures)",'8. Year 2 Amounts'!$K$31,IF($C5="Eligibility Standard (Budget)",'8. Year 2 Amounts'!$D$31,""))</f>
        <v/>
      </c>
      <c r="J5" s="298" t="str">
        <f>IF($C5="Compliance Standard (Expenditures)",'10. Year 2 Summary'!D$17,IF($C5="Eligibility Standard (Budget)",'10. Year 2 Summary'!D$9,""))</f>
        <v/>
      </c>
      <c r="K5" s="299" t="str">
        <f>IF($C5="Compliance Standard (Expenditures)",'8. Year 2 Amounts'!$M$31,IF($C5="Eligibility Standard (Budget)",'8. Year 2 Amounts'!$F$31,""))</f>
        <v/>
      </c>
      <c r="L5" s="298" t="str">
        <f>IF($C5="Compliance Standard (Expenditures)",'10. Year 2 Summary'!E$17,IF($C5="Eligibility Standard (Budget)",'10. Year 2 Summary'!E$9,""))</f>
        <v/>
      </c>
      <c r="M5" s="344"/>
      <c r="N5" s="344"/>
      <c r="O5" s="344"/>
      <c r="P5" s="344"/>
    </row>
    <row r="6" spans="1:16" ht="46.9" customHeight="1" x14ac:dyDescent="0.8">
      <c r="A6" s="316" t="s">
        <v>28</v>
      </c>
      <c r="B6" s="314">
        <f>'2. Getting Started'!B$6+2</f>
        <v>2026</v>
      </c>
      <c r="C6" s="321" t="s">
        <v>147</v>
      </c>
      <c r="D6" s="334" t="str">
        <f>IF(AND($C6="Compliance Standard (Expenditures)",'11. Year 3 Amounts'!$I$1&lt;&gt;""),'11. Year 3 Amounts'!$I$1,IF(AND($C6="Eligibility Standard (Budget)",'11. Year 3 Amounts'!$B$1&lt;&gt;""),'11. Year 3 Amounts'!$B$1,""))</f>
        <v/>
      </c>
      <c r="E6" s="299" t="str">
        <f>IF($C6="Compliance Standard (Expenditures)",'11. Year 3 Amounts'!$K$30,IF($C6="Eligibility Standard (Budget)",'11. Year 3 Amounts'!$D$30,""))</f>
        <v/>
      </c>
      <c r="F6" s="298" t="str">
        <f>IF($C6="Compliance Standard (Expenditures)",'13. Year 3 Summary'!B$17,IF($C6="Eligibility Standard (Budget)",'13. Year 3 Summary'!B$9,""))</f>
        <v/>
      </c>
      <c r="G6" s="299" t="str">
        <f>IF(C6="Compliance Standard (Expenditures)",'11. Year 3 Amounts'!M$30,IF(C6="Eligibility Standard (Budget)",'11. Year 3 Amounts'!F$30,""))</f>
        <v/>
      </c>
      <c r="H6" s="298" t="str">
        <f>IF($C6="Compliance Standard (Expenditures)",'13. Year 3 Summary'!C$17,IF($C6="Eligibility Standard (Budget)",'13. Year 3 Summary'!C$9,""))</f>
        <v/>
      </c>
      <c r="I6" s="299" t="str">
        <f>IF($C6="Compliance Standard (Expenditures)",'11. Year 3 Amounts'!$K$31,IF($C6="Eligibility Standard (Budget)",'11. Year 3 Amounts'!$D$31,""))</f>
        <v/>
      </c>
      <c r="J6" s="298" t="str">
        <f>IF($C6="Compliance Standard (Expenditures)",'13. Year 3 Summary'!D$17,IF($C6="Eligibility Standard (Budget)",'13. Year 3 Summary'!D$9,""))</f>
        <v/>
      </c>
      <c r="K6" s="299" t="str">
        <f>IF($C6="Compliance Standard (Expenditures)",'11. Year 3 Amounts'!$M$31,IF($C6="Eligibility Standard (Budget)",'11. Year 3 Amounts'!$F$31,""))</f>
        <v/>
      </c>
      <c r="L6" s="298" t="str">
        <f>IF($C6="Compliance Standard (Expenditures)",'13. Year 3 Summary'!E$17,IF($C6="Eligibility Standard (Budget)",'13. Year 3 Summary'!E$9,""))</f>
        <v/>
      </c>
      <c r="M6" s="344"/>
      <c r="N6" s="344"/>
      <c r="O6" s="344"/>
      <c r="P6" s="344"/>
    </row>
    <row r="7" spans="1:16" ht="46.9" customHeight="1" x14ac:dyDescent="0.8">
      <c r="A7" s="316" t="s">
        <v>29</v>
      </c>
      <c r="B7" s="314">
        <f>'2. Getting Started'!B$6+3</f>
        <v>2027</v>
      </c>
      <c r="C7" s="321" t="s">
        <v>147</v>
      </c>
      <c r="D7" s="334" t="str">
        <f>IF(AND($C7="Compliance Standard (Expenditures)",'14. Year 4 Amounts'!$I$1&lt;&gt;""),'14. Year 4 Amounts'!$I$1,IF(AND($C7="Eligibility Standard (Budget)",'14. Year 4 Amounts'!$B$1&lt;&gt;""),'14. Year 4 Amounts'!$B$1,""))</f>
        <v/>
      </c>
      <c r="E7" s="299" t="str">
        <f>IF($C7="Compliance Standard (Expenditures)",'14. Year 4 Amounts'!$K$30,IF($C7="Eligibility Standard (Budget)",'14. Year 4 Amounts'!$D$30,""))</f>
        <v/>
      </c>
      <c r="F7" s="298" t="str">
        <f>IF($C7="Compliance Standard (Expenditures)",'16. Year 4 Summary'!B$17,IF($C7="Eligibility Standard (Budget)",'16. Year 4 Summary'!B$9,""))</f>
        <v/>
      </c>
      <c r="G7" s="299" t="str">
        <f>IF(C7="Compliance Standard (Expenditures)",'14. Year 4 Amounts'!M$30,IF(C7="Eligibility Standard (Budget)",'14. Year 4 Amounts'!F$30,""))</f>
        <v/>
      </c>
      <c r="H7" s="298" t="str">
        <f>IF($C7="Compliance Standard (Expenditures)",'16. Year 4 Summary'!C$17,IF($C7="Eligibility Standard (Budget)",'16. Year 4 Summary'!C$9,""))</f>
        <v/>
      </c>
      <c r="I7" s="299" t="str">
        <f>IF($C7="Compliance Standard (Expenditures)",'14. Year 4 Amounts'!$K$31,IF($C7="Eligibility Standard (Budget)",'14. Year 4 Amounts'!$D$31,""))</f>
        <v/>
      </c>
      <c r="J7" s="298" t="str">
        <f>IF($C7="Compliance Standard (Expenditures)",'16. Year 4 Summary'!D$17,IF($C7="Eligibility Standard (Budget)",'16. Year 4 Summary'!D$9,""))</f>
        <v/>
      </c>
      <c r="K7" s="299" t="str">
        <f>IF($C7="Compliance Standard (Expenditures)",'14. Year 4 Amounts'!$M$31,IF($C7="Eligibility Standard (Budget)",'14. Year 4 Amounts'!$F$31,""))</f>
        <v/>
      </c>
      <c r="L7" s="298" t="str">
        <f>IF($C7="Compliance Standard (Expenditures)",'16. Year 4 Summary'!E$17,IF($C7="Eligibility Standard (Budget)",'16. Year 4 Summary'!E$9,""))</f>
        <v/>
      </c>
      <c r="M7" s="344"/>
      <c r="N7" s="344"/>
      <c r="O7" s="344"/>
      <c r="P7" s="344"/>
    </row>
    <row r="8" spans="1:16" ht="46.9" customHeight="1" x14ac:dyDescent="0.8">
      <c r="A8" s="316" t="s">
        <v>30</v>
      </c>
      <c r="B8" s="314">
        <f>'2. Getting Started'!B$6+4</f>
        <v>2028</v>
      </c>
      <c r="C8" s="321" t="s">
        <v>147</v>
      </c>
      <c r="D8" s="334" t="str">
        <f>IF(AND($C8="Compliance Standard (Expenditures)",'17. Year 5 Amounts'!$I$1&lt;&gt;""),'17. Year 5 Amounts'!$I$1,IF(AND($C8="Eligibility Standard (Budget)",'17. Year 5 Amounts'!$B$1&lt;&gt;""),'17. Year 5 Amounts'!$B$1,""))</f>
        <v/>
      </c>
      <c r="E8" s="299" t="str">
        <f>IF($C8="Compliance Standard (Expenditures)",'17. Year 5 Amounts'!$K$30,IF($C8="Eligibility Standard (Budget)",'17. Year 5 Amounts'!$D$30,""))</f>
        <v/>
      </c>
      <c r="F8" s="298" t="str">
        <f>IF($C8="Compliance Standard (Expenditures)",'19. Year 5 Summary'!B$17,IF($C8="Eligibility Standard (Budget)",'19. Year 5 Summary'!B$9,""))</f>
        <v/>
      </c>
      <c r="G8" s="299" t="str">
        <f>IF(C8="Compliance Standard (Expenditures)",'17. Year 5 Amounts'!M$30,IF(C8="Eligibility Standard (Budget)",'17. Year 5 Amounts'!F$30,""))</f>
        <v/>
      </c>
      <c r="H8" s="298" t="str">
        <f>IF($C8="Compliance Standard (Expenditures)",'19. Year 5 Summary'!C$17,IF($C8="Eligibility Standard (Budget)",'19. Year 5 Summary'!C$9,""))</f>
        <v/>
      </c>
      <c r="I8" s="299" t="str">
        <f>IF($C8="Compliance Standard (Expenditures)",'17. Year 5 Amounts'!$K$31,IF($C8="Eligibility Standard (Budget)",'17. Year 5 Amounts'!$D$31,""))</f>
        <v/>
      </c>
      <c r="J8" s="298" t="str">
        <f>IF($C8="Compliance Standard (Expenditures)",'19. Year 5 Summary'!D$17,IF($C8="Eligibility Standard (Budget)",'19. Year 5 Summary'!D$9,""))</f>
        <v/>
      </c>
      <c r="K8" s="299" t="str">
        <f>IF($C8="Compliance Standard (Expenditures)",'17. Year 5 Amounts'!$M$31,IF($C8="Eligibility Standard (Budget)",'17. Year 5 Amounts'!$F$31,""))</f>
        <v/>
      </c>
      <c r="L8" s="298" t="str">
        <f>IF($C8="Compliance Standard (Expenditures)",'19. Year 5 Summary'!E$17,IF($C8="Eligibility Standard (Budget)",'19. Year 5 Summary'!E$9,""))</f>
        <v/>
      </c>
      <c r="M8" s="344"/>
      <c r="N8" s="344"/>
      <c r="O8" s="344"/>
      <c r="P8" s="344"/>
    </row>
    <row r="9" spans="1:16" ht="46.9" customHeight="1" x14ac:dyDescent="0.8">
      <c r="A9" s="316" t="s">
        <v>31</v>
      </c>
      <c r="B9" s="314">
        <f>'2. Getting Started'!B$6+5</f>
        <v>2029</v>
      </c>
      <c r="C9" s="321" t="s">
        <v>147</v>
      </c>
      <c r="D9" s="334" t="str">
        <f>IF(AND($C9="Compliance Standard (Expenditures)",'20. Year 6 Amounts'!$I$1&lt;&gt;""),'20. Year 6 Amounts'!$I$1,IF(AND($C9="Eligibility Standard (Budget)",'20. Year 6 Amounts'!$B$1&lt;&gt;""),'20. Year 6 Amounts'!$B$1,""))</f>
        <v/>
      </c>
      <c r="E9" s="299" t="str">
        <f>IF($C9="Compliance Standard (Expenditures)",'20. Year 6 Amounts'!$K$30,IF($C9="Eligibility Standard (Budget)",'20. Year 6 Amounts'!$D$30,""))</f>
        <v/>
      </c>
      <c r="F9" s="298" t="str">
        <f>IF($C9="Compliance Standard (Expenditures)",'22. Year 6 Summary'!B$17,IF($C9="Eligibility Standard (Budget)",'22. Year 6 Summary'!B$9,""))</f>
        <v/>
      </c>
      <c r="G9" s="299" t="str">
        <f>IF(C9="Compliance Standard (Expenditures)",'20. Year 6 Amounts'!M$30,IF(C9="Eligibility Standard (Budget)",'20. Year 6 Amounts'!F$30,""))</f>
        <v/>
      </c>
      <c r="H9" s="298" t="str">
        <f>IF($C9="Compliance Standard (Expenditures)",'22. Year 6 Summary'!C$17,IF($C9="Eligibility Standard (Budget)",'22. Year 6 Summary'!C$9,""))</f>
        <v/>
      </c>
      <c r="I9" s="299" t="str">
        <f>IF($C9="Compliance Standard (Expenditures)",'20. Year 6 Amounts'!$K$31,IF($C9="Eligibility Standard (Budget)",'20. Year 6 Amounts'!$D$31,""))</f>
        <v/>
      </c>
      <c r="J9" s="298" t="str">
        <f>IF($C9="Compliance Standard (Expenditures)",'22. Year 6 Summary'!D$17,IF($C9="Eligibility Standard (Budget)",'22. Year 6 Summary'!D$9,""))</f>
        <v/>
      </c>
      <c r="K9" s="299" t="str">
        <f>IF($C9="Compliance Standard (Expenditures)",'20. Year 6 Amounts'!$M$31,IF($C9="Eligibility Standard (Budget)",'20. Year 6 Amounts'!$F$31,""))</f>
        <v/>
      </c>
      <c r="L9" s="298" t="str">
        <f>IF($C9="Compliance Standard (Expenditures)",'22. Year 6 Summary'!E$17,IF($C9="Eligibility Standard (Budget)",'22. Year 6 Summary'!E$9,""))</f>
        <v/>
      </c>
      <c r="M9" s="344"/>
      <c r="N9" s="344"/>
      <c r="O9" s="344"/>
      <c r="P9" s="344"/>
    </row>
    <row r="10" spans="1:16" ht="46.9" customHeight="1" x14ac:dyDescent="0.8">
      <c r="A10" s="316" t="s">
        <v>32</v>
      </c>
      <c r="B10" s="314">
        <f>'2. Getting Started'!B$6+6</f>
        <v>2030</v>
      </c>
      <c r="C10" s="321" t="s">
        <v>147</v>
      </c>
      <c r="D10" s="334" t="str">
        <f>IF(AND($C10="Compliance Standard (Expenditures)",'23. Year 7 Amounts'!$I$1&lt;&gt;""),'23. Year 7 Amounts'!$I$1,IF(AND($C10="Eligibility Standard (Budget)",'23. Year 7 Amounts'!$B$1&lt;&gt;""),'23. Year 7 Amounts'!$B$1,""))</f>
        <v/>
      </c>
      <c r="E10" s="299" t="str">
        <f>IF($C10="Compliance Standard (Expenditures)",'23. Year 7 Amounts'!$K$30,IF($C10="Eligibility Standard (Budget)",'23. Year 7 Amounts'!$D$30,""))</f>
        <v/>
      </c>
      <c r="F10" s="298" t="str">
        <f>IF($C10="Compliance Standard (Expenditures)",'25. Year 7 Summary'!B$17,IF($C10="Eligibility Standard (Budget)",'25. Year 7 Summary'!B$9,""))</f>
        <v/>
      </c>
      <c r="G10" s="299" t="str">
        <f>IF(C10="Compliance Standard (Expenditures)",'23. Year 7 Amounts'!M$30,IF(C10="Eligibility Standard (Budget)",'23. Year 7 Amounts'!F$30,""))</f>
        <v/>
      </c>
      <c r="H10" s="298" t="str">
        <f>IF($C10="Compliance Standard (Expenditures)",'25. Year 7 Summary'!C$17,IF($C10="Eligibility Standard (Budget)",'25. Year 7 Summary'!C$9,""))</f>
        <v/>
      </c>
      <c r="I10" s="299" t="str">
        <f>IF($C10="Compliance Standard (Expenditures)",'23. Year 7 Amounts'!$K$31,IF($C10="Eligibility Standard (Budget)",'23. Year 7 Amounts'!$D$31,""))</f>
        <v/>
      </c>
      <c r="J10" s="298" t="str">
        <f>IF($C10="Compliance Standard (Expenditures)",'25. Year 7 Summary'!D$17,IF($C10="Eligibility Standard (Budget)",'25. Year 7 Summary'!D$9,""))</f>
        <v/>
      </c>
      <c r="K10" s="299" t="str">
        <f>IF($C10="Compliance Standard (Expenditures)",'23. Year 7 Amounts'!$M$31,IF($C10="Eligibility Standard (Budget)",'23. Year 7 Amounts'!$F$31,""))</f>
        <v/>
      </c>
      <c r="L10" s="298" t="str">
        <f>IF($C10="Compliance Standard (Expenditures)",'25. Year 7 Summary'!E$17,IF($C10="Eligibility Standard (Budget)",'25. Year 7 Summary'!E$9,""))</f>
        <v/>
      </c>
      <c r="M10" s="344"/>
      <c r="N10" s="344"/>
      <c r="O10" s="344"/>
      <c r="P10" s="344"/>
    </row>
    <row r="11" spans="1:16" ht="46.9" customHeight="1" x14ac:dyDescent="0.8">
      <c r="A11" s="316" t="s">
        <v>33</v>
      </c>
      <c r="B11" s="314">
        <f>'2. Getting Started'!B$6+7</f>
        <v>2031</v>
      </c>
      <c r="C11" s="321" t="s">
        <v>147</v>
      </c>
      <c r="D11" s="334" t="str">
        <f>IF(AND($C11="Compliance Standard (Expenditures)",'26. Year 8 Amounts'!$I$1&lt;&gt;""),'26. Year 8 Amounts'!$I$1,IF(AND($C11="Eligibility Standard (Budget)",'26. Year 8 Amounts'!$B$1&lt;&gt;""),'26. Year 8 Amounts'!$B$1,""))</f>
        <v/>
      </c>
      <c r="E11" s="299" t="str">
        <f>IF($C11="Compliance Standard (Expenditures)",'26. Year 8 Amounts'!$K$30,IF($C11="Eligibility Standard (Budget)",'26. Year 8 Amounts'!$D$30,""))</f>
        <v/>
      </c>
      <c r="F11" s="298" t="str">
        <f>IF($C11="Compliance Standard (Expenditures)",'28. Year 8 Summary'!B$17,IF($C11="Eligibility Standard (Budget)",'28. Year 8 Summary'!B$9,""))</f>
        <v/>
      </c>
      <c r="G11" s="299" t="str">
        <f>IF(C11="Compliance Standard (Expenditures)",'26. Year 8 Amounts'!M$30,IF(C11="Eligibility Standard (Budget)",'26. Year 8 Amounts'!F$30,""))</f>
        <v/>
      </c>
      <c r="H11" s="298" t="str">
        <f>IF($C11="Compliance Standard (Expenditures)",'28. Year 8 Summary'!C$17,IF($C11="Eligibility Standard (Budget)",'28. Year 8 Summary'!C$9,""))</f>
        <v/>
      </c>
      <c r="I11" s="299" t="str">
        <f>IF($C11="Compliance Standard (Expenditures)",'26. Year 8 Amounts'!$K$31,IF($C11="Eligibility Standard (Budget)",'26. Year 8 Amounts'!$D$31,""))</f>
        <v/>
      </c>
      <c r="J11" s="298" t="str">
        <f>IF($C11="Compliance Standard (Expenditures)",'28. Year 8 Summary'!D$17,IF($C11="Eligibility Standard (Budget)",'28. Year 8 Summary'!D$9,""))</f>
        <v/>
      </c>
      <c r="K11" s="299" t="str">
        <f>IF($C11="Compliance Standard (Expenditures)",'26. Year 8 Amounts'!$M$31,IF($C11="Eligibility Standard (Budget)",'26. Year 8 Amounts'!$F$31,""))</f>
        <v/>
      </c>
      <c r="L11" s="298" t="str">
        <f>IF($C11="Compliance Standard (Expenditures)",'28. Year 8 Summary'!E$17,IF($C11="Eligibility Standard (Budget)",'28. Year 8 Summary'!E$9,""))</f>
        <v/>
      </c>
      <c r="M11" s="344"/>
      <c r="N11" s="344"/>
      <c r="O11" s="344"/>
      <c r="P11" s="344"/>
    </row>
    <row r="12" spans="1:16" ht="46.9" customHeight="1" x14ac:dyDescent="0.8">
      <c r="A12" s="316" t="s">
        <v>34</v>
      </c>
      <c r="B12" s="314">
        <f>'2. Getting Started'!B$6+8</f>
        <v>2032</v>
      </c>
      <c r="C12" s="321" t="s">
        <v>147</v>
      </c>
      <c r="D12" s="334" t="str">
        <f>IF(AND($C12="Compliance Standard (Expenditures)",'29. Year 9 Amounts'!$I$1&lt;&gt;""),'29. Year 9 Amounts'!$I$1,IF(AND($C12="Eligibility Standard (Budget)",'29. Year 9 Amounts'!$B$1&lt;&gt;""),'29. Year 9 Amounts'!$B$1,""))</f>
        <v/>
      </c>
      <c r="E12" s="299" t="str">
        <f>IF($C12="Compliance Standard (Expenditures)",'29. Year 9 Amounts'!$K$30,IF($C12="Eligibility Standard (Budget)",'29. Year 9 Amounts'!$D$30,""))</f>
        <v/>
      </c>
      <c r="F12" s="298" t="str">
        <f>IF($C12="Compliance Standard (Expenditures)",'31. Year 9 Summary'!B$17,IF($C12="Eligibility Standard (Budget)",'31. Year 9 Summary'!B$9,""))</f>
        <v/>
      </c>
      <c r="G12" s="299" t="str">
        <f>IF(C12="Compliance Standard (Expenditures)",'29. Year 9 Amounts'!M$30,IF(C12="Eligibility Standard (Budget)",'29. Year 9 Amounts'!F$30,""))</f>
        <v/>
      </c>
      <c r="H12" s="298" t="str">
        <f>IF($C12="Compliance Standard (Expenditures)",'31. Year 9 Summary'!C$17,IF($C12="Eligibility Standard (Budget)",'31. Year 9 Summary'!C$9,""))</f>
        <v/>
      </c>
      <c r="I12" s="299" t="str">
        <f>IF($C12="Compliance Standard (Expenditures)",'29. Year 9 Amounts'!$K$31,IF($C12="Eligibility Standard (Budget)",'29. Year 9 Amounts'!$D$31,""))</f>
        <v/>
      </c>
      <c r="J12" s="298" t="str">
        <f>IF($C12="Compliance Standard (Expenditures)",'31. Year 9 Summary'!D$17,IF($C12="Eligibility Standard (Budget)",'31. Year 9 Summary'!D$9,""))</f>
        <v/>
      </c>
      <c r="K12" s="299" t="str">
        <f>IF($C12="Compliance Standard (Expenditures)",'29. Year 9 Amounts'!$M$31,IF($C12="Eligibility Standard (Budget)",'29. Year 9 Amounts'!$F$31,""))</f>
        <v/>
      </c>
      <c r="L12" s="298" t="str">
        <f>IF($C12="Compliance Standard (Expenditures)",'31. Year 9 Summary'!E$17,IF($C12="Eligibility Standard (Budget)",'31. Year 9 Summary'!E$9,""))</f>
        <v/>
      </c>
      <c r="M12" s="344"/>
      <c r="N12" s="344"/>
      <c r="O12" s="344"/>
      <c r="P12" s="344"/>
    </row>
    <row r="13" spans="1:16" ht="46.9" customHeight="1" thickBot="1" x14ac:dyDescent="0.95">
      <c r="A13" s="317" t="s">
        <v>35</v>
      </c>
      <c r="B13" s="314">
        <f>'2. Getting Started'!B$6+9</f>
        <v>2033</v>
      </c>
      <c r="C13" s="321" t="s">
        <v>147</v>
      </c>
      <c r="D13" s="334" t="str">
        <f>IF(AND($C13="Compliance Standard (Expenditures)",'32. Year 10 Amounts'!$I$1&lt;&gt;""),'32. Year 10 Amounts'!$I$1,IF(AND($C13="Eligibility Standard (Budget)",'32. Year 10 Amounts'!$B$1&lt;&gt;""),'32. Year 10 Amounts'!$B$1,""))</f>
        <v/>
      </c>
      <c r="E13" s="299" t="str">
        <f>IF($C13="Compliance Standard (Expenditures)",'32. Year 10 Amounts'!$K$30,IF($C13="Eligibility Standard (Budget)",'32. Year 10 Amounts'!$D$30,""))</f>
        <v/>
      </c>
      <c r="F13" s="298" t="str">
        <f>IF($C13="Compliance Standard (Expenditures)",'34. Year 10 Summary'!B$17,IF($C13="Eligibility Standard (Budget)",'34. Year 10 Summary'!B$9,""))</f>
        <v/>
      </c>
      <c r="G13" s="299" t="str">
        <f>IF(C13="Compliance Standard (Expenditures)",'32. Year 10 Amounts'!M$30,IF(C13="Eligibility Standard (Budget)",'32. Year 10 Amounts'!F$30,""))</f>
        <v/>
      </c>
      <c r="H13" s="298" t="str">
        <f>IF($C13="Compliance Standard (Expenditures)",'34. Year 10 Summary'!C$17,IF($C13="Eligibility Standard (Budget)",'34. Year 10 Summary'!C$9,""))</f>
        <v/>
      </c>
      <c r="I13" s="299" t="str">
        <f>IF($C13="Compliance Standard (Expenditures)",'32. Year 10 Amounts'!$K$31,IF($C13="Eligibility Standard (Budget)",'32. Year 10 Amounts'!$D$31,""))</f>
        <v/>
      </c>
      <c r="J13" s="298" t="str">
        <f>IF($C13="Compliance Standard (Expenditures)",'34. Year 10 Summary'!D$17,IF($C13="Eligibility Standard (Budget)",'34. Year 10 Summary'!D$9,""))</f>
        <v/>
      </c>
      <c r="K13" s="299" t="str">
        <f>IF($C13="Compliance Standard (Expenditures)",'32. Year 10 Amounts'!$M$31,IF($C13="Eligibility Standard (Budget)",'32. Year 10 Amounts'!$F$31,""))</f>
        <v/>
      </c>
      <c r="L13" s="298" t="str">
        <f>IF($C13="Compliance Standard (Expenditures)",'34. Year 10 Summary'!E$17,IF($C13="Eligibility Standard (Budget)",'34. Year 10 Summary'!E$9,""))</f>
        <v/>
      </c>
      <c r="M13" s="344"/>
      <c r="N13" s="344"/>
      <c r="O13" s="344"/>
      <c r="P13" s="344"/>
    </row>
    <row r="14" spans="1:16" ht="24.75" customHeight="1" thickTop="1" x14ac:dyDescent="0.8">
      <c r="A14" s="341" t="s">
        <v>183</v>
      </c>
      <c r="C14" s="12"/>
      <c r="D14" s="12"/>
      <c r="E14" s="12"/>
      <c r="F14" s="12"/>
      <c r="G14" s="12"/>
      <c r="H14" s="12"/>
      <c r="I14" s="12"/>
      <c r="J14" s="12"/>
      <c r="K14" s="12"/>
      <c r="L14" s="12"/>
      <c r="M14" s="12"/>
      <c r="N14" s="12"/>
      <c r="O14" s="12"/>
      <c r="P14" s="12"/>
    </row>
    <row r="15" spans="1:16" s="14" customFormat="1" x14ac:dyDescent="0.8">
      <c r="A15" s="358" t="s">
        <v>182</v>
      </c>
      <c r="C15" s="13"/>
      <c r="D15" s="13"/>
      <c r="E15" s="13"/>
      <c r="F15" s="13"/>
      <c r="G15" s="13"/>
      <c r="H15" s="13"/>
      <c r="I15" s="13"/>
      <c r="J15" s="13"/>
      <c r="K15" s="13"/>
      <c r="L15" s="13"/>
      <c r="M15" s="13"/>
      <c r="N15" s="13"/>
      <c r="O15" s="13"/>
      <c r="P15" s="13"/>
    </row>
    <row r="16" spans="1:16" x14ac:dyDescent="0.8">
      <c r="A16" s="375" t="s">
        <v>24</v>
      </c>
      <c r="B16" s="375"/>
      <c r="C16" s="375"/>
      <c r="D16" s="375"/>
      <c r="E16" s="375"/>
      <c r="F16" s="375"/>
      <c r="G16" s="375"/>
      <c r="H16" s="375"/>
      <c r="I16" s="375"/>
      <c r="J16" s="375"/>
      <c r="K16" s="375"/>
      <c r="L16" s="375"/>
      <c r="M16" s="344"/>
      <c r="N16" s="344"/>
      <c r="O16" s="344"/>
      <c r="P16" s="344"/>
    </row>
  </sheetData>
  <sheetProtection algorithmName="SHA-512" hashValue="YRUU+ZW0F4IzjMnesp1TjqPfEijMpwj9yuBUhnJ2XND8QtiRbmi2v5MN2AImRaR/VS8rcKSxMfrnjTzpyvI/WQ==" saltValue="1Z3sJtcZ7xgVSmuE8p+98w==" spinCount="100000" sheet="1" formatColumns="0" formatRows="0"/>
  <mergeCells count="1">
    <mergeCell ref="A16:L16"/>
  </mergeCells>
  <conditionalFormatting sqref="F4:F13">
    <cfRule type="containsText" dxfId="228" priority="7" operator="containsText" text="Did Not Meet">
      <formula>NOT(ISERROR(SEARCH("Did Not Meet",F4)))</formula>
    </cfRule>
    <cfRule type="containsText" dxfId="227" priority="8" operator="containsText" text="Met">
      <formula>NOT(ISERROR(SEARCH("Met",F4)))</formula>
    </cfRule>
  </conditionalFormatting>
  <conditionalFormatting sqref="H4:H13">
    <cfRule type="containsText" dxfId="226" priority="5" operator="containsText" text="Did Not Meet">
      <formula>NOT(ISERROR(SEARCH("Did Not Meet",H4)))</formula>
    </cfRule>
    <cfRule type="containsText" dxfId="225" priority="6" operator="containsText" text="Met">
      <formula>NOT(ISERROR(SEARCH("Met",H4)))</formula>
    </cfRule>
  </conditionalFormatting>
  <conditionalFormatting sqref="J4:J13">
    <cfRule type="containsText" dxfId="224" priority="3" operator="containsText" text="Did Not Meet">
      <formula>NOT(ISERROR(SEARCH("Did Not Meet",J4)))</formula>
    </cfRule>
    <cfRule type="containsText" dxfId="223" priority="4" operator="containsText" text="Met">
      <formula>NOT(ISERROR(SEARCH("Met",J4)))</formula>
    </cfRule>
  </conditionalFormatting>
  <conditionalFormatting sqref="L4:L13">
    <cfRule type="containsText" dxfId="222" priority="1" operator="containsText" text="Did Not Meet">
      <formula>NOT(ISERROR(SEARCH("Did Not Meet",L4)))</formula>
    </cfRule>
    <cfRule type="containsText" dxfId="221" priority="2" operator="containsText" text="Met">
      <formula>NOT(ISERROR(SEARCH("Met",L4)))</formula>
    </cfRule>
  </conditionalFormatting>
  <dataValidations count="1">
    <dataValidation type="list" allowBlank="1" showInputMessage="1" showErrorMessage="1" sqref="C5:C13" xr:uid="{00000000-0002-0000-0400-000000000000}">
      <formula1>"Compliance Standard (Expenditures),Eligibility Standard (Budget)"</formula1>
    </dataValidation>
  </dataValidations>
  <hyperlinks>
    <hyperlink ref="A4" location="'7. Year 1 Summary'!A1" display="Year 1" xr:uid="{00000000-0004-0000-0400-000000000000}"/>
    <hyperlink ref="A5" location="'10. Year 2 Summary'!A1" display="Year 2" xr:uid="{00000000-0004-0000-0400-000001000000}"/>
    <hyperlink ref="A6" location="'13. Year 3 Summary'!A1" display="Year 3" xr:uid="{00000000-0004-0000-0400-000002000000}"/>
    <hyperlink ref="A7" location="'16. Year 4 Summary'!A1" display="Year 4" xr:uid="{00000000-0004-0000-0400-000003000000}"/>
    <hyperlink ref="A8" location="'19. Year 5 Summary'!A1" display="Year 5" xr:uid="{00000000-0004-0000-0400-000004000000}"/>
    <hyperlink ref="A9" location="'22. Year 6 Summary'!A1" display="Year 6" xr:uid="{00000000-0004-0000-0400-000005000000}"/>
    <hyperlink ref="A10" location="'25. Year 7 Summary'!A1" display="Year 7" xr:uid="{00000000-0004-0000-0400-000006000000}"/>
    <hyperlink ref="A11" location="'28. Year 8 Summary'!A1" display="Year 8" xr:uid="{00000000-0004-0000-0400-000007000000}"/>
    <hyperlink ref="A12" location="'31. Year 9 Summary'!A1" display="Year 9" xr:uid="{00000000-0004-0000-0400-000008000000}"/>
    <hyperlink ref="A13" location="'34. Year 10 Summary'!A1" display="Year 10" xr:uid="{00000000-0004-0000-0400-000009000000}"/>
    <hyperlink ref="A15" r:id="rId1" xr:uid="{D9D0ED08-D34C-4E01-A110-523F1FB97495}"/>
  </hyperlinks>
  <pageMargins left="0.75" right="0.75" top="1" bottom="1" header="0.5" footer="0.5"/>
  <pageSetup orientation="portrait" horizontalDpi="4294967292" verticalDpi="4294967292"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pageSetUpPr autoPageBreaks="0"/>
  </sheetPr>
  <dimension ref="A1:N34"/>
  <sheetViews>
    <sheetView showGridLines="0" workbookViewId="0">
      <pane ySplit="4" topLeftCell="A5" activePane="bottomLeft" state="frozen"/>
      <selection activeCell="H5" sqref="H5"/>
      <selection pane="bottomLeft" activeCell="A5" sqref="A5"/>
    </sheetView>
  </sheetViews>
  <sheetFormatPr defaultColWidth="0" defaultRowHeight="16" zeroHeight="1" x14ac:dyDescent="0.75"/>
  <cols>
    <col min="1" max="1" width="39.40625" style="20" bestFit="1" customWidth="1"/>
    <col min="2" max="3" width="12.86328125" style="20" customWidth="1"/>
    <col min="4" max="6" width="23.7265625" style="20" customWidth="1"/>
    <col min="7" max="7" width="5.40625" style="20" customWidth="1"/>
    <col min="8" max="8" width="39.40625" style="20" customWidth="1"/>
    <col min="9" max="10" width="12.86328125" style="20" customWidth="1"/>
    <col min="11" max="13" width="23.7265625" style="20" customWidth="1"/>
    <col min="14" max="14" width="0.86328125" style="20" customWidth="1"/>
    <col min="15" max="16384" width="9.1328125" style="20" hidden="1"/>
  </cols>
  <sheetData>
    <row r="1" spans="1:13" ht="16.75" thickBot="1" x14ac:dyDescent="0.9">
      <c r="A1" s="19" t="s">
        <v>48</v>
      </c>
      <c r="B1" s="48"/>
      <c r="D1" s="21" t="s">
        <v>14</v>
      </c>
      <c r="E1" s="20" t="str">
        <f>IF('2. Getting Started'!B2="","",'2. Getting Started'!B2)</f>
        <v/>
      </c>
      <c r="G1" s="376" t="s">
        <v>22</v>
      </c>
      <c r="H1" s="19" t="s">
        <v>49</v>
      </c>
      <c r="I1" s="48"/>
      <c r="K1" s="21" t="s">
        <v>14</v>
      </c>
      <c r="L1" s="20" t="str">
        <f>IF('2. Getting Started'!B2="","",'2. Getting Started'!B2)</f>
        <v/>
      </c>
    </row>
    <row r="2" spans="1:13" s="25" customFormat="1" ht="37.9" customHeight="1" thickBot="1" x14ac:dyDescent="0.9">
      <c r="A2" s="22" t="str">
        <f>CONCATENATE("Eligibility Standard - State Fiscal Year ",'2. Getting Started'!B6," -  LEA Effort - Budgeted Amounts")</f>
        <v>Eligibility Standard - State Fiscal Year 2024 -  LEA Effort - Budgeted Amounts</v>
      </c>
      <c r="B2" s="23"/>
      <c r="C2" s="23"/>
      <c r="D2" s="23"/>
      <c r="E2" s="23"/>
      <c r="F2" s="24"/>
      <c r="G2" s="376"/>
      <c r="H2" s="22" t="str">
        <f>CONCATENATE("Compliance Standard - State Fiscal Year ",'2. Getting Started'!B6," - LEA Effort - Final Expenditures")</f>
        <v>Compliance Standard - State Fiscal Year 2024 - LEA Effort - Final Expenditures</v>
      </c>
      <c r="I2" s="23"/>
      <c r="J2" s="23"/>
      <c r="K2" s="23"/>
      <c r="L2" s="23"/>
      <c r="M2" s="24"/>
    </row>
    <row r="3" spans="1:13" s="25" customFormat="1" ht="24" customHeight="1" x14ac:dyDescent="0.75">
      <c r="A3" s="26"/>
      <c r="B3" s="27"/>
      <c r="D3" s="28" t="str">
        <f>CONCATENATE("SFY ",'2. Getting Started'!$B6," Budget")</f>
        <v>SFY 2024 Budget</v>
      </c>
      <c r="E3" s="29"/>
      <c r="F3" s="30"/>
      <c r="G3" s="376"/>
      <c r="H3" s="26"/>
      <c r="I3" s="27"/>
      <c r="J3" s="31"/>
      <c r="K3" s="28" t="str">
        <f>CONCATENATE("SFY ",'2. Getting Started'!$B6," Final Expenditures")</f>
        <v>SFY 2024 Final Expenditures</v>
      </c>
      <c r="L3" s="29"/>
      <c r="M3" s="32"/>
    </row>
    <row r="4" spans="1:13" s="37" customFormat="1" ht="18.5" x14ac:dyDescent="0.9">
      <c r="A4" s="33" t="s">
        <v>50</v>
      </c>
      <c r="B4" s="34" t="s">
        <v>51</v>
      </c>
      <c r="C4" s="35" t="s">
        <v>52</v>
      </c>
      <c r="D4" s="36" t="s">
        <v>53</v>
      </c>
      <c r="E4" s="36" t="s">
        <v>54</v>
      </c>
      <c r="F4" s="36" t="s">
        <v>8</v>
      </c>
      <c r="G4" s="376"/>
      <c r="H4" s="33" t="s">
        <v>50</v>
      </c>
      <c r="I4" s="34" t="s">
        <v>55</v>
      </c>
      <c r="J4" s="35" t="s">
        <v>52</v>
      </c>
      <c r="K4" s="36" t="s">
        <v>53</v>
      </c>
      <c r="L4" s="36" t="s">
        <v>54</v>
      </c>
      <c r="M4" s="36" t="s">
        <v>8</v>
      </c>
    </row>
    <row r="5" spans="1:13" x14ac:dyDescent="0.75">
      <c r="A5" s="49"/>
      <c r="B5" s="50"/>
      <c r="C5" s="51"/>
      <c r="D5" s="52"/>
      <c r="E5" s="52"/>
      <c r="F5" s="38" t="str">
        <f>IF(AND(D5="",E5=""),"",SUM(D5:E5))</f>
        <v/>
      </c>
      <c r="G5" s="376"/>
      <c r="H5" s="49"/>
      <c r="I5" s="50"/>
      <c r="J5" s="51"/>
      <c r="K5" s="52"/>
      <c r="L5" s="52"/>
      <c r="M5" s="38" t="str">
        <f>IF(AND(K5="",L5=""),"",SUM(K5:L5))</f>
        <v/>
      </c>
    </row>
    <row r="6" spans="1:13" x14ac:dyDescent="0.75">
      <c r="A6" s="49"/>
      <c r="B6" s="50"/>
      <c r="C6" s="51"/>
      <c r="D6" s="52"/>
      <c r="E6" s="52"/>
      <c r="F6" s="38" t="str">
        <f t="shared" ref="F6:F29" si="0">IF(AND(D6="",E6=""),"",SUM(D6:E6))</f>
        <v/>
      </c>
      <c r="G6" s="376"/>
      <c r="H6" s="49"/>
      <c r="I6" s="50"/>
      <c r="J6" s="51"/>
      <c r="K6" s="52"/>
      <c r="L6" s="52"/>
      <c r="M6" s="38" t="str">
        <f t="shared" ref="M6:M29" si="1">IF(AND(K6="",L6=""),"",SUM(K6:L6))</f>
        <v/>
      </c>
    </row>
    <row r="7" spans="1:13" x14ac:dyDescent="0.75">
      <c r="A7" s="49"/>
      <c r="B7" s="50"/>
      <c r="C7" s="51"/>
      <c r="D7" s="52"/>
      <c r="E7" s="52"/>
      <c r="F7" s="38" t="str">
        <f t="shared" si="0"/>
        <v/>
      </c>
      <c r="G7" s="376"/>
      <c r="H7" s="49"/>
      <c r="I7" s="50"/>
      <c r="J7" s="51"/>
      <c r="K7" s="52"/>
      <c r="L7" s="52"/>
      <c r="M7" s="38" t="str">
        <f t="shared" si="1"/>
        <v/>
      </c>
    </row>
    <row r="8" spans="1:13" x14ac:dyDescent="0.75">
      <c r="A8" s="49"/>
      <c r="B8" s="50"/>
      <c r="C8" s="51"/>
      <c r="D8" s="52"/>
      <c r="E8" s="52"/>
      <c r="F8" s="38" t="str">
        <f t="shared" si="0"/>
        <v/>
      </c>
      <c r="G8" s="376"/>
      <c r="H8" s="49"/>
      <c r="I8" s="50"/>
      <c r="J8" s="51"/>
      <c r="K8" s="52"/>
      <c r="L8" s="52"/>
      <c r="M8" s="38" t="str">
        <f t="shared" si="1"/>
        <v/>
      </c>
    </row>
    <row r="9" spans="1:13" x14ac:dyDescent="0.75">
      <c r="A9" s="49"/>
      <c r="B9" s="50"/>
      <c r="C9" s="51"/>
      <c r="D9" s="52"/>
      <c r="E9" s="52"/>
      <c r="F9" s="38" t="str">
        <f t="shared" si="0"/>
        <v/>
      </c>
      <c r="G9" s="376"/>
      <c r="H9" s="49"/>
      <c r="I9" s="50"/>
      <c r="J9" s="51"/>
      <c r="K9" s="52"/>
      <c r="L9" s="52"/>
      <c r="M9" s="38" t="str">
        <f t="shared" si="1"/>
        <v/>
      </c>
    </row>
    <row r="10" spans="1:13" x14ac:dyDescent="0.75">
      <c r="A10" s="49"/>
      <c r="B10" s="50"/>
      <c r="C10" s="51"/>
      <c r="D10" s="52"/>
      <c r="E10" s="52"/>
      <c r="F10" s="38" t="str">
        <f t="shared" si="0"/>
        <v/>
      </c>
      <c r="G10" s="376"/>
      <c r="H10" s="49"/>
      <c r="I10" s="50"/>
      <c r="J10" s="51"/>
      <c r="K10" s="52"/>
      <c r="L10" s="52"/>
      <c r="M10" s="38" t="str">
        <f t="shared" si="1"/>
        <v/>
      </c>
    </row>
    <row r="11" spans="1:13" x14ac:dyDescent="0.75">
      <c r="A11" s="49"/>
      <c r="B11" s="50"/>
      <c r="C11" s="51"/>
      <c r="D11" s="52"/>
      <c r="E11" s="52"/>
      <c r="F11" s="38" t="str">
        <f t="shared" si="0"/>
        <v/>
      </c>
      <c r="G11" s="376"/>
      <c r="H11" s="49"/>
      <c r="I11" s="50"/>
      <c r="J11" s="51"/>
      <c r="K11" s="52"/>
      <c r="L11" s="52"/>
      <c r="M11" s="38" t="str">
        <f t="shared" si="1"/>
        <v/>
      </c>
    </row>
    <row r="12" spans="1:13" x14ac:dyDescent="0.75">
      <c r="A12" s="49"/>
      <c r="B12" s="50"/>
      <c r="C12" s="51"/>
      <c r="D12" s="52"/>
      <c r="E12" s="52"/>
      <c r="F12" s="38" t="str">
        <f t="shared" si="0"/>
        <v/>
      </c>
      <c r="G12" s="376"/>
      <c r="H12" s="49"/>
      <c r="I12" s="50"/>
      <c r="J12" s="51"/>
      <c r="K12" s="52"/>
      <c r="L12" s="52"/>
      <c r="M12" s="38" t="str">
        <f t="shared" si="1"/>
        <v/>
      </c>
    </row>
    <row r="13" spans="1:13" x14ac:dyDescent="0.75">
      <c r="A13" s="49"/>
      <c r="B13" s="50"/>
      <c r="C13" s="51"/>
      <c r="D13" s="52"/>
      <c r="E13" s="52"/>
      <c r="F13" s="38" t="str">
        <f t="shared" si="0"/>
        <v/>
      </c>
      <c r="G13" s="376"/>
      <c r="H13" s="49"/>
      <c r="I13" s="50"/>
      <c r="J13" s="51"/>
      <c r="K13" s="52"/>
      <c r="L13" s="52"/>
      <c r="M13" s="38" t="str">
        <f t="shared" si="1"/>
        <v/>
      </c>
    </row>
    <row r="14" spans="1:13" x14ac:dyDescent="0.75">
      <c r="A14" s="49"/>
      <c r="B14" s="50"/>
      <c r="C14" s="51"/>
      <c r="D14" s="52"/>
      <c r="E14" s="52"/>
      <c r="F14" s="38" t="str">
        <f t="shared" si="0"/>
        <v/>
      </c>
      <c r="G14" s="376"/>
      <c r="H14" s="49"/>
      <c r="I14" s="50"/>
      <c r="J14" s="51"/>
      <c r="K14" s="52"/>
      <c r="L14" s="52"/>
      <c r="M14" s="38" t="str">
        <f t="shared" si="1"/>
        <v/>
      </c>
    </row>
    <row r="15" spans="1:13" x14ac:dyDescent="0.75">
      <c r="A15" s="49"/>
      <c r="B15" s="50"/>
      <c r="C15" s="51"/>
      <c r="D15" s="52"/>
      <c r="E15" s="52"/>
      <c r="F15" s="38" t="str">
        <f t="shared" si="0"/>
        <v/>
      </c>
      <c r="G15" s="376"/>
      <c r="H15" s="49"/>
      <c r="I15" s="50"/>
      <c r="J15" s="51"/>
      <c r="K15" s="52"/>
      <c r="L15" s="52"/>
      <c r="M15" s="38" t="str">
        <f t="shared" si="1"/>
        <v/>
      </c>
    </row>
    <row r="16" spans="1:13" x14ac:dyDescent="0.75">
      <c r="A16" s="49"/>
      <c r="B16" s="50"/>
      <c r="C16" s="51"/>
      <c r="D16" s="52"/>
      <c r="E16" s="52"/>
      <c r="F16" s="38" t="str">
        <f t="shared" si="0"/>
        <v/>
      </c>
      <c r="G16" s="376"/>
      <c r="H16" s="49"/>
      <c r="I16" s="50"/>
      <c r="J16" s="51"/>
      <c r="K16" s="52"/>
      <c r="L16" s="52"/>
      <c r="M16" s="38" t="str">
        <f t="shared" si="1"/>
        <v/>
      </c>
    </row>
    <row r="17" spans="1:13" x14ac:dyDescent="0.75">
      <c r="A17" s="49"/>
      <c r="B17" s="50"/>
      <c r="C17" s="51"/>
      <c r="D17" s="52"/>
      <c r="E17" s="52"/>
      <c r="F17" s="38" t="str">
        <f t="shared" si="0"/>
        <v/>
      </c>
      <c r="G17" s="376"/>
      <c r="H17" s="49"/>
      <c r="I17" s="50"/>
      <c r="J17" s="51"/>
      <c r="K17" s="52"/>
      <c r="L17" s="52"/>
      <c r="M17" s="38" t="str">
        <f t="shared" si="1"/>
        <v/>
      </c>
    </row>
    <row r="18" spans="1:13" x14ac:dyDescent="0.75">
      <c r="A18" s="49"/>
      <c r="B18" s="50"/>
      <c r="C18" s="51"/>
      <c r="D18" s="52"/>
      <c r="E18" s="52"/>
      <c r="F18" s="38" t="str">
        <f t="shared" si="0"/>
        <v/>
      </c>
      <c r="G18" s="376"/>
      <c r="H18" s="49"/>
      <c r="I18" s="50"/>
      <c r="J18" s="51"/>
      <c r="K18" s="52"/>
      <c r="L18" s="52"/>
      <c r="M18" s="38" t="str">
        <f t="shared" si="1"/>
        <v/>
      </c>
    </row>
    <row r="19" spans="1:13" x14ac:dyDescent="0.75">
      <c r="A19" s="49"/>
      <c r="B19" s="50"/>
      <c r="C19" s="51"/>
      <c r="D19" s="52"/>
      <c r="E19" s="52"/>
      <c r="F19" s="38" t="str">
        <f t="shared" si="0"/>
        <v/>
      </c>
      <c r="G19" s="376"/>
      <c r="H19" s="49"/>
      <c r="I19" s="50"/>
      <c r="J19" s="51"/>
      <c r="K19" s="52"/>
      <c r="L19" s="52"/>
      <c r="M19" s="38" t="str">
        <f t="shared" si="1"/>
        <v/>
      </c>
    </row>
    <row r="20" spans="1:13" x14ac:dyDescent="0.75">
      <c r="A20" s="49"/>
      <c r="B20" s="50"/>
      <c r="C20" s="51"/>
      <c r="D20" s="52"/>
      <c r="E20" s="52"/>
      <c r="F20" s="38" t="str">
        <f t="shared" si="0"/>
        <v/>
      </c>
      <c r="G20" s="376"/>
      <c r="H20" s="49"/>
      <c r="I20" s="50"/>
      <c r="J20" s="51"/>
      <c r="K20" s="52"/>
      <c r="L20" s="52"/>
      <c r="M20" s="38" t="str">
        <f t="shared" si="1"/>
        <v/>
      </c>
    </row>
    <row r="21" spans="1:13" x14ac:dyDescent="0.75">
      <c r="A21" s="49"/>
      <c r="B21" s="50"/>
      <c r="C21" s="51"/>
      <c r="D21" s="52"/>
      <c r="E21" s="52"/>
      <c r="F21" s="38" t="str">
        <f t="shared" si="0"/>
        <v/>
      </c>
      <c r="G21" s="376"/>
      <c r="H21" s="49"/>
      <c r="I21" s="50"/>
      <c r="J21" s="51"/>
      <c r="K21" s="52"/>
      <c r="L21" s="52"/>
      <c r="M21" s="38" t="str">
        <f t="shared" si="1"/>
        <v/>
      </c>
    </row>
    <row r="22" spans="1:13" x14ac:dyDescent="0.75">
      <c r="A22" s="49"/>
      <c r="B22" s="50"/>
      <c r="C22" s="51"/>
      <c r="D22" s="52"/>
      <c r="E22" s="52"/>
      <c r="F22" s="38" t="str">
        <f t="shared" si="0"/>
        <v/>
      </c>
      <c r="G22" s="376"/>
      <c r="H22" s="49"/>
      <c r="I22" s="50"/>
      <c r="J22" s="51"/>
      <c r="K22" s="52"/>
      <c r="L22" s="52"/>
      <c r="M22" s="38" t="str">
        <f t="shared" si="1"/>
        <v/>
      </c>
    </row>
    <row r="23" spans="1:13" x14ac:dyDescent="0.75">
      <c r="A23" s="49"/>
      <c r="B23" s="50"/>
      <c r="C23" s="51"/>
      <c r="D23" s="52"/>
      <c r="E23" s="52"/>
      <c r="F23" s="38" t="str">
        <f t="shared" si="0"/>
        <v/>
      </c>
      <c r="G23" s="376"/>
      <c r="H23" s="49"/>
      <c r="I23" s="50"/>
      <c r="J23" s="51"/>
      <c r="K23" s="52"/>
      <c r="L23" s="52"/>
      <c r="M23" s="38" t="str">
        <f t="shared" si="1"/>
        <v/>
      </c>
    </row>
    <row r="24" spans="1:13" x14ac:dyDescent="0.75">
      <c r="A24" s="49"/>
      <c r="B24" s="50"/>
      <c r="C24" s="51"/>
      <c r="D24" s="52"/>
      <c r="E24" s="52"/>
      <c r="F24" s="38" t="str">
        <f t="shared" si="0"/>
        <v/>
      </c>
      <c r="G24" s="376"/>
      <c r="H24" s="49"/>
      <c r="I24" s="50"/>
      <c r="J24" s="51"/>
      <c r="K24" s="52"/>
      <c r="L24" s="52"/>
      <c r="M24" s="38" t="str">
        <f t="shared" si="1"/>
        <v/>
      </c>
    </row>
    <row r="25" spans="1:13" x14ac:dyDescent="0.75">
      <c r="A25" s="49"/>
      <c r="B25" s="50"/>
      <c r="C25" s="51"/>
      <c r="D25" s="52"/>
      <c r="E25" s="52"/>
      <c r="F25" s="38" t="str">
        <f t="shared" si="0"/>
        <v/>
      </c>
      <c r="G25" s="376"/>
      <c r="H25" s="49"/>
      <c r="I25" s="50"/>
      <c r="J25" s="51"/>
      <c r="K25" s="52"/>
      <c r="L25" s="52"/>
      <c r="M25" s="38" t="str">
        <f t="shared" si="1"/>
        <v/>
      </c>
    </row>
    <row r="26" spans="1:13" x14ac:dyDescent="0.75">
      <c r="A26" s="49"/>
      <c r="B26" s="50"/>
      <c r="C26" s="51"/>
      <c r="D26" s="52"/>
      <c r="E26" s="52"/>
      <c r="F26" s="38" t="str">
        <f t="shared" si="0"/>
        <v/>
      </c>
      <c r="G26" s="376"/>
      <c r="H26" s="49"/>
      <c r="I26" s="50"/>
      <c r="J26" s="51"/>
      <c r="K26" s="52"/>
      <c r="L26" s="52"/>
      <c r="M26" s="38" t="str">
        <f t="shared" si="1"/>
        <v/>
      </c>
    </row>
    <row r="27" spans="1:13" x14ac:dyDescent="0.75">
      <c r="A27" s="49"/>
      <c r="B27" s="50"/>
      <c r="C27" s="51"/>
      <c r="D27" s="52"/>
      <c r="E27" s="52"/>
      <c r="F27" s="38" t="str">
        <f t="shared" si="0"/>
        <v/>
      </c>
      <c r="G27" s="376"/>
      <c r="H27" s="49"/>
      <c r="I27" s="50"/>
      <c r="J27" s="51"/>
      <c r="K27" s="52"/>
      <c r="L27" s="52"/>
      <c r="M27" s="38" t="str">
        <f t="shared" si="1"/>
        <v/>
      </c>
    </row>
    <row r="28" spans="1:13" x14ac:dyDescent="0.75">
      <c r="A28" s="49"/>
      <c r="B28" s="50"/>
      <c r="C28" s="51"/>
      <c r="D28" s="52"/>
      <c r="E28" s="52"/>
      <c r="F28" s="38" t="str">
        <f t="shared" si="0"/>
        <v/>
      </c>
      <c r="G28" s="376"/>
      <c r="H28" s="49"/>
      <c r="I28" s="50"/>
      <c r="J28" s="51"/>
      <c r="K28" s="52"/>
      <c r="L28" s="52"/>
      <c r="M28" s="38" t="str">
        <f t="shared" si="1"/>
        <v/>
      </c>
    </row>
    <row r="29" spans="1:13" ht="16.75" thickBot="1" x14ac:dyDescent="0.9">
      <c r="A29" s="53"/>
      <c r="B29" s="54"/>
      <c r="C29" s="55"/>
      <c r="D29" s="56"/>
      <c r="E29" s="56"/>
      <c r="F29" s="38" t="str">
        <f t="shared" si="0"/>
        <v/>
      </c>
      <c r="G29" s="376"/>
      <c r="H29" s="53"/>
      <c r="I29" s="54"/>
      <c r="J29" s="55"/>
      <c r="K29" s="56"/>
      <c r="L29" s="56"/>
      <c r="M29" s="38" t="str">
        <f t="shared" si="1"/>
        <v/>
      </c>
    </row>
    <row r="30" spans="1:13" ht="19.25" thickBot="1" x14ac:dyDescent="0.9">
      <c r="A30" s="39"/>
      <c r="B30" s="40"/>
      <c r="C30" s="41" t="s">
        <v>56</v>
      </c>
      <c r="D30" s="42" t="str">
        <f>IF(AND(D5="",D6="",D7="",D8="",D9="",D10="",D11="",D12="",D13="",D14="",D15="",D16="",D17="",D18="",D19="",D20="",D21="",D22="",D23="",D24="",D25="",D26="",D27="",D28="",D29=""),"",SUM(D5:D29))</f>
        <v/>
      </c>
      <c r="E30" s="43"/>
      <c r="F30" s="42" t="str">
        <f>IF(AND(F5="",F6="",F7="",F8="",F9="",F10="",F11="",F12="",F13="",F14="",F15="",F16="",F17="",F18="",F19="",F20="",F21="",F22="",F23="",F24="",F25="",F26="",F27="",F28="",F29=""),"",SUM(F5:F29))</f>
        <v/>
      </c>
      <c r="G30" s="376"/>
      <c r="H30" s="39"/>
      <c r="I30" s="40"/>
      <c r="J30" s="41" t="s">
        <v>56</v>
      </c>
      <c r="K30" s="42" t="str">
        <f>IF(AND(K5="",K6="",K7="",K8="",K9="",K10="",K11="",K12="",K13="",K14="",K15="",K16="",K17="",K18="",K19="",K20="",K21="",K22="",K23="",K24="",K25="",K26="",K27="",K28="",K29=""),"",SUM(K5:K29))</f>
        <v/>
      </c>
      <c r="L30" s="43"/>
      <c r="M30" s="42" t="str">
        <f>IF(AND(M5="",M6="",M7="",M8="",M9="",M10="",M11="",M12="",M13="",M14="",M15="",M16="",M17="",M18="",M19="",M20="",M21="",M22="",M23="",M24="",M25="",M26="",M27="",M28="",M29=""),"",SUM(M5:M29))</f>
        <v/>
      </c>
    </row>
    <row r="31" spans="1:13" ht="19.25" thickBot="1" x14ac:dyDescent="0.9">
      <c r="A31" s="39"/>
      <c r="B31" s="39"/>
      <c r="C31" s="44" t="s">
        <v>57</v>
      </c>
      <c r="D31" s="42" t="str">
        <f>IF(OR($B1="",D30=""),"",(D30/$B1))</f>
        <v/>
      </c>
      <c r="E31" s="39"/>
      <c r="F31" s="42" t="str">
        <f>IF(OR($B1="",F30=""),"",(F30/$B1))</f>
        <v/>
      </c>
      <c r="G31" s="376"/>
      <c r="H31" s="39"/>
      <c r="I31" s="39"/>
      <c r="J31" s="44" t="s">
        <v>57</v>
      </c>
      <c r="K31" s="42" t="str">
        <f>IF(OR($I1="",K30=""),"",(K30/$I1))</f>
        <v/>
      </c>
      <c r="L31" s="39"/>
      <c r="M31" s="42" t="str">
        <f>IF(OR($I1="",M30=""),"",(M30/$I1))</f>
        <v/>
      </c>
    </row>
    <row r="32" spans="1:13" s="25" customFormat="1" ht="18.5" x14ac:dyDescent="0.65">
      <c r="A32" s="345" t="s">
        <v>183</v>
      </c>
      <c r="B32" s="45"/>
      <c r="C32" s="45"/>
      <c r="D32" s="45"/>
      <c r="E32" s="45"/>
      <c r="F32" s="45"/>
      <c r="G32" s="45"/>
      <c r="H32" s="45"/>
      <c r="I32" s="45"/>
      <c r="J32" s="45"/>
      <c r="K32" s="45"/>
      <c r="L32" s="45"/>
      <c r="M32" s="45"/>
    </row>
    <row r="33" spans="1:13" s="47" customFormat="1" x14ac:dyDescent="0.8">
      <c r="A33" s="358" t="s">
        <v>182</v>
      </c>
      <c r="B33" s="46"/>
      <c r="C33" s="46"/>
      <c r="D33" s="46"/>
      <c r="E33" s="46"/>
      <c r="F33" s="46"/>
      <c r="G33" s="46"/>
      <c r="H33" s="46"/>
      <c r="I33" s="46"/>
      <c r="J33" s="46"/>
      <c r="K33" s="46"/>
      <c r="L33" s="46"/>
      <c r="M33" s="46"/>
    </row>
    <row r="34" spans="1:13" s="25" customFormat="1" ht="18.5" x14ac:dyDescent="0.75">
      <c r="A34" s="377" t="s">
        <v>24</v>
      </c>
      <c r="B34" s="377"/>
      <c r="C34" s="377"/>
      <c r="D34" s="377"/>
      <c r="E34" s="377"/>
      <c r="F34" s="377"/>
      <c r="G34" s="377"/>
      <c r="H34" s="377"/>
      <c r="I34" s="377"/>
      <c r="J34" s="377"/>
      <c r="K34" s="377"/>
      <c r="L34" s="377"/>
      <c r="M34" s="377"/>
    </row>
  </sheetData>
  <sheetProtection algorithmName="SHA-512" hashValue="JvV6w2MygCSFb9E7effeRDJYEz4G6hZJ+vO3T0uqo2l9vDk1fzR9gYiFBxHtEEJ6Hz+VZFUa0M8Iyv539urPyA==" saltValue="5VqaxWKZv9/Fj6Q4HJjFvg=="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0500-000000000000}"/>
    <dataValidation allowBlank="1" showInputMessage="1" showErrorMessage="1" prompt="Don't forget to enter Child Count in Cell I1." sqref="H5" xr:uid="{00000000-0002-0000-0500-000001000000}"/>
  </dataValidations>
  <hyperlinks>
    <hyperlink ref="A33" r:id="rId1" xr:uid="{640B5139-BE65-486E-9F7A-6687D0F49E76}"/>
  </hyperlinks>
  <pageMargins left="0.75" right="0.75" top="1" bottom="1" header="0.5" footer="0.5"/>
  <pageSetup orientation="portrait" horizontalDpi="4294967292" verticalDpi="4294967292"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pageSetUpPr autoPageBreaks="0"/>
  </sheetPr>
  <dimension ref="A1:AB75"/>
  <sheetViews>
    <sheetView showGridLines="0" zoomScale="90" zoomScaleNormal="90" zoomScalePageLayoutView="90" workbookViewId="0">
      <pane ySplit="3" topLeftCell="A4" activePane="bottomLeft" state="frozen"/>
      <selection activeCell="D21" sqref="D21"/>
      <selection pane="bottomLeft" activeCell="H2" activeCellId="1" sqref="A2 H2"/>
    </sheetView>
  </sheetViews>
  <sheetFormatPr defaultColWidth="0" defaultRowHeight="16" zeroHeight="1" x14ac:dyDescent="0.8"/>
  <cols>
    <col min="1" max="1" width="40.26953125" style="57" customWidth="1"/>
    <col min="2" max="2" width="32.86328125" style="57" bestFit="1" customWidth="1"/>
    <col min="3" max="3" width="28" style="57" customWidth="1"/>
    <col min="4" max="5" width="28.26953125" style="57" customWidth="1"/>
    <col min="6" max="6" width="34" style="57" bestFit="1" customWidth="1"/>
    <col min="7" max="7" width="28.26953125" style="57" customWidth="1"/>
    <col min="8" max="8" width="40.26953125" style="57" customWidth="1"/>
    <col min="9" max="9" width="32.86328125" style="57" bestFit="1" customWidth="1"/>
    <col min="10" max="12" width="28.26953125" style="57" customWidth="1"/>
    <col min="13" max="13" width="34" style="57" bestFit="1" customWidth="1"/>
    <col min="14" max="18" width="12.26953125" style="57" hidden="1" customWidth="1"/>
    <col min="19" max="19" width="13.7265625" style="57" hidden="1" customWidth="1"/>
    <col min="20" max="28" width="0" style="57" hidden="1" customWidth="1"/>
    <col min="29" max="16384" width="12.26953125" style="57" hidden="1"/>
  </cols>
  <sheetData>
    <row r="1" spans="1:20" ht="25.9" customHeight="1" x14ac:dyDescent="0.8">
      <c r="A1" s="368" t="s">
        <v>58</v>
      </c>
      <c r="D1" s="58" t="s">
        <v>14</v>
      </c>
      <c r="E1" s="10" t="str">
        <f>IF('2. Getting Started'!$B2="","",'2. Getting Started'!$B2)</f>
        <v/>
      </c>
      <c r="G1" s="383" t="s">
        <v>175</v>
      </c>
      <c r="K1" s="58" t="s">
        <v>14</v>
      </c>
      <c r="L1" s="10" t="str">
        <f>IF('2. Getting Started'!$B2="","",'2. Getting Started'!$B2)</f>
        <v/>
      </c>
    </row>
    <row r="2" spans="1:20" ht="25.5" customHeight="1" thickBot="1" x14ac:dyDescent="0.95">
      <c r="A2" s="369" t="s">
        <v>171</v>
      </c>
      <c r="D2" s="58"/>
      <c r="E2" s="10"/>
      <c r="G2" s="383"/>
      <c r="H2" s="369" t="s">
        <v>171</v>
      </c>
      <c r="K2" s="58"/>
      <c r="L2" s="10"/>
    </row>
    <row r="3" spans="1:20" ht="25.9" customHeight="1" thickBot="1" x14ac:dyDescent="0.95">
      <c r="A3" s="59" t="str">
        <f>CONCATENATE("Eligibility Standard -- Exceptions to MOE as Permitted by 34 CFR §300.204 and Adjustment to MOE as Permitted by 34 CFR §300.205 -- Projections for State Fiscal Year ",'2. Getting Started'!B6," Budget")</f>
        <v>Eligibility Standard -- Exceptions to MOE as Permitted by 34 CFR §300.204 and Adjustment to MOE as Permitted by 34 CFR §300.205 -- Projections for State Fiscal Year 2024 Budget</v>
      </c>
      <c r="B3" s="60"/>
      <c r="C3" s="60"/>
      <c r="D3" s="60"/>
      <c r="E3" s="60"/>
      <c r="F3" s="61"/>
      <c r="G3" s="383"/>
      <c r="H3" s="59" t="str">
        <f>CONCATENATE("Compliance Standard -- Exceptions to MOE as Permitted by 34 CFR §300.204 and Adjustment to MOE as Permitted by 34 CFR §300.205 -- Final Expenditures for  State Fiscal Year ",'2. Getting Started'!B6)</f>
        <v>Compliance Standard -- Exceptions to MOE as Permitted by 34 CFR §300.204 and Adjustment to MOE as Permitted by 34 CFR §300.205 -- Final Expenditures for  State Fiscal Year 2024</v>
      </c>
      <c r="I3" s="60"/>
      <c r="J3" s="60"/>
      <c r="K3" s="60"/>
      <c r="L3" s="60"/>
      <c r="M3" s="61"/>
      <c r="O3" s="63"/>
      <c r="P3" s="63"/>
      <c r="Q3" s="63"/>
      <c r="R3" s="63"/>
      <c r="S3" s="63"/>
      <c r="T3" s="63"/>
    </row>
    <row r="4" spans="1:20" x14ac:dyDescent="0.8">
      <c r="A4" s="64" t="s">
        <v>59</v>
      </c>
      <c r="B4" s="65"/>
      <c r="C4" s="66"/>
      <c r="D4" s="66"/>
      <c r="E4" s="66"/>
      <c r="F4" s="67"/>
      <c r="G4" s="383"/>
      <c r="H4" s="64" t="s">
        <v>59</v>
      </c>
      <c r="I4" s="65"/>
      <c r="J4" s="66"/>
      <c r="K4" s="66"/>
      <c r="L4" s="66"/>
      <c r="M4" s="67"/>
      <c r="N4" s="69"/>
      <c r="O4" s="69"/>
      <c r="P4" s="69"/>
      <c r="Q4" s="69"/>
      <c r="R4" s="69"/>
      <c r="S4" s="69"/>
    </row>
    <row r="5" spans="1:20" x14ac:dyDescent="0.8">
      <c r="A5" s="70" t="s">
        <v>60</v>
      </c>
      <c r="B5" s="71"/>
      <c r="C5" s="68"/>
      <c r="D5" s="68"/>
      <c r="E5" s="68"/>
      <c r="F5" s="72"/>
      <c r="G5" s="383"/>
      <c r="H5" s="70" t="s">
        <v>60</v>
      </c>
      <c r="I5" s="71"/>
      <c r="J5" s="68"/>
      <c r="K5" s="68"/>
      <c r="L5" s="68"/>
      <c r="M5" s="72"/>
      <c r="N5" s="73"/>
      <c r="O5" s="73"/>
      <c r="P5" s="73"/>
      <c r="Q5" s="73"/>
      <c r="R5" s="73"/>
    </row>
    <row r="6" spans="1:20" ht="35.65" customHeight="1" thickBot="1" x14ac:dyDescent="0.95">
      <c r="A6" s="74" t="s">
        <v>61</v>
      </c>
      <c r="B6" s="75"/>
      <c r="C6" s="75"/>
      <c r="D6" s="75"/>
      <c r="E6" s="75"/>
      <c r="F6" s="76"/>
      <c r="G6" s="383"/>
      <c r="H6" s="74" t="s">
        <v>61</v>
      </c>
      <c r="I6" s="75"/>
      <c r="J6" s="75"/>
      <c r="K6" s="75"/>
      <c r="L6" s="75"/>
      <c r="M6" s="76"/>
      <c r="N6" s="73"/>
      <c r="O6" s="73"/>
      <c r="P6" s="73"/>
      <c r="Q6" s="73"/>
      <c r="R6" s="73"/>
      <c r="S6" s="73"/>
    </row>
    <row r="7" spans="1:20" x14ac:dyDescent="0.8">
      <c r="A7" s="77" t="s">
        <v>62</v>
      </c>
      <c r="B7" s="78" t="s">
        <v>63</v>
      </c>
      <c r="C7" s="79" t="s">
        <v>64</v>
      </c>
      <c r="D7" s="79" t="s">
        <v>65</v>
      </c>
      <c r="E7" s="80" t="s">
        <v>66</v>
      </c>
      <c r="F7" s="81" t="s">
        <v>67</v>
      </c>
      <c r="G7" s="383"/>
      <c r="H7" s="77" t="s">
        <v>62</v>
      </c>
      <c r="I7" s="78" t="s">
        <v>63</v>
      </c>
      <c r="J7" s="79" t="s">
        <v>64</v>
      </c>
      <c r="K7" s="79" t="s">
        <v>65</v>
      </c>
      <c r="L7" s="80" t="s">
        <v>66</v>
      </c>
      <c r="M7" s="81" t="s">
        <v>68</v>
      </c>
      <c r="N7" s="73"/>
      <c r="O7" s="73"/>
    </row>
    <row r="8" spans="1:20" x14ac:dyDescent="0.8">
      <c r="A8" s="185"/>
      <c r="B8" s="186"/>
      <c r="C8" s="186"/>
      <c r="D8" s="187"/>
      <c r="E8" s="187"/>
      <c r="F8" s="83">
        <f>D8+E8</f>
        <v>0</v>
      </c>
      <c r="G8" s="383"/>
      <c r="H8" s="185"/>
      <c r="I8" s="186"/>
      <c r="J8" s="186"/>
      <c r="K8" s="187"/>
      <c r="L8" s="187"/>
      <c r="M8" s="83">
        <f>K8+L8</f>
        <v>0</v>
      </c>
      <c r="N8" s="84"/>
      <c r="O8" s="84"/>
    </row>
    <row r="9" spans="1:20" x14ac:dyDescent="0.8">
      <c r="A9" s="185"/>
      <c r="B9" s="186"/>
      <c r="C9" s="186"/>
      <c r="D9" s="187"/>
      <c r="E9" s="187"/>
      <c r="F9" s="83">
        <f>D9+E9</f>
        <v>0</v>
      </c>
      <c r="G9" s="383"/>
      <c r="H9" s="185"/>
      <c r="I9" s="186"/>
      <c r="J9" s="186"/>
      <c r="K9" s="187"/>
      <c r="L9" s="187"/>
      <c r="M9" s="83">
        <f>K9+L9</f>
        <v>0</v>
      </c>
      <c r="N9" s="84"/>
      <c r="O9" s="84"/>
    </row>
    <row r="10" spans="1:20" x14ac:dyDescent="0.8">
      <c r="A10" s="185"/>
      <c r="B10" s="186"/>
      <c r="C10" s="186"/>
      <c r="D10" s="187"/>
      <c r="E10" s="187"/>
      <c r="F10" s="83">
        <f>D10+E10</f>
        <v>0</v>
      </c>
      <c r="G10" s="383"/>
      <c r="H10" s="185"/>
      <c r="I10" s="186"/>
      <c r="J10" s="186"/>
      <c r="K10" s="187"/>
      <c r="L10" s="187"/>
      <c r="M10" s="83">
        <f>K10+L10</f>
        <v>0</v>
      </c>
      <c r="N10" s="84"/>
      <c r="O10" s="84"/>
    </row>
    <row r="11" spans="1:20" x14ac:dyDescent="0.8">
      <c r="A11" s="185"/>
      <c r="B11" s="186"/>
      <c r="C11" s="186"/>
      <c r="D11" s="187"/>
      <c r="E11" s="187"/>
      <c r="F11" s="83">
        <f>D11+E11</f>
        <v>0</v>
      </c>
      <c r="G11" s="383"/>
      <c r="H11" s="185"/>
      <c r="I11" s="186"/>
      <c r="J11" s="186"/>
      <c r="K11" s="187"/>
      <c r="L11" s="187"/>
      <c r="M11" s="83">
        <f>K11+L11</f>
        <v>0</v>
      </c>
      <c r="N11" s="84"/>
      <c r="O11" s="84"/>
    </row>
    <row r="12" spans="1:20" x14ac:dyDescent="0.8">
      <c r="A12" s="185"/>
      <c r="B12" s="186"/>
      <c r="C12" s="186"/>
      <c r="D12" s="187"/>
      <c r="E12" s="187"/>
      <c r="F12" s="83">
        <f>D12+E12</f>
        <v>0</v>
      </c>
      <c r="G12" s="383"/>
      <c r="H12" s="185"/>
      <c r="I12" s="186"/>
      <c r="J12" s="186"/>
      <c r="K12" s="187"/>
      <c r="L12" s="187"/>
      <c r="M12" s="83">
        <f>K12+L12</f>
        <v>0</v>
      </c>
      <c r="N12" s="84"/>
      <c r="O12" s="84"/>
    </row>
    <row r="13" spans="1:20" ht="16.75" thickBot="1" x14ac:dyDescent="0.95">
      <c r="A13" s="85"/>
      <c r="B13" s="86"/>
      <c r="C13" s="87" t="s">
        <v>69</v>
      </c>
      <c r="D13" s="88">
        <f t="shared" ref="D13:F13" si="0">SUM(D8:D12)</f>
        <v>0</v>
      </c>
      <c r="E13" s="88">
        <f t="shared" si="0"/>
        <v>0</v>
      </c>
      <c r="F13" s="89">
        <f t="shared" si="0"/>
        <v>0</v>
      </c>
      <c r="G13" s="383"/>
      <c r="H13" s="85"/>
      <c r="I13" s="86"/>
      <c r="J13" s="87" t="s">
        <v>69</v>
      </c>
      <c r="K13" s="88">
        <f t="shared" ref="K13:M13" si="1">SUM(K8:K12)</f>
        <v>0</v>
      </c>
      <c r="L13" s="88">
        <f t="shared" si="1"/>
        <v>0</v>
      </c>
      <c r="M13" s="89">
        <f t="shared" si="1"/>
        <v>0</v>
      </c>
      <c r="N13" s="84"/>
      <c r="O13" s="84"/>
    </row>
    <row r="14" spans="1:20" ht="40.15" customHeight="1" thickBot="1" x14ac:dyDescent="0.95">
      <c r="A14" s="90" t="s">
        <v>70</v>
      </c>
      <c r="B14" s="91"/>
      <c r="C14" s="91"/>
      <c r="D14" s="91"/>
      <c r="E14" s="91"/>
      <c r="F14" s="92"/>
      <c r="G14" s="383"/>
      <c r="H14" s="90" t="s">
        <v>70</v>
      </c>
      <c r="I14" s="91"/>
      <c r="J14" s="91"/>
      <c r="K14" s="91"/>
      <c r="L14" s="91"/>
      <c r="M14" s="92"/>
      <c r="N14" s="73"/>
      <c r="O14" s="73"/>
      <c r="P14" s="73"/>
      <c r="Q14" s="73"/>
      <c r="R14" s="73"/>
      <c r="S14" s="93"/>
    </row>
    <row r="15" spans="1:20" x14ac:dyDescent="0.8">
      <c r="A15" s="94" t="s">
        <v>62</v>
      </c>
      <c r="B15" s="95" t="s">
        <v>63</v>
      </c>
      <c r="C15" s="96" t="s">
        <v>176</v>
      </c>
      <c r="D15" s="79" t="s">
        <v>65</v>
      </c>
      <c r="E15" s="80" t="s">
        <v>66</v>
      </c>
      <c r="F15" s="81" t="s">
        <v>67</v>
      </c>
      <c r="G15" s="383"/>
      <c r="H15" s="94" t="s">
        <v>62</v>
      </c>
      <c r="I15" s="95" t="s">
        <v>63</v>
      </c>
      <c r="J15" s="96" t="s">
        <v>176</v>
      </c>
      <c r="K15" s="79" t="s">
        <v>65</v>
      </c>
      <c r="L15" s="80" t="s">
        <v>66</v>
      </c>
      <c r="M15" s="81" t="s">
        <v>68</v>
      </c>
      <c r="N15" s="63"/>
      <c r="O15" s="98"/>
    </row>
    <row r="16" spans="1:20" x14ac:dyDescent="0.8">
      <c r="A16" s="188"/>
      <c r="B16" s="189"/>
      <c r="C16" s="99"/>
      <c r="D16" s="187"/>
      <c r="E16" s="187"/>
      <c r="F16" s="83">
        <f t="shared" ref="F16:F20" si="2">D16+E16</f>
        <v>0</v>
      </c>
      <c r="G16" s="383"/>
      <c r="H16" s="188"/>
      <c r="I16" s="189"/>
      <c r="J16" s="99"/>
      <c r="K16" s="187"/>
      <c r="L16" s="187"/>
      <c r="M16" s="83">
        <f t="shared" ref="M16:M20" si="3">K16+L16</f>
        <v>0</v>
      </c>
      <c r="N16" s="84"/>
      <c r="O16" s="84"/>
    </row>
    <row r="17" spans="1:19" x14ac:dyDescent="0.8">
      <c r="A17" s="188"/>
      <c r="B17" s="189"/>
      <c r="C17" s="99"/>
      <c r="D17" s="187"/>
      <c r="E17" s="187"/>
      <c r="F17" s="83">
        <f t="shared" si="2"/>
        <v>0</v>
      </c>
      <c r="G17" s="383"/>
      <c r="H17" s="188"/>
      <c r="I17" s="189"/>
      <c r="J17" s="99"/>
      <c r="K17" s="187"/>
      <c r="L17" s="187"/>
      <c r="M17" s="83">
        <f t="shared" si="3"/>
        <v>0</v>
      </c>
      <c r="N17" s="84"/>
      <c r="O17" s="84"/>
    </row>
    <row r="18" spans="1:19" x14ac:dyDescent="0.8">
      <c r="A18" s="188"/>
      <c r="B18" s="189"/>
      <c r="C18" s="99"/>
      <c r="D18" s="187"/>
      <c r="E18" s="187"/>
      <c r="F18" s="83">
        <f t="shared" si="2"/>
        <v>0</v>
      </c>
      <c r="G18" s="383"/>
      <c r="H18" s="188"/>
      <c r="I18" s="189"/>
      <c r="J18" s="99"/>
      <c r="K18" s="187"/>
      <c r="L18" s="187"/>
      <c r="M18" s="83">
        <f t="shared" si="3"/>
        <v>0</v>
      </c>
      <c r="N18" s="84"/>
      <c r="O18" s="84"/>
    </row>
    <row r="19" spans="1:19" x14ac:dyDescent="0.8">
      <c r="A19" s="188"/>
      <c r="B19" s="189"/>
      <c r="C19" s="99"/>
      <c r="D19" s="187"/>
      <c r="E19" s="187"/>
      <c r="F19" s="83">
        <f t="shared" si="2"/>
        <v>0</v>
      </c>
      <c r="G19" s="383"/>
      <c r="H19" s="188"/>
      <c r="I19" s="189"/>
      <c r="J19" s="99"/>
      <c r="K19" s="187"/>
      <c r="L19" s="187"/>
      <c r="M19" s="83">
        <f t="shared" si="3"/>
        <v>0</v>
      </c>
      <c r="N19" s="84"/>
      <c r="O19" s="84"/>
    </row>
    <row r="20" spans="1:19" x14ac:dyDescent="0.8">
      <c r="A20" s="188"/>
      <c r="B20" s="189"/>
      <c r="C20" s="99"/>
      <c r="D20" s="187"/>
      <c r="E20" s="187"/>
      <c r="F20" s="83">
        <f t="shared" si="2"/>
        <v>0</v>
      </c>
      <c r="G20" s="383"/>
      <c r="H20" s="188"/>
      <c r="I20" s="189"/>
      <c r="J20" s="99"/>
      <c r="K20" s="187"/>
      <c r="L20" s="187"/>
      <c r="M20" s="83">
        <f t="shared" si="3"/>
        <v>0</v>
      </c>
      <c r="N20" s="84"/>
      <c r="O20" s="84"/>
    </row>
    <row r="21" spans="1:19" x14ac:dyDescent="0.8">
      <c r="A21" s="100"/>
      <c r="B21" s="101"/>
      <c r="C21" s="102" t="s">
        <v>72</v>
      </c>
      <c r="D21" s="103">
        <f t="shared" ref="D21:F21" si="4">SUM(D16:D20)</f>
        <v>0</v>
      </c>
      <c r="E21" s="103">
        <f t="shared" si="4"/>
        <v>0</v>
      </c>
      <c r="F21" s="83">
        <f t="shared" si="4"/>
        <v>0</v>
      </c>
      <c r="G21" s="383"/>
      <c r="H21" s="100"/>
      <c r="I21" s="101"/>
      <c r="J21" s="102" t="s">
        <v>72</v>
      </c>
      <c r="K21" s="103">
        <f t="shared" ref="K21:M21" si="5">SUM(K16:K20)</f>
        <v>0</v>
      </c>
      <c r="L21" s="103">
        <f t="shared" si="5"/>
        <v>0</v>
      </c>
      <c r="M21" s="83">
        <f t="shared" si="5"/>
        <v>0</v>
      </c>
      <c r="N21" s="84"/>
      <c r="O21" s="84"/>
    </row>
    <row r="22" spans="1:19" ht="16.75" thickBot="1" x14ac:dyDescent="0.95">
      <c r="A22" s="104"/>
      <c r="B22" s="105"/>
      <c r="C22" s="106"/>
      <c r="D22" s="106"/>
      <c r="E22" s="107" t="s">
        <v>73</v>
      </c>
      <c r="F22" s="108">
        <f>F13-F21</f>
        <v>0</v>
      </c>
      <c r="G22" s="383"/>
      <c r="H22" s="104"/>
      <c r="I22" s="105"/>
      <c r="J22" s="105"/>
      <c r="K22" s="110"/>
      <c r="L22" s="107" t="s">
        <v>74</v>
      </c>
      <c r="M22" s="108">
        <f>M13-M21</f>
        <v>0</v>
      </c>
      <c r="N22" s="93"/>
      <c r="O22" s="93"/>
      <c r="P22" s="93"/>
      <c r="Q22" s="93"/>
      <c r="R22" s="93"/>
      <c r="S22" s="93"/>
    </row>
    <row r="23" spans="1:19" ht="16.75" thickBot="1" x14ac:dyDescent="0.95">
      <c r="A23" s="378" t="s">
        <v>22</v>
      </c>
      <c r="B23" s="378"/>
      <c r="C23" s="378"/>
      <c r="D23" s="378"/>
      <c r="E23" s="378"/>
      <c r="F23" s="378"/>
      <c r="G23" s="383"/>
      <c r="H23" s="378" t="s">
        <v>22</v>
      </c>
      <c r="I23" s="378"/>
      <c r="J23" s="378"/>
      <c r="K23" s="378"/>
      <c r="L23" s="378"/>
      <c r="M23" s="378"/>
      <c r="N23" s="93"/>
      <c r="O23" s="93"/>
      <c r="P23" s="93"/>
      <c r="Q23" s="93"/>
      <c r="R23" s="93"/>
      <c r="S23" s="93"/>
    </row>
    <row r="24" spans="1:19" x14ac:dyDescent="0.8">
      <c r="A24" s="111" t="s">
        <v>105</v>
      </c>
      <c r="B24" s="112"/>
      <c r="C24" s="112"/>
      <c r="D24" s="62"/>
      <c r="E24" s="119"/>
      <c r="F24" s="119"/>
      <c r="G24" s="383"/>
      <c r="H24" s="111" t="s">
        <v>105</v>
      </c>
      <c r="I24" s="112"/>
      <c r="J24" s="112"/>
      <c r="K24" s="62"/>
      <c r="L24" s="119"/>
      <c r="M24" s="119"/>
      <c r="N24" s="118"/>
      <c r="O24" s="118"/>
      <c r="P24" s="118"/>
      <c r="Q24" s="118"/>
    </row>
    <row r="25" spans="1:19" x14ac:dyDescent="0.8">
      <c r="A25" s="120" t="s">
        <v>71</v>
      </c>
      <c r="B25" s="121" t="s">
        <v>77</v>
      </c>
      <c r="C25" s="122"/>
      <c r="D25" s="123"/>
      <c r="E25" s="122"/>
      <c r="F25" s="122"/>
      <c r="G25" s="383"/>
      <c r="H25" s="120" t="s">
        <v>71</v>
      </c>
      <c r="I25" s="121" t="s">
        <v>77</v>
      </c>
      <c r="J25" s="122"/>
      <c r="K25" s="123"/>
      <c r="L25" s="122"/>
      <c r="M25" s="122"/>
      <c r="N25" s="118"/>
      <c r="O25" s="118"/>
      <c r="P25" s="118"/>
      <c r="Q25" s="118"/>
    </row>
    <row r="26" spans="1:19" x14ac:dyDescent="0.8">
      <c r="A26" s="124" t="str">
        <f>CONCATENATE("SFY ",'2. Getting Started'!B6," Projected Child Count")</f>
        <v>SFY 2024 Projected Child Count</v>
      </c>
      <c r="B26" s="125" t="str">
        <f>IF('5. Year 1 Amounts'!B1="","",'5. Year 1 Amounts'!B1)</f>
        <v/>
      </c>
      <c r="C26" s="122"/>
      <c r="D26" s="123"/>
      <c r="E26" s="122"/>
      <c r="F26" s="122"/>
      <c r="G26" s="383"/>
      <c r="H26" s="124" t="str">
        <f>CONCATENATE("SFY ",'2. Getting Started'!B6," Child Count")</f>
        <v>SFY 2024 Child Count</v>
      </c>
      <c r="I26" s="125" t="str">
        <f>IF('5. Year 1 Amounts'!I1="","",'5. Year 1 Amounts'!I1)</f>
        <v/>
      </c>
      <c r="J26" s="122"/>
      <c r="K26" s="123"/>
      <c r="L26" s="122"/>
      <c r="M26" s="122"/>
      <c r="N26" s="118"/>
      <c r="O26" s="118"/>
      <c r="P26" s="118"/>
      <c r="Q26" s="118"/>
    </row>
    <row r="27" spans="1:19" x14ac:dyDescent="0.8">
      <c r="A27" s="124" t="str">
        <f>CONCATENATE("SFY ",'2. Getting Started'!B6-1," Projected Child Count")</f>
        <v>SFY 2023 Projected Child Count</v>
      </c>
      <c r="B27" s="351" t="str">
        <f>IF('2. Getting Started'!B19="","",'2. Getting Started'!B19)</f>
        <v/>
      </c>
      <c r="C27" s="118"/>
      <c r="D27" s="127"/>
      <c r="E27" s="118"/>
      <c r="F27" s="122"/>
      <c r="G27" s="383"/>
      <c r="H27" s="124" t="str">
        <f>CONCATENATE("SFY ",'2. Getting Started'!B6-1," Child Count")</f>
        <v>SFY 2023 Child Count</v>
      </c>
      <c r="I27" s="351" t="str">
        <f>IF('2. Getting Started'!C19="Please enter data","",'2. Getting Started'!C19)</f>
        <v/>
      </c>
      <c r="J27" s="118"/>
      <c r="K27" s="127"/>
      <c r="L27" s="118"/>
      <c r="M27" s="122"/>
      <c r="N27" s="128"/>
      <c r="O27" s="128"/>
      <c r="P27" s="128"/>
      <c r="Q27" s="128"/>
    </row>
    <row r="28" spans="1:19" x14ac:dyDescent="0.8">
      <c r="A28" s="126" t="s">
        <v>78</v>
      </c>
      <c r="B28" s="129" t="str">
        <f>IF(B26="","",B26-B27)</f>
        <v/>
      </c>
      <c r="C28" s="122" t="str">
        <f>IF(B28="","",IF(B28&gt;=0,"Not eligible for this exception",""))</f>
        <v/>
      </c>
      <c r="D28" s="123"/>
      <c r="E28" s="122"/>
      <c r="F28" s="122"/>
      <c r="G28" s="383"/>
      <c r="H28" s="126" t="s">
        <v>78</v>
      </c>
      <c r="I28" s="129" t="str">
        <f>IF(I26="","",I26-I27)</f>
        <v/>
      </c>
      <c r="J28" s="122" t="str">
        <f>IF(I28="","",IF(I28&gt;=0,"Not eligible for this exception",""))</f>
        <v/>
      </c>
      <c r="K28" s="123"/>
      <c r="L28" s="122"/>
      <c r="M28" s="122"/>
      <c r="N28" s="131"/>
      <c r="O28" s="131"/>
      <c r="P28" s="131"/>
      <c r="Q28" s="131"/>
    </row>
    <row r="29" spans="1:19" x14ac:dyDescent="0.8">
      <c r="A29" s="132" t="s">
        <v>79</v>
      </c>
      <c r="B29" s="133" t="str">
        <f>IF(B26="","",IF(B28&lt;=0,ABS(B28/B27),""))</f>
        <v/>
      </c>
      <c r="C29" s="134"/>
      <c r="D29" s="135"/>
      <c r="E29" s="134"/>
      <c r="F29" s="10"/>
      <c r="G29" s="383"/>
      <c r="H29" s="132" t="s">
        <v>79</v>
      </c>
      <c r="I29" s="133" t="str">
        <f>IF(I26="","",IF(I28&lt;=0,ABS(I28/I27),""))</f>
        <v/>
      </c>
      <c r="J29" s="134"/>
      <c r="K29" s="135"/>
      <c r="L29" s="134"/>
      <c r="M29" s="10"/>
      <c r="N29" s="136"/>
      <c r="O29" s="136"/>
      <c r="P29" s="137"/>
      <c r="Q29" s="137"/>
    </row>
    <row r="30" spans="1:19" x14ac:dyDescent="0.8">
      <c r="A30" s="114" t="s">
        <v>71</v>
      </c>
      <c r="B30" s="115" t="s">
        <v>0</v>
      </c>
      <c r="C30" s="115" t="s">
        <v>2</v>
      </c>
      <c r="D30" s="10"/>
      <c r="E30" s="71"/>
      <c r="F30" s="71"/>
      <c r="G30" s="383"/>
      <c r="H30" s="114" t="s">
        <v>71</v>
      </c>
      <c r="I30" s="115" t="s">
        <v>75</v>
      </c>
      <c r="J30" s="115" t="s">
        <v>76</v>
      </c>
      <c r="K30" s="10"/>
      <c r="L30" s="71"/>
      <c r="M30" s="71"/>
      <c r="N30" s="137"/>
      <c r="O30" s="137"/>
    </row>
    <row r="31" spans="1:19" x14ac:dyDescent="0.8">
      <c r="A31" s="138" t="str">
        <f>CONCATENATE("SFY ",'2. Getting Started'!B6-1," Budget")</f>
        <v>SFY 2023 Budget</v>
      </c>
      <c r="B31" s="139">
        <f>IF('2. Getting Started'!B17="Please enter data","",'2. Getting Started'!B17)</f>
        <v>0</v>
      </c>
      <c r="C31" s="139">
        <f>IF('2. Getting Started'!B18="Please enter data","",'2. Getting Started'!B18)</f>
        <v>0</v>
      </c>
      <c r="D31" s="140"/>
      <c r="E31" s="73"/>
      <c r="F31" s="73"/>
      <c r="G31" s="383"/>
      <c r="H31" s="138" t="str">
        <f>CONCATENATE("SFY ",'2. Getting Started'!B6-1," Final Expenditures")</f>
        <v>SFY 2023 Final Expenditures</v>
      </c>
      <c r="I31" s="139" t="str">
        <f>IF('2. Getting Started'!C17="Please enter data","",'2. Getting Started'!C17)</f>
        <v/>
      </c>
      <c r="J31" s="139" t="str">
        <f>IF('2. Getting Started'!C18="Please enter data","",'2. Getting Started'!C18)</f>
        <v/>
      </c>
      <c r="K31" s="141"/>
      <c r="L31" s="73"/>
      <c r="M31" s="73"/>
    </row>
    <row r="32" spans="1:19" x14ac:dyDescent="0.8">
      <c r="A32" s="116" t="s">
        <v>80</v>
      </c>
      <c r="B32" s="142" t="str">
        <f>IF(OR($B26="",B29="",B31=""),"",($B29*B31))</f>
        <v/>
      </c>
      <c r="C32" s="142" t="str">
        <f>IF(OR($B26="",B29="",C31=""),"",($B29*C31))</f>
        <v/>
      </c>
      <c r="D32" s="141"/>
      <c r="E32" s="117"/>
      <c r="F32" s="117"/>
      <c r="G32" s="383"/>
      <c r="H32" s="116" t="s">
        <v>81</v>
      </c>
      <c r="I32" s="142" t="str">
        <f>IF(OR($I26="",I29="",I31=""),"",($I29*I31))</f>
        <v/>
      </c>
      <c r="J32" s="142" t="str">
        <f>IF(OR($I26="",I29="",J31=""),"",($I29*J31))</f>
        <v/>
      </c>
      <c r="K32" s="141"/>
      <c r="L32" s="117"/>
      <c r="M32" s="117"/>
    </row>
    <row r="33" spans="1:28" ht="16.75" thickBot="1" x14ac:dyDescent="0.95">
      <c r="A33" s="379" t="s">
        <v>22</v>
      </c>
      <c r="B33" s="379"/>
      <c r="C33" s="379"/>
      <c r="D33" s="122"/>
      <c r="E33" s="122"/>
      <c r="F33" s="122"/>
      <c r="G33" s="383"/>
      <c r="H33" s="379" t="s">
        <v>22</v>
      </c>
      <c r="I33" s="379"/>
      <c r="J33" s="379"/>
      <c r="K33" s="122"/>
      <c r="L33" s="122"/>
      <c r="M33" s="122"/>
      <c r="P33" s="117"/>
      <c r="Q33" s="117"/>
      <c r="R33" s="117"/>
      <c r="S33" s="117"/>
      <c r="T33" s="117"/>
      <c r="U33" s="73"/>
      <c r="V33" s="117"/>
      <c r="W33" s="117"/>
      <c r="X33" s="117"/>
      <c r="Y33" s="117"/>
      <c r="Z33" s="117"/>
      <c r="AA33" s="117"/>
    </row>
    <row r="34" spans="1:28" x14ac:dyDescent="0.8">
      <c r="A34" s="111" t="s">
        <v>82</v>
      </c>
      <c r="B34" s="144"/>
      <c r="C34" s="145"/>
      <c r="D34" s="146"/>
      <c r="E34" s="130"/>
      <c r="F34" s="130"/>
      <c r="G34" s="383"/>
      <c r="H34" s="111" t="s">
        <v>82</v>
      </c>
      <c r="I34" s="144"/>
      <c r="J34" s="145"/>
      <c r="K34" s="146"/>
      <c r="L34" s="130"/>
      <c r="M34" s="130"/>
      <c r="P34" s="117"/>
      <c r="Q34" s="117"/>
      <c r="R34" s="117"/>
      <c r="S34" s="117"/>
      <c r="T34" s="117"/>
      <c r="U34" s="117"/>
      <c r="V34" s="117"/>
      <c r="W34" s="117"/>
      <c r="X34" s="117"/>
      <c r="Y34" s="117"/>
      <c r="Z34" s="117"/>
      <c r="AA34" s="117"/>
    </row>
    <row r="35" spans="1:28" x14ac:dyDescent="0.8">
      <c r="A35" s="147" t="s">
        <v>83</v>
      </c>
      <c r="B35" s="71"/>
      <c r="C35" s="148"/>
      <c r="D35" s="149"/>
      <c r="E35" s="10"/>
      <c r="F35" s="10"/>
      <c r="G35" s="383"/>
      <c r="H35" s="147" t="s">
        <v>83</v>
      </c>
      <c r="I35" s="71"/>
      <c r="J35" s="148"/>
      <c r="K35" s="149"/>
      <c r="L35" s="10"/>
      <c r="M35" s="10"/>
      <c r="P35" s="73"/>
      <c r="Q35" s="73"/>
      <c r="R35" s="73"/>
      <c r="S35" s="73"/>
      <c r="T35" s="73"/>
      <c r="U35" s="73"/>
      <c r="V35" s="73"/>
      <c r="W35" s="73"/>
      <c r="X35" s="73"/>
      <c r="Y35" s="73"/>
      <c r="Z35" s="73"/>
      <c r="AA35" s="73"/>
    </row>
    <row r="36" spans="1:28" x14ac:dyDescent="0.8">
      <c r="A36" s="150" t="s">
        <v>84</v>
      </c>
      <c r="B36" s="71"/>
      <c r="C36" s="151"/>
      <c r="D36" s="149"/>
      <c r="E36" s="10"/>
      <c r="F36" s="10"/>
      <c r="G36" s="383"/>
      <c r="H36" s="150" t="s">
        <v>84</v>
      </c>
      <c r="I36" s="71"/>
      <c r="J36" s="151"/>
      <c r="K36" s="149"/>
      <c r="L36" s="10"/>
      <c r="M36" s="10"/>
      <c r="Q36" s="73"/>
      <c r="R36" s="73"/>
      <c r="S36" s="73"/>
      <c r="T36" s="73"/>
      <c r="U36" s="73"/>
      <c r="V36" s="73"/>
      <c r="W36" s="73"/>
      <c r="X36" s="73"/>
      <c r="Y36" s="73"/>
      <c r="Z36" s="73"/>
      <c r="AA36" s="73"/>
      <c r="AB36" s="73"/>
    </row>
    <row r="37" spans="1:28" x14ac:dyDescent="0.8">
      <c r="A37" s="152" t="s">
        <v>85</v>
      </c>
      <c r="B37" s="153" t="s">
        <v>86</v>
      </c>
      <c r="C37" s="154" t="s">
        <v>87</v>
      </c>
      <c r="D37" s="117"/>
      <c r="E37" s="143"/>
      <c r="F37" s="143"/>
      <c r="G37" s="383"/>
      <c r="H37" s="152" t="s">
        <v>85</v>
      </c>
      <c r="I37" s="153" t="s">
        <v>86</v>
      </c>
      <c r="J37" s="154" t="s">
        <v>88</v>
      </c>
      <c r="K37" s="117"/>
      <c r="L37" s="143"/>
      <c r="M37" s="143"/>
      <c r="P37" s="93"/>
      <c r="Q37" s="93"/>
      <c r="R37" s="93"/>
      <c r="S37" s="93"/>
      <c r="T37" s="93"/>
      <c r="U37" s="93"/>
      <c r="V37" s="93"/>
      <c r="W37" s="93"/>
      <c r="X37" s="93"/>
      <c r="Y37" s="93"/>
      <c r="Z37" s="93"/>
      <c r="AA37" s="93"/>
    </row>
    <row r="38" spans="1:28" x14ac:dyDescent="0.8">
      <c r="A38" s="190"/>
      <c r="B38" s="191"/>
      <c r="C38" s="192"/>
      <c r="D38" s="143"/>
      <c r="E38" s="143"/>
      <c r="F38" s="143"/>
      <c r="G38" s="383"/>
      <c r="H38" s="190"/>
      <c r="I38" s="191"/>
      <c r="J38" s="192"/>
      <c r="K38" s="143"/>
      <c r="L38" s="143"/>
      <c r="M38" s="143"/>
      <c r="P38" s="93"/>
      <c r="Q38" s="93"/>
      <c r="R38" s="93"/>
      <c r="S38" s="93"/>
      <c r="T38" s="93"/>
      <c r="U38" s="93"/>
      <c r="V38" s="93"/>
      <c r="W38" s="93"/>
      <c r="X38" s="93"/>
      <c r="Y38" s="93"/>
      <c r="Z38" s="93"/>
      <c r="AA38" s="93"/>
    </row>
    <row r="39" spans="1:28" x14ac:dyDescent="0.8">
      <c r="A39" s="190"/>
      <c r="B39" s="191"/>
      <c r="C39" s="192"/>
      <c r="D39" s="143"/>
      <c r="E39" s="71"/>
      <c r="F39" s="71"/>
      <c r="G39" s="383"/>
      <c r="H39" s="190"/>
      <c r="I39" s="191"/>
      <c r="J39" s="192"/>
      <c r="K39" s="143"/>
      <c r="L39" s="71"/>
      <c r="M39" s="71"/>
      <c r="P39" s="93"/>
      <c r="Q39" s="93"/>
      <c r="R39" s="93"/>
      <c r="S39" s="93"/>
      <c r="T39" s="93"/>
      <c r="U39" s="93"/>
      <c r="V39" s="93"/>
      <c r="W39" s="93"/>
      <c r="X39" s="93"/>
      <c r="Y39" s="93"/>
      <c r="Z39" s="93"/>
      <c r="AA39" s="93"/>
    </row>
    <row r="40" spans="1:28" x14ac:dyDescent="0.8">
      <c r="A40" s="190"/>
      <c r="B40" s="191"/>
      <c r="C40" s="192"/>
      <c r="D40" s="143"/>
      <c r="E40" s="71"/>
      <c r="F40" s="71"/>
      <c r="G40" s="383"/>
      <c r="H40" s="190"/>
      <c r="I40" s="191"/>
      <c r="J40" s="192"/>
      <c r="K40" s="143"/>
      <c r="L40" s="71"/>
      <c r="M40" s="71"/>
      <c r="P40" s="93"/>
      <c r="Q40" s="93"/>
      <c r="R40" s="93"/>
      <c r="S40" s="93"/>
      <c r="T40" s="93"/>
      <c r="U40" s="93"/>
      <c r="V40" s="93"/>
      <c r="W40" s="93"/>
      <c r="X40" s="93"/>
      <c r="Y40" s="93"/>
      <c r="Z40" s="93"/>
      <c r="AA40" s="93"/>
    </row>
    <row r="41" spans="1:28" x14ac:dyDescent="0.8">
      <c r="A41" s="190"/>
      <c r="B41" s="191"/>
      <c r="C41" s="192"/>
      <c r="D41" s="143"/>
      <c r="E41" s="119"/>
      <c r="F41" s="119"/>
      <c r="G41" s="383"/>
      <c r="H41" s="190"/>
      <c r="I41" s="191"/>
      <c r="J41" s="192"/>
      <c r="K41" s="143"/>
      <c r="L41" s="119"/>
      <c r="M41" s="119"/>
      <c r="P41" s="93"/>
      <c r="Q41" s="93"/>
      <c r="R41" s="93"/>
      <c r="S41" s="93"/>
      <c r="T41" s="93"/>
      <c r="U41" s="93"/>
      <c r="V41" s="93"/>
      <c r="W41" s="93"/>
      <c r="X41" s="93"/>
      <c r="Y41" s="93"/>
      <c r="Z41" s="93"/>
      <c r="AA41" s="93"/>
    </row>
    <row r="42" spans="1:28" x14ac:dyDescent="0.8">
      <c r="A42" s="190"/>
      <c r="B42" s="191"/>
      <c r="C42" s="192"/>
      <c r="D42" s="143"/>
      <c r="F42" s="10"/>
      <c r="G42" s="383"/>
      <c r="H42" s="190"/>
      <c r="I42" s="191"/>
      <c r="J42" s="192"/>
      <c r="K42" s="143"/>
      <c r="M42" s="10"/>
      <c r="P42" s="73"/>
      <c r="Q42" s="73"/>
      <c r="R42" s="73"/>
      <c r="S42" s="73"/>
      <c r="T42" s="73"/>
      <c r="U42" s="73"/>
      <c r="V42" s="73"/>
      <c r="W42" s="73"/>
      <c r="X42" s="73"/>
      <c r="Y42" s="73"/>
      <c r="Z42" s="73"/>
      <c r="AA42" s="73"/>
    </row>
    <row r="43" spans="1:28" x14ac:dyDescent="0.8">
      <c r="A43" s="156" t="s">
        <v>89</v>
      </c>
      <c r="B43" s="157"/>
      <c r="C43" s="158">
        <f>SUM(C38:C42)</f>
        <v>0</v>
      </c>
      <c r="D43" s="143"/>
      <c r="E43" s="73"/>
      <c r="F43" s="71"/>
      <c r="G43" s="383"/>
      <c r="H43" s="156" t="s">
        <v>90</v>
      </c>
      <c r="I43" s="157"/>
      <c r="J43" s="158">
        <f>SUM(J38:J42)</f>
        <v>0</v>
      </c>
      <c r="K43" s="143"/>
      <c r="L43" s="73"/>
      <c r="M43" s="71"/>
      <c r="P43" s="73"/>
      <c r="Q43" s="73"/>
      <c r="R43" s="73"/>
      <c r="S43" s="73"/>
      <c r="T43" s="73"/>
      <c r="U43" s="73"/>
      <c r="V43" s="73"/>
      <c r="W43" s="73"/>
      <c r="X43" s="73"/>
      <c r="Y43" s="73"/>
      <c r="Z43" s="73"/>
      <c r="AA43" s="73"/>
    </row>
    <row r="44" spans="1:28" ht="16.75" thickBot="1" x14ac:dyDescent="0.95">
      <c r="A44" s="381" t="s">
        <v>22</v>
      </c>
      <c r="B44" s="381"/>
      <c r="C44" s="381"/>
      <c r="D44" s="71"/>
      <c r="E44" s="71"/>
      <c r="F44" s="71"/>
      <c r="G44" s="383"/>
      <c r="H44" s="381" t="s">
        <v>22</v>
      </c>
      <c r="I44" s="381"/>
      <c r="J44" s="381"/>
      <c r="K44" s="71"/>
      <c r="L44" s="71"/>
      <c r="M44" s="71"/>
      <c r="P44" s="93"/>
      <c r="Q44" s="93"/>
      <c r="R44" s="93"/>
      <c r="S44" s="93"/>
      <c r="T44" s="93"/>
      <c r="U44" s="93"/>
      <c r="V44" s="93"/>
      <c r="W44" s="93"/>
      <c r="X44" s="93"/>
      <c r="Y44" s="93"/>
      <c r="Z44" s="93"/>
      <c r="AA44" s="93"/>
    </row>
    <row r="45" spans="1:28" x14ac:dyDescent="0.8">
      <c r="A45" s="111" t="s">
        <v>91</v>
      </c>
      <c r="B45" s="113"/>
      <c r="C45" s="119"/>
      <c r="D45" s="119"/>
      <c r="E45" s="119"/>
      <c r="F45" s="119"/>
      <c r="G45" s="383"/>
      <c r="H45" s="111" t="s">
        <v>91</v>
      </c>
      <c r="I45" s="113"/>
      <c r="J45" s="119"/>
      <c r="K45" s="119"/>
      <c r="L45" s="119"/>
      <c r="M45" s="119"/>
      <c r="O45" s="93"/>
      <c r="P45" s="93"/>
      <c r="Q45" s="93"/>
      <c r="R45" s="93"/>
      <c r="S45" s="93"/>
      <c r="T45" s="93"/>
      <c r="U45" s="93"/>
      <c r="V45" s="93"/>
      <c r="W45" s="93"/>
      <c r="X45" s="93"/>
      <c r="Y45" s="93"/>
      <c r="Z45" s="93"/>
    </row>
    <row r="46" spans="1:28" ht="26.65" customHeight="1" x14ac:dyDescent="0.8">
      <c r="A46" s="70" t="s">
        <v>92</v>
      </c>
      <c r="B46" s="151"/>
      <c r="C46" s="119"/>
      <c r="D46" s="71"/>
      <c r="E46" s="73"/>
      <c r="F46" s="73"/>
      <c r="G46" s="383"/>
      <c r="H46" s="70" t="s">
        <v>92</v>
      </c>
      <c r="I46" s="151"/>
      <c r="J46" s="119"/>
      <c r="K46" s="71"/>
      <c r="L46" s="73"/>
      <c r="M46" s="73"/>
      <c r="O46" s="93"/>
      <c r="P46" s="93"/>
      <c r="Q46" s="93"/>
      <c r="R46" s="93"/>
      <c r="S46" s="93"/>
      <c r="T46" s="93"/>
      <c r="U46" s="93"/>
      <c r="V46" s="93"/>
      <c r="W46" s="93"/>
      <c r="X46" s="93"/>
      <c r="Y46" s="93"/>
      <c r="Z46" s="93"/>
    </row>
    <row r="47" spans="1:28" x14ac:dyDescent="0.8">
      <c r="A47" s="159" t="s">
        <v>93</v>
      </c>
      <c r="B47" s="160" t="s">
        <v>94</v>
      </c>
      <c r="C47" s="117"/>
      <c r="D47" s="117"/>
      <c r="E47" s="143"/>
      <c r="F47" s="109"/>
      <c r="G47" s="383"/>
      <c r="H47" s="159" t="s">
        <v>93</v>
      </c>
      <c r="I47" s="160" t="s">
        <v>95</v>
      </c>
      <c r="J47" s="117"/>
      <c r="K47" s="117"/>
      <c r="L47" s="143"/>
      <c r="M47" s="109"/>
      <c r="O47" s="93"/>
      <c r="P47" s="93"/>
      <c r="Q47" s="93"/>
      <c r="R47" s="93"/>
      <c r="S47" s="93"/>
      <c r="T47" s="93"/>
      <c r="U47" s="93"/>
      <c r="V47" s="93"/>
      <c r="W47" s="93"/>
      <c r="X47" s="93"/>
      <c r="Y47" s="93"/>
      <c r="Z47" s="93"/>
    </row>
    <row r="48" spans="1:28" ht="60" customHeight="1" x14ac:dyDescent="0.8">
      <c r="A48" s="193"/>
      <c r="B48" s="194"/>
      <c r="C48" s="143"/>
      <c r="D48" s="143"/>
      <c r="E48" s="143"/>
      <c r="F48" s="71"/>
      <c r="G48" s="383"/>
      <c r="H48" s="193"/>
      <c r="I48" s="194"/>
      <c r="J48" s="143"/>
      <c r="K48" s="143"/>
      <c r="L48" s="143"/>
      <c r="M48" s="71"/>
      <c r="O48" s="93"/>
      <c r="P48" s="93"/>
      <c r="Q48" s="93"/>
      <c r="R48" s="93"/>
      <c r="S48" s="93"/>
      <c r="T48" s="93"/>
      <c r="U48" s="93"/>
      <c r="V48" s="93"/>
      <c r="W48" s="93"/>
      <c r="X48" s="93"/>
      <c r="Y48" s="93"/>
      <c r="Z48" s="93"/>
    </row>
    <row r="49" spans="1:26" ht="60" customHeight="1" x14ac:dyDescent="0.8">
      <c r="A49" s="193"/>
      <c r="B49" s="194"/>
      <c r="C49" s="143"/>
      <c r="D49" s="143"/>
      <c r="E49" s="155"/>
      <c r="F49" s="155"/>
      <c r="G49" s="383"/>
      <c r="H49" s="193"/>
      <c r="I49" s="194"/>
      <c r="J49" s="143"/>
      <c r="K49" s="143"/>
      <c r="L49" s="155"/>
      <c r="M49" s="155"/>
      <c r="O49" s="93"/>
      <c r="P49" s="93"/>
      <c r="Q49" s="93"/>
      <c r="R49" s="93"/>
      <c r="S49" s="93"/>
      <c r="T49" s="93"/>
      <c r="U49" s="93"/>
      <c r="V49" s="93"/>
      <c r="W49" s="93"/>
      <c r="X49" s="93"/>
      <c r="Y49" s="93"/>
      <c r="Z49" s="93"/>
    </row>
    <row r="50" spans="1:26" ht="60" customHeight="1" x14ac:dyDescent="0.8">
      <c r="A50" s="193"/>
      <c r="B50" s="194"/>
      <c r="C50" s="143"/>
      <c r="D50" s="143"/>
      <c r="E50" s="71"/>
      <c r="F50" s="71"/>
      <c r="G50" s="383"/>
      <c r="H50" s="193"/>
      <c r="I50" s="194"/>
      <c r="J50" s="143"/>
      <c r="K50" s="143"/>
      <c r="L50" s="71"/>
      <c r="M50" s="71"/>
    </row>
    <row r="51" spans="1:26" ht="60" customHeight="1" x14ac:dyDescent="0.8">
      <c r="A51" s="193"/>
      <c r="B51" s="194"/>
      <c r="C51" s="143"/>
      <c r="D51" s="143"/>
      <c r="E51" s="161"/>
      <c r="F51" s="161"/>
      <c r="G51" s="383"/>
      <c r="H51" s="193"/>
      <c r="I51" s="194"/>
      <c r="J51" s="143"/>
      <c r="K51" s="143"/>
      <c r="L51" s="161"/>
      <c r="M51" s="161"/>
    </row>
    <row r="52" spans="1:26" ht="60" customHeight="1" x14ac:dyDescent="0.8">
      <c r="A52" s="193"/>
      <c r="B52" s="194"/>
      <c r="C52" s="143"/>
      <c r="D52" s="143"/>
      <c r="E52" s="162"/>
      <c r="F52" s="162"/>
      <c r="G52" s="383"/>
      <c r="H52" s="193"/>
      <c r="I52" s="194"/>
      <c r="J52" s="143"/>
      <c r="K52" s="143"/>
      <c r="L52" s="162"/>
      <c r="M52" s="162"/>
    </row>
    <row r="53" spans="1:26" x14ac:dyDescent="0.8">
      <c r="A53" s="163" t="s">
        <v>89</v>
      </c>
      <c r="B53" s="164">
        <f>SUM(B48:B52)</f>
        <v>0</v>
      </c>
      <c r="C53" s="143"/>
      <c r="D53" s="143"/>
      <c r="E53" s="73"/>
      <c r="G53" s="383"/>
      <c r="H53" s="165" t="s">
        <v>90</v>
      </c>
      <c r="I53" s="164">
        <f>SUM(I48:I52)</f>
        <v>0</v>
      </c>
      <c r="J53" s="143"/>
      <c r="K53" s="143"/>
      <c r="L53" s="73"/>
    </row>
    <row r="54" spans="1:26" ht="16.75" thickBot="1" x14ac:dyDescent="0.95">
      <c r="A54" s="379" t="s">
        <v>22</v>
      </c>
      <c r="B54" s="379"/>
      <c r="C54" s="10"/>
      <c r="D54" s="71"/>
      <c r="E54" s="71"/>
      <c r="F54" s="71"/>
      <c r="G54" s="383"/>
      <c r="H54" s="379" t="s">
        <v>22</v>
      </c>
      <c r="I54" s="379"/>
      <c r="J54" s="10"/>
      <c r="K54" s="71"/>
      <c r="L54" s="71"/>
      <c r="M54" s="71"/>
    </row>
    <row r="55" spans="1:26" x14ac:dyDescent="0.8">
      <c r="A55" s="166" t="str">
        <f>IF('3b. High Cost Fund'!B3="No","This exception is not valid in your state.","Exception (e) The assumption of cost by the high cost fund operated by the")</f>
        <v>This exception is not valid in your state.</v>
      </c>
      <c r="B55" s="145"/>
      <c r="C55" s="146"/>
      <c r="D55" s="130"/>
      <c r="E55" s="130"/>
      <c r="F55" s="143"/>
      <c r="G55" s="383"/>
      <c r="H55" s="166" t="str">
        <f>IF('3b. High Cost Fund'!B3="No","This exception is not valid in your state.","Exception (e) The assumption of cost by the high cost fund operated by the")</f>
        <v>This exception is not valid in your state.</v>
      </c>
      <c r="I55" s="145"/>
      <c r="J55" s="146"/>
      <c r="K55" s="130"/>
      <c r="L55" s="130"/>
      <c r="M55" s="143"/>
    </row>
    <row r="56" spans="1:26" ht="28.15" customHeight="1" x14ac:dyDescent="0.8">
      <c r="A56" s="70" t="str">
        <f>IF('3b. High Cost Fund'!B3="No","","SEA under §300.704. MUST be explicitly permitted by the SEA.")</f>
        <v/>
      </c>
      <c r="B56" s="167"/>
      <c r="C56" s="168"/>
      <c r="D56" s="169"/>
      <c r="E56" s="162"/>
      <c r="F56" s="143"/>
      <c r="G56" s="383"/>
      <c r="H56" s="70" t="str">
        <f>IF('3b. High Cost Fund'!B3="No","","SEA under §300.704. MUST be explicitly permitted by the SEA.")</f>
        <v/>
      </c>
      <c r="I56" s="167"/>
      <c r="J56" s="146"/>
      <c r="K56" s="169"/>
      <c r="L56" s="162"/>
      <c r="M56" s="143"/>
    </row>
    <row r="57" spans="1:26" x14ac:dyDescent="0.8">
      <c r="A57" s="170" t="s">
        <v>85</v>
      </c>
      <c r="B57" s="171" t="s">
        <v>96</v>
      </c>
      <c r="C57" s="117"/>
      <c r="D57" s="143"/>
      <c r="E57" s="143"/>
      <c r="F57" s="10"/>
      <c r="G57" s="383"/>
      <c r="H57" s="170" t="s">
        <v>85</v>
      </c>
      <c r="I57" s="171" t="s">
        <v>97</v>
      </c>
      <c r="J57" s="117"/>
      <c r="K57" s="143"/>
      <c r="L57" s="143"/>
      <c r="M57" s="10"/>
    </row>
    <row r="58" spans="1:26" ht="15.4" customHeight="1" x14ac:dyDescent="0.8">
      <c r="A58" s="195"/>
      <c r="B58" s="196"/>
      <c r="C58" s="338" t="str">
        <f>IF(AND(B58&lt;&gt;"",'3b. High Cost Fund'!B3="No"),"Invalid entry. This exception is valid only in states with high-cost funds. If your state has a high-cost fund, please indicate that on tab 3b.","")</f>
        <v/>
      </c>
      <c r="D58" s="143"/>
      <c r="E58" s="143"/>
      <c r="F58" s="10"/>
      <c r="G58" s="383"/>
      <c r="H58" s="195"/>
      <c r="I58" s="196"/>
      <c r="J58" s="338" t="str">
        <f>IF(AND(I58&lt;&gt;"",'3b. High Cost Fund'!B3="No"),"Invalid entry. This exception is valid only in states with high-cost funds. If your state has a high-cost fund, please indicate that on tab 3b.","")</f>
        <v/>
      </c>
      <c r="K58" s="143"/>
      <c r="L58" s="143"/>
      <c r="M58" s="10"/>
    </row>
    <row r="59" spans="1:26" x14ac:dyDescent="0.8">
      <c r="A59" s="195"/>
      <c r="B59" s="196"/>
      <c r="C59" s="143"/>
      <c r="D59" s="10"/>
      <c r="E59" s="10"/>
      <c r="F59" s="10"/>
      <c r="G59" s="383"/>
      <c r="H59" s="195"/>
      <c r="I59" s="196"/>
      <c r="J59" s="143"/>
      <c r="K59" s="10"/>
      <c r="L59" s="10"/>
      <c r="M59" s="10"/>
    </row>
    <row r="60" spans="1:26" x14ac:dyDescent="0.8">
      <c r="A60" s="195"/>
      <c r="B60" s="196"/>
      <c r="C60" s="143"/>
      <c r="D60" s="10"/>
      <c r="E60" s="10"/>
      <c r="F60" s="10"/>
      <c r="G60" s="383"/>
      <c r="H60" s="195"/>
      <c r="I60" s="196"/>
      <c r="J60" s="143"/>
      <c r="K60" s="10"/>
      <c r="L60" s="10"/>
      <c r="M60" s="10"/>
    </row>
    <row r="61" spans="1:26" x14ac:dyDescent="0.8">
      <c r="A61" s="195"/>
      <c r="B61" s="196"/>
      <c r="C61" s="143"/>
      <c r="D61" s="10"/>
      <c r="E61" s="10"/>
      <c r="F61" s="10"/>
      <c r="G61" s="383"/>
      <c r="H61" s="195"/>
      <c r="I61" s="196"/>
      <c r="J61" s="143"/>
      <c r="K61" s="10"/>
      <c r="L61" s="10"/>
      <c r="M61" s="10"/>
    </row>
    <row r="62" spans="1:26" x14ac:dyDescent="0.8">
      <c r="A62" s="195"/>
      <c r="B62" s="196"/>
      <c r="C62" s="143"/>
      <c r="D62" s="10"/>
      <c r="E62" s="10"/>
      <c r="F62" s="10"/>
      <c r="G62" s="383"/>
      <c r="H62" s="195"/>
      <c r="I62" s="196"/>
      <c r="J62" s="143"/>
      <c r="K62" s="10"/>
      <c r="L62" s="10"/>
      <c r="M62" s="10"/>
    </row>
    <row r="63" spans="1:26" x14ac:dyDescent="0.8">
      <c r="A63" s="172" t="s">
        <v>89</v>
      </c>
      <c r="B63" s="173">
        <f>IF('3b. High Cost Fund'!B3="No",0,SUM(B58:B62))</f>
        <v>0</v>
      </c>
      <c r="C63" s="143"/>
      <c r="D63" s="10"/>
      <c r="E63" s="10"/>
      <c r="F63" s="10"/>
      <c r="G63" s="383"/>
      <c r="H63" s="174" t="s">
        <v>90</v>
      </c>
      <c r="I63" s="173">
        <f>IF('3b. High Cost Fund'!B3="No",0,SUM(I58:I62))</f>
        <v>0</v>
      </c>
      <c r="J63" s="143"/>
      <c r="K63" s="10"/>
      <c r="L63" s="10"/>
      <c r="M63" s="10"/>
    </row>
    <row r="64" spans="1:26" ht="16.75" thickBot="1" x14ac:dyDescent="0.95">
      <c r="A64" s="379" t="s">
        <v>22</v>
      </c>
      <c r="B64" s="379"/>
      <c r="C64" s="143"/>
      <c r="D64" s="10"/>
      <c r="E64" s="10"/>
      <c r="F64" s="10"/>
      <c r="G64" s="383"/>
      <c r="H64" s="162"/>
      <c r="I64" s="199"/>
      <c r="J64" s="143"/>
      <c r="K64" s="10"/>
      <c r="L64" s="10"/>
      <c r="M64" s="10"/>
    </row>
    <row r="65" spans="1:13" x14ac:dyDescent="0.8">
      <c r="A65" s="347" t="s">
        <v>107</v>
      </c>
      <c r="B65" s="348"/>
      <c r="C65" s="143"/>
      <c r="D65" s="10"/>
      <c r="E65" s="10"/>
      <c r="F65" s="10"/>
      <c r="G65" s="383"/>
      <c r="H65" s="347" t="s">
        <v>106</v>
      </c>
      <c r="I65" s="348"/>
      <c r="J65" s="143"/>
      <c r="K65" s="10"/>
      <c r="L65" s="10"/>
      <c r="M65" s="10"/>
    </row>
    <row r="66" spans="1:13" x14ac:dyDescent="0.8">
      <c r="A66" s="242" t="s">
        <v>123</v>
      </c>
      <c r="B66" s="239" t="s">
        <v>124</v>
      </c>
      <c r="C66" s="143"/>
      <c r="D66" s="10"/>
      <c r="E66" s="10"/>
      <c r="F66" s="10"/>
      <c r="G66" s="383"/>
      <c r="H66" s="242" t="s">
        <v>123</v>
      </c>
      <c r="I66" s="239" t="s">
        <v>124</v>
      </c>
      <c r="J66" s="143"/>
      <c r="K66" s="10"/>
      <c r="L66" s="10"/>
      <c r="M66" s="10"/>
    </row>
    <row r="67" spans="1:13" x14ac:dyDescent="0.8">
      <c r="A67" s="102" t="s">
        <v>0</v>
      </c>
      <c r="B67" s="240">
        <f>IF(B$28&gt;=0,(F$22+C$43+B$53+B$63),(F$22+C$43+B$53+B$63+B$32))</f>
        <v>0</v>
      </c>
      <c r="C67" s="143"/>
      <c r="D67" s="10"/>
      <c r="E67" s="10"/>
      <c r="F67" s="10"/>
      <c r="G67" s="383"/>
      <c r="H67" s="102" t="s">
        <v>0</v>
      </c>
      <c r="I67" s="240">
        <f>IF(I$28&gt;=0,(M$22+J$43+I$53+I$63),(M$22+J$43+I$53+I$63+I$32))</f>
        <v>0</v>
      </c>
      <c r="J67" s="143"/>
      <c r="K67" s="10"/>
      <c r="L67" s="10"/>
      <c r="M67" s="10"/>
    </row>
    <row r="68" spans="1:13" x14ac:dyDescent="0.8">
      <c r="A68" s="241" t="s">
        <v>2</v>
      </c>
      <c r="B68" s="173">
        <f>IF(B$28&gt;=0,(F$22+C$43+B$53+B$63),(F$22+C$43+B$53+B$63+C$32))</f>
        <v>0</v>
      </c>
      <c r="C68" s="143"/>
      <c r="D68" s="10"/>
      <c r="E68" s="10"/>
      <c r="F68" s="10"/>
      <c r="G68" s="383"/>
      <c r="H68" s="241" t="s">
        <v>2</v>
      </c>
      <c r="I68" s="173">
        <f>IF(I$28&gt;=0,(M$22+J$43+I$53+I$63),(M$22+J$43+I$53+I$63+J$32))</f>
        <v>0</v>
      </c>
      <c r="J68" s="143"/>
      <c r="K68" s="10"/>
      <c r="L68" s="10"/>
      <c r="M68" s="10"/>
    </row>
    <row r="69" spans="1:13" ht="16.75" thickBot="1" x14ac:dyDescent="0.95">
      <c r="A69" s="379" t="s">
        <v>22</v>
      </c>
      <c r="B69" s="379"/>
      <c r="C69" s="10"/>
      <c r="D69" s="10"/>
      <c r="E69" s="10"/>
      <c r="F69" s="10"/>
      <c r="G69" s="383"/>
      <c r="H69" s="382" t="s">
        <v>22</v>
      </c>
      <c r="I69" s="382"/>
      <c r="J69" s="10"/>
      <c r="K69" s="10"/>
      <c r="L69" s="10"/>
      <c r="M69" s="10"/>
    </row>
    <row r="70" spans="1:13" ht="31.15" customHeight="1" x14ac:dyDescent="0.8">
      <c r="A70" s="337" t="s">
        <v>98</v>
      </c>
      <c r="B70" s="176"/>
      <c r="C70" s="11"/>
      <c r="D70" s="177"/>
      <c r="E70" s="10"/>
      <c r="F70" s="10"/>
      <c r="G70" s="383"/>
      <c r="H70" s="175" t="s">
        <v>98</v>
      </c>
      <c r="I70" s="176"/>
      <c r="J70" s="11"/>
      <c r="K70" s="177"/>
      <c r="L70" s="10"/>
      <c r="M70" s="10"/>
    </row>
    <row r="71" spans="1:13" x14ac:dyDescent="0.8">
      <c r="A71" s="178" t="s">
        <v>71</v>
      </c>
      <c r="B71" s="179" t="s">
        <v>99</v>
      </c>
      <c r="C71" s="11" t="s">
        <v>100</v>
      </c>
      <c r="E71" s="10"/>
      <c r="F71" s="10"/>
      <c r="G71" s="383"/>
      <c r="H71" s="178" t="s">
        <v>71</v>
      </c>
      <c r="I71" s="179" t="s">
        <v>101</v>
      </c>
      <c r="J71" s="11" t="s">
        <v>100</v>
      </c>
      <c r="K71" s="10"/>
      <c r="L71" s="10"/>
      <c r="M71" s="10"/>
    </row>
    <row r="72" spans="1:13" x14ac:dyDescent="0.8">
      <c r="A72" s="180" t="s">
        <v>102</v>
      </c>
      <c r="B72" s="197">
        <v>0</v>
      </c>
      <c r="C72" s="181" t="s">
        <v>103</v>
      </c>
      <c r="D72" s="10"/>
      <c r="E72" s="10"/>
      <c r="F72" s="10"/>
      <c r="G72" s="383"/>
      <c r="H72" s="180" t="s">
        <v>104</v>
      </c>
      <c r="I72" s="197">
        <v>0</v>
      </c>
      <c r="J72" s="181" t="s">
        <v>103</v>
      </c>
      <c r="K72" s="10"/>
      <c r="L72" s="10"/>
      <c r="M72" s="10"/>
    </row>
    <row r="73" spans="1:13" ht="30" customHeight="1" x14ac:dyDescent="0.8">
      <c r="A73" s="345" t="s">
        <v>183</v>
      </c>
      <c r="B73" s="182"/>
      <c r="C73" s="182"/>
      <c r="D73" s="182"/>
      <c r="E73" s="182"/>
      <c r="F73" s="182"/>
      <c r="G73" s="383"/>
      <c r="H73" s="182"/>
      <c r="I73" s="182"/>
      <c r="J73" s="182"/>
      <c r="K73" s="182"/>
      <c r="L73" s="182"/>
      <c r="M73" s="182"/>
    </row>
    <row r="74" spans="1:13" s="184" customFormat="1" x14ac:dyDescent="0.8">
      <c r="A74" s="358" t="s">
        <v>182</v>
      </c>
      <c r="B74" s="183"/>
      <c r="C74" s="183"/>
      <c r="D74" s="183"/>
      <c r="E74" s="183"/>
      <c r="F74" s="183"/>
      <c r="G74" s="183"/>
      <c r="H74" s="183"/>
      <c r="I74" s="183"/>
      <c r="J74" s="183"/>
      <c r="K74" s="183"/>
      <c r="L74" s="183"/>
      <c r="M74" s="183"/>
    </row>
    <row r="75" spans="1:13" x14ac:dyDescent="0.8">
      <c r="A75" s="380" t="s">
        <v>24</v>
      </c>
      <c r="B75" s="380"/>
      <c r="C75" s="380"/>
      <c r="D75" s="380"/>
      <c r="E75" s="380"/>
      <c r="F75" s="380"/>
      <c r="G75" s="380"/>
      <c r="H75" s="380"/>
      <c r="I75" s="380"/>
      <c r="J75" s="380"/>
      <c r="K75" s="380"/>
      <c r="L75" s="380"/>
      <c r="M75" s="380"/>
    </row>
  </sheetData>
  <sheetProtection algorithmName="SHA-512" hashValue="ZNRYzSOb3wWHHd6O82vmyeCGPbmswr1nBol2/AAJszp622/Pz5cceNBkaxSdptmyrE6eZ7OROmD30mj89rAkeA==" saltValue="7rH3j2W6Jsf3WuvDcWZOTw==" spinCount="100000" sheet="1" formatColumns="0" formatRows="0"/>
  <mergeCells count="13">
    <mergeCell ref="A23:F23"/>
    <mergeCell ref="H23:M23"/>
    <mergeCell ref="A33:C33"/>
    <mergeCell ref="H33:J33"/>
    <mergeCell ref="A75:M75"/>
    <mergeCell ref="A44:C44"/>
    <mergeCell ref="H44:J44"/>
    <mergeCell ref="A54:B54"/>
    <mergeCell ref="H54:I54"/>
    <mergeCell ref="A69:B69"/>
    <mergeCell ref="H69:I69"/>
    <mergeCell ref="G1:G73"/>
    <mergeCell ref="A64:B64"/>
  </mergeCells>
  <conditionalFormatting sqref="A55">
    <cfRule type="containsText" dxfId="220" priority="2" operator="containsText" text="not valid">
      <formula>NOT(ISERROR(SEARCH("not valid",A55)))</formula>
    </cfRule>
  </conditionalFormatting>
  <conditionalFormatting sqref="H55">
    <cfRule type="containsText" dxfId="219" priority="1" operator="containsText" text="not valid">
      <formula>NOT(ISERROR(SEARCH("not valid",H55)))</formula>
    </cfRule>
  </conditionalFormatting>
  <dataValidations count="1">
    <dataValidation type="list" allowBlank="1" showInputMessage="1" showErrorMessage="1" sqref="B38:B42 I38:I42" xr:uid="{00000000-0002-0000-0600-000000000000}">
      <formula1>Exception_c</formula1>
    </dataValidation>
  </dataValidations>
  <hyperlinks>
    <hyperlink ref="C72" r:id="rId1" xr:uid="{00000000-0004-0000-0600-000000000000}"/>
    <hyperlink ref="J72" r:id="rId2" xr:uid="{00000000-0004-0000-0600-000001000000}"/>
    <hyperlink ref="A74" r:id="rId3" xr:uid="{890EBADA-3B6F-4202-AEEB-31E062823DB4}"/>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sheetPr>
  <dimension ref="A1:F43"/>
  <sheetViews>
    <sheetView showGridLines="0" zoomScaleNormal="100" workbookViewId="0">
      <selection activeCell="D8" sqref="D8"/>
    </sheetView>
  </sheetViews>
  <sheetFormatPr defaultColWidth="0" defaultRowHeight="14.75" zeroHeight="1" x14ac:dyDescent="0.75"/>
  <cols>
    <col min="1" max="1" width="43.40625" bestFit="1" customWidth="1"/>
    <col min="2" max="5" width="33.7265625" customWidth="1"/>
    <col min="6" max="6" width="0.86328125" customWidth="1"/>
    <col min="7" max="16384" width="9.1328125" hidden="1"/>
  </cols>
  <sheetData>
    <row r="1" spans="1:5" ht="21" x14ac:dyDescent="1">
      <c r="A1" s="302" t="str">
        <f>CONCATENATE("Summary of Year 1: State Fiscal Year ",'2. Getting Started'!B6)</f>
        <v>Summary of Year 1: State Fiscal Year 2024</v>
      </c>
      <c r="B1" s="300"/>
      <c r="C1" s="300"/>
      <c r="D1" s="21" t="s">
        <v>14</v>
      </c>
      <c r="E1" s="20" t="str">
        <f>IF('2. Getting Started'!B2="","",'2. Getting Started'!B2)</f>
        <v/>
      </c>
    </row>
    <row r="2" spans="1:5" ht="18.5" x14ac:dyDescent="0.9">
      <c r="A2" s="2" t="str">
        <f>CONCATENATE("State fiscal year ",'2. Getting Started'!B6," covers the period ",'2. Getting Started'!B4,", ",'2. Getting Started'!B6-1," through ",'2. Getting Started'!B5,", ",'2. Getting Started'!B6)</f>
        <v>State fiscal year 2024 covers the period July 1, 2023 through June 30, 2024</v>
      </c>
      <c r="B2" s="300"/>
      <c r="C2" s="300"/>
      <c r="D2" s="301"/>
      <c r="E2" s="300"/>
    </row>
    <row r="3" spans="1:5" ht="18.5" x14ac:dyDescent="0.9">
      <c r="A3" s="8"/>
      <c r="B3" s="18"/>
      <c r="C3" s="18"/>
      <c r="D3" s="201"/>
      <c r="E3" s="18"/>
    </row>
    <row r="4" spans="1:5" ht="16" x14ac:dyDescent="0.8">
      <c r="A4" s="5" t="s">
        <v>7</v>
      </c>
      <c r="B4" s="4"/>
      <c r="C4" s="4"/>
      <c r="D4" s="4"/>
      <c r="E4" s="4"/>
    </row>
    <row r="5" spans="1:5" x14ac:dyDescent="0.75">
      <c r="A5" s="217" t="s">
        <v>125</v>
      </c>
      <c r="B5" s="244" t="s">
        <v>0</v>
      </c>
      <c r="C5" s="244" t="s">
        <v>2</v>
      </c>
      <c r="D5" s="244" t="s">
        <v>3</v>
      </c>
      <c r="E5" s="245" t="s">
        <v>4</v>
      </c>
    </row>
    <row r="6" spans="1:5" x14ac:dyDescent="0.75">
      <c r="A6" s="243" t="s">
        <v>44</v>
      </c>
      <c r="B6" s="247"/>
      <c r="C6" s="248"/>
      <c r="D6" s="248"/>
      <c r="E6" s="249"/>
    </row>
    <row r="7" spans="1:5" x14ac:dyDescent="0.75">
      <c r="A7" s="243" t="s">
        <v>45</v>
      </c>
      <c r="B7" s="250"/>
      <c r="C7" s="251"/>
      <c r="D7" s="251"/>
      <c r="E7" s="252"/>
    </row>
    <row r="8" spans="1:5" x14ac:dyDescent="0.75">
      <c r="A8" s="243" t="s">
        <v>9</v>
      </c>
      <c r="B8" s="250" t="s">
        <v>109</v>
      </c>
      <c r="C8" s="251"/>
      <c r="D8" s="251"/>
      <c r="E8" s="252"/>
    </row>
    <row r="9" spans="1:5" x14ac:dyDescent="0.75">
      <c r="A9" s="243" t="s">
        <v>117</v>
      </c>
      <c r="B9" s="250"/>
      <c r="C9" s="251"/>
      <c r="D9" s="251"/>
      <c r="E9" s="252"/>
    </row>
    <row r="10" spans="1:5" x14ac:dyDescent="0.75">
      <c r="A10" s="246" t="s">
        <v>46</v>
      </c>
      <c r="B10" s="253"/>
      <c r="C10" s="254"/>
      <c r="D10" s="254"/>
      <c r="E10" s="255"/>
    </row>
    <row r="11" spans="1:5" x14ac:dyDescent="0.75">
      <c r="A11" s="373" t="s">
        <v>175</v>
      </c>
      <c r="B11" s="373"/>
      <c r="C11" s="373"/>
      <c r="D11" s="373"/>
      <c r="E11" s="373"/>
    </row>
    <row r="12" spans="1:5" ht="16" x14ac:dyDescent="0.8">
      <c r="A12" s="5" t="s">
        <v>10</v>
      </c>
      <c r="B12" s="5"/>
      <c r="C12" s="5"/>
      <c r="D12" s="5"/>
      <c r="E12" s="5"/>
    </row>
    <row r="13" spans="1:5" x14ac:dyDescent="0.75">
      <c r="A13" s="260" t="s">
        <v>125</v>
      </c>
      <c r="B13" s="244" t="s">
        <v>0</v>
      </c>
      <c r="C13" s="244" t="s">
        <v>2</v>
      </c>
      <c r="D13" s="244" t="s">
        <v>3</v>
      </c>
      <c r="E13" s="245" t="s">
        <v>4</v>
      </c>
    </row>
    <row r="14" spans="1:5" x14ac:dyDescent="0.75">
      <c r="A14" s="243" t="s">
        <v>44</v>
      </c>
      <c r="B14" s="3" t="str">
        <f>'38. Total Local Funds'!F4</f>
        <v/>
      </c>
      <c r="C14" s="3" t="str">
        <f>'39. Total State &amp; Local Funds'!F4</f>
        <v/>
      </c>
      <c r="D14" s="3" t="str">
        <f>'40. Local Funds Per Capita'!F4</f>
        <v/>
      </c>
      <c r="E14" s="257" t="str">
        <f>'41. State &amp; Local Funds Per Cap'!F4</f>
        <v/>
      </c>
    </row>
    <row r="15" spans="1:5" x14ac:dyDescent="0.75">
      <c r="A15" s="243" t="s">
        <v>45</v>
      </c>
      <c r="B15" s="17" t="str">
        <f>'38. Total Local Funds'!F5</f>
        <v/>
      </c>
      <c r="C15" s="17" t="str">
        <f>'39. Total State &amp; Local Funds'!F5</f>
        <v/>
      </c>
      <c r="D15" s="17" t="str">
        <f>'40. Local Funds Per Capita'!F5</f>
        <v/>
      </c>
      <c r="E15" s="258" t="str">
        <f>'41. State &amp; Local Funds Per Cap'!F5</f>
        <v/>
      </c>
    </row>
    <row r="16" spans="1:5" x14ac:dyDescent="0.75">
      <c r="A16" s="243" t="s">
        <v>11</v>
      </c>
      <c r="B16" s="17" t="str">
        <f>'5. Year 1 Amounts'!K30</f>
        <v/>
      </c>
      <c r="C16" s="17" t="str">
        <f>'5. Year 1 Amounts'!M30</f>
        <v/>
      </c>
      <c r="D16" s="17" t="str">
        <f>'5. Year 1 Amounts'!K31</f>
        <v/>
      </c>
      <c r="E16" s="258" t="str">
        <f>'5. Year 1 Amounts'!M31</f>
        <v/>
      </c>
    </row>
    <row r="17" spans="1:5" x14ac:dyDescent="0.75">
      <c r="A17" s="243" t="s">
        <v>117</v>
      </c>
      <c r="B17" s="200" t="str">
        <f>IF(B16="","",IF(B16&gt;=B15,"Met",IF(AND(B16&lt;B15,'38. Total Local Funds'!F14="Met"),"Met with Exceptions &amp; Adjustments","Did Not Meet")))</f>
        <v/>
      </c>
      <c r="C17" s="200" t="str">
        <f>IF(C16="","",IF(C16&gt;=C15,"Met",IF(AND(C16&lt;C15,'39. Total State &amp; Local Funds'!F14="Met"),"Met with Exceptions &amp; Adjustments","Did Not Meet")))</f>
        <v/>
      </c>
      <c r="D17" s="200" t="str">
        <f>IF(D16="","",IF(D16&gt;=D15,"Met",IF(AND(D16&lt;D15,'40. Local Funds Per Capita'!F15="Met"),"Met with Exceptions &amp; Adjustments","Did Not Meet")))</f>
        <v/>
      </c>
      <c r="E17" s="259" t="str">
        <f>IF(E16="","",IF(E16&gt;=E15,"Met",IF(AND(E16&lt;E15,'41. State &amp; Local Funds Per Cap'!F15="Met"),"Met with Exceptions &amp; Adjustments","Did Not Meet")))</f>
        <v/>
      </c>
    </row>
    <row r="18" spans="1:5" x14ac:dyDescent="0.75">
      <c r="A18" s="246" t="s">
        <v>46</v>
      </c>
      <c r="B18" s="256" t="str">
        <f>IF(B17="","",IF(B17="Did Not Meet",'38. Total Local Funds'!F12-'38. Total Local Funds'!F13,0))</f>
        <v/>
      </c>
      <c r="C18" s="256" t="str">
        <f>IF(C17="","",IF(C17="Did Not Meet",'39. Total State &amp; Local Funds'!F12-'39. Total State &amp; Local Funds'!F13,0))</f>
        <v/>
      </c>
      <c r="D18" s="256" t="str">
        <f>IF(D17="","",IF(D17="Did Not Meet",(('40. Local Funds Per Capita'!F13-'40. Local Funds Per Capita'!F14)*'5. Year 1 Amounts'!I1),0))</f>
        <v/>
      </c>
      <c r="E18" s="261" t="str">
        <f>IF(E17="","",IF(E17="Did Not Meet",(('41. State &amp; Local Funds Per Cap'!F13-'41. State &amp; Local Funds Per Cap'!F14)*'5. Year 1 Amounts'!I1),0))</f>
        <v/>
      </c>
    </row>
    <row r="19" spans="1:5" x14ac:dyDescent="0.75">
      <c r="A19" s="373" t="s">
        <v>175</v>
      </c>
      <c r="B19" s="373"/>
      <c r="C19" s="373"/>
      <c r="D19" s="373"/>
      <c r="E19" s="373"/>
    </row>
    <row r="20" spans="1:5" ht="16" x14ac:dyDescent="0.8">
      <c r="A20" s="198"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9"/>
    </row>
    <row r="21" spans="1:5" x14ac:dyDescent="0.75">
      <c r="A21" s="260" t="s">
        <v>126</v>
      </c>
      <c r="B21" s="262" t="s">
        <v>127</v>
      </c>
    </row>
    <row r="22" spans="1:5" x14ac:dyDescent="0.75">
      <c r="A22" s="243" t="s">
        <v>110</v>
      </c>
      <c r="B22" s="272"/>
    </row>
    <row r="23" spans="1:5" x14ac:dyDescent="0.75">
      <c r="A23" s="243" t="s">
        <v>111</v>
      </c>
      <c r="B23" s="272"/>
    </row>
    <row r="24" spans="1:5" x14ac:dyDescent="0.75">
      <c r="A24" s="243" t="s">
        <v>112</v>
      </c>
      <c r="B24" s="258">
        <f>B22+B23</f>
        <v>0</v>
      </c>
    </row>
    <row r="25" spans="1:5" x14ac:dyDescent="0.75">
      <c r="A25" s="243" t="s">
        <v>113</v>
      </c>
      <c r="B25" s="258">
        <f>MIN(B24,B18,C18,D18,E18)</f>
        <v>0</v>
      </c>
    </row>
    <row r="26" spans="1:5" x14ac:dyDescent="0.75">
      <c r="A26" s="243" t="s">
        <v>114</v>
      </c>
      <c r="B26" s="263"/>
    </row>
    <row r="27" spans="1:5" x14ac:dyDescent="0.75">
      <c r="A27" s="246" t="s">
        <v>115</v>
      </c>
      <c r="B27" s="264"/>
    </row>
    <row r="28" spans="1:5" x14ac:dyDescent="0.75">
      <c r="A28" s="373" t="s">
        <v>175</v>
      </c>
      <c r="B28" s="373"/>
      <c r="C28" s="373"/>
      <c r="D28" s="373"/>
      <c r="E28" s="373"/>
    </row>
    <row r="29" spans="1:5" ht="16" x14ac:dyDescent="0.8">
      <c r="A29" s="322" t="s">
        <v>149</v>
      </c>
    </row>
    <row r="30" spans="1:5" x14ac:dyDescent="0.75">
      <c r="A30" s="373" t="s">
        <v>175</v>
      </c>
      <c r="B30" s="373"/>
      <c r="C30" s="373"/>
      <c r="D30" s="373"/>
      <c r="E30" s="373"/>
    </row>
    <row r="31" spans="1:5" x14ac:dyDescent="0.75">
      <c r="A31" s="2" t="str">
        <f>CONCATENATE("Exceptions and Adjustment Claimed for State Fiscal Year ",'2. Getting Started'!B6)</f>
        <v>Exceptions and Adjustment Claimed for State Fiscal Year 2024</v>
      </c>
    </row>
    <row r="32" spans="1:5" x14ac:dyDescent="0.75">
      <c r="A32" s="2"/>
      <c r="B32" s="323" t="s">
        <v>148</v>
      </c>
      <c r="C32" s="4"/>
      <c r="D32" s="323" t="s">
        <v>152</v>
      </c>
      <c r="E32" s="4"/>
    </row>
    <row r="33" spans="1:5" x14ac:dyDescent="0.75">
      <c r="A33" s="217" t="s">
        <v>151</v>
      </c>
      <c r="B33" s="324" t="s">
        <v>155</v>
      </c>
      <c r="C33" s="325" t="s">
        <v>156</v>
      </c>
      <c r="D33" s="326" t="s">
        <v>153</v>
      </c>
      <c r="E33" s="325" t="s">
        <v>154</v>
      </c>
    </row>
    <row r="34" spans="1:5" x14ac:dyDescent="0.75">
      <c r="A34" s="223" t="s">
        <v>140</v>
      </c>
      <c r="B34" s="17">
        <f>'6. Year 1 Exc &amp; Adj'!F22</f>
        <v>0</v>
      </c>
      <c r="C34" s="258">
        <f>'6. Year 1 Exc &amp; Adj'!F22</f>
        <v>0</v>
      </c>
      <c r="D34" s="327">
        <f>'6. Year 1 Exc &amp; Adj'!M22</f>
        <v>0</v>
      </c>
      <c r="E34" s="17">
        <f>'6. Year 1 Exc &amp; Adj'!M22</f>
        <v>0</v>
      </c>
    </row>
    <row r="35" spans="1:5" x14ac:dyDescent="0.75">
      <c r="A35" s="223" t="s">
        <v>141</v>
      </c>
      <c r="B35" s="17" t="str">
        <f>'6. Year 1 Exc &amp; Adj'!B32</f>
        <v/>
      </c>
      <c r="C35" s="258" t="str">
        <f>'6. Year 1 Exc &amp; Adj'!C32</f>
        <v/>
      </c>
      <c r="D35" s="327" t="str">
        <f>'6. Year 1 Exc &amp; Adj'!I32</f>
        <v/>
      </c>
      <c r="E35" s="258" t="str">
        <f>'6. Year 1 Exc &amp; Adj'!J32</f>
        <v/>
      </c>
    </row>
    <row r="36" spans="1:5" x14ac:dyDescent="0.75">
      <c r="A36" s="223" t="s">
        <v>142</v>
      </c>
      <c r="B36" s="17">
        <f>'6. Year 1 Exc &amp; Adj'!C43</f>
        <v>0</v>
      </c>
      <c r="C36" s="258">
        <f>'6. Year 1 Exc &amp; Adj'!C43</f>
        <v>0</v>
      </c>
      <c r="D36" s="327">
        <f>'6. Year 1 Exc &amp; Adj'!J43</f>
        <v>0</v>
      </c>
      <c r="E36" s="17">
        <f>'6. Year 1 Exc &amp; Adj'!J43</f>
        <v>0</v>
      </c>
    </row>
    <row r="37" spans="1:5" x14ac:dyDescent="0.75">
      <c r="A37" s="223" t="s">
        <v>143</v>
      </c>
      <c r="B37" s="17">
        <f>'6. Year 1 Exc &amp; Adj'!B53</f>
        <v>0</v>
      </c>
      <c r="C37" s="258">
        <f>'6. Year 1 Exc &amp; Adj'!B53</f>
        <v>0</v>
      </c>
      <c r="D37" s="327">
        <f>'6. Year 1 Exc &amp; Adj'!I53</f>
        <v>0</v>
      </c>
      <c r="E37" s="17">
        <f>'6. Year 1 Exc &amp; Adj'!I53</f>
        <v>0</v>
      </c>
    </row>
    <row r="38" spans="1:5" x14ac:dyDescent="0.75">
      <c r="A38" s="223" t="str">
        <f>IF('3b. High Cost Fund'!B3="No","This exception is not valid for your state.","Exception (e)")</f>
        <v>This exception is not valid for your state.</v>
      </c>
      <c r="B38" s="332" t="str">
        <f>IF('3b. High Cost Fund'!B3="No","",'6. Year 1 Exc &amp; Adj'!B63)</f>
        <v/>
      </c>
      <c r="C38" s="333" t="str">
        <f>IF('3b. High Cost Fund'!B3="No","",'6. Year 1 Exc &amp; Adj'!B63)</f>
        <v/>
      </c>
      <c r="D38" s="327" t="str">
        <f>IF('3b. High Cost Fund'!B3="No","",'6. Year 1 Exc &amp; Adj'!I63)</f>
        <v/>
      </c>
      <c r="E38" s="332" t="str">
        <f>IF('3b. High Cost Fund'!B3="No","",'6. Year 1 Exc &amp; Adj'!I63)</f>
        <v/>
      </c>
    </row>
    <row r="39" spans="1:5" x14ac:dyDescent="0.75">
      <c r="A39" s="223" t="s">
        <v>144</v>
      </c>
      <c r="B39" s="17">
        <f>AdjDataYear1Budget[Projected Adjustment]</f>
        <v>0</v>
      </c>
      <c r="C39" s="17">
        <f>AdjDataYear1Budget[Projected Adjustment]</f>
        <v>0</v>
      </c>
      <c r="D39" s="328">
        <f>AdjDataYear1Expenditures[[Adjustment ]]</f>
        <v>0</v>
      </c>
      <c r="E39" s="17">
        <f>AdjDataYear1Expenditures[[Adjustment ]]</f>
        <v>0</v>
      </c>
    </row>
    <row r="40" spans="1:5" x14ac:dyDescent="0.75">
      <c r="A40" s="246" t="s">
        <v>124</v>
      </c>
      <c r="B40" s="329">
        <f>SUM(B34:B39)</f>
        <v>0</v>
      </c>
      <c r="C40" s="330">
        <f>SUM(C34:C39)</f>
        <v>0</v>
      </c>
      <c r="D40" s="331">
        <f>SUM(D34:D39)</f>
        <v>0</v>
      </c>
      <c r="E40" s="330">
        <f>SUM(E34:E39)</f>
        <v>0</v>
      </c>
    </row>
    <row r="41" spans="1:5" ht="30" customHeight="1" x14ac:dyDescent="0.75">
      <c r="A41" s="345" t="s">
        <v>183</v>
      </c>
      <c r="B41" s="346"/>
      <c r="C41" s="346"/>
      <c r="D41" s="346"/>
      <c r="E41" s="346"/>
    </row>
    <row r="42" spans="1:5" ht="16" x14ac:dyDescent="0.8">
      <c r="A42" s="358" t="s">
        <v>182</v>
      </c>
    </row>
    <row r="43" spans="1:5" x14ac:dyDescent="0.75">
      <c r="A43" s="373" t="s">
        <v>24</v>
      </c>
      <c r="B43" s="373"/>
      <c r="C43" s="373"/>
      <c r="D43" s="373"/>
      <c r="E43" s="373"/>
    </row>
  </sheetData>
  <sheetProtection algorithmName="SHA-512" hashValue="oW8bWF1G1u3IuswBdtDn4MQoBvVKyC/o7cBUn8n7LjP8AkM0+CcmuVJhtNTTQGNBK22WmfdgU/2riU1vZjYzew==" saltValue="qG0eHg4Nj1nhQ6Yp5EF2yw==" spinCount="100000" sheet="1" objects="1" scenarios="1" formatColumns="0" formatRows="0"/>
  <mergeCells count="5">
    <mergeCell ref="A11:E11"/>
    <mergeCell ref="A19:E19"/>
    <mergeCell ref="A28:E28"/>
    <mergeCell ref="A30:E30"/>
    <mergeCell ref="A43:E43"/>
  </mergeCells>
  <conditionalFormatting sqref="B17:E17">
    <cfRule type="containsText" dxfId="218" priority="1" operator="containsText" text="Did Not Meet">
      <formula>NOT(ISERROR(SEARCH("Did Not Meet",B17)))</formula>
    </cfRule>
    <cfRule type="containsText" dxfId="217" priority="2" operator="containsText" text="Met">
      <formula>NOT(ISERROR(SEARCH("Met",B17)))</formula>
    </cfRule>
  </conditionalFormatting>
  <hyperlinks>
    <hyperlink ref="A29" location="'4. Multi-Year MOE Summary'!A4" display="Go to the Multi-Year MOE Summary" xr:uid="{00000000-0004-0000-0700-000000000000}"/>
    <hyperlink ref="A42" r:id="rId1" xr:uid="{A79D3D01-6329-45A4-BC3D-1E5FB646A7CF}"/>
  </hyperlinks>
  <pageMargins left="0.7" right="0.7" top="0.75" bottom="0.75" header="0.3" footer="0.3"/>
  <pageSetup orientation="landscape" verticalDpi="300" r:id="rId2"/>
  <tableParts count="4">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pageSetUpPr autoPageBreaks="0"/>
  </sheetPr>
  <dimension ref="A1:N34"/>
  <sheetViews>
    <sheetView showGridLines="0" workbookViewId="0">
      <pane ySplit="4" topLeftCell="A5" activePane="bottomLeft" state="frozen"/>
      <selection activeCell="D21" sqref="D21"/>
      <selection pane="bottomLeft" activeCell="A5" sqref="A5"/>
    </sheetView>
  </sheetViews>
  <sheetFormatPr defaultColWidth="0" defaultRowHeight="16" zeroHeight="1" x14ac:dyDescent="0.75"/>
  <cols>
    <col min="1" max="1" width="39.40625" style="20" bestFit="1" customWidth="1"/>
    <col min="2" max="3" width="12.86328125" style="20" customWidth="1"/>
    <col min="4" max="6" width="23.7265625" style="20" customWidth="1"/>
    <col min="7" max="7" width="5.40625" style="20" customWidth="1"/>
    <col min="8" max="8" width="39.40625" style="20" customWidth="1"/>
    <col min="9" max="10" width="12.86328125" style="20" customWidth="1"/>
    <col min="11" max="13" width="23.7265625" style="20" customWidth="1"/>
    <col min="14" max="14" width="0.86328125" style="20" customWidth="1"/>
    <col min="15" max="16384" width="10.54296875" style="20" hidden="1"/>
  </cols>
  <sheetData>
    <row r="1" spans="1:13" ht="16.75" thickBot="1" x14ac:dyDescent="0.9">
      <c r="A1" s="19" t="s">
        <v>48</v>
      </c>
      <c r="B1" s="48"/>
      <c r="D1" s="21" t="s">
        <v>14</v>
      </c>
      <c r="E1" s="20" t="str">
        <f>IF('2. Getting Started'!B2="","",'2. Getting Started'!B2)</f>
        <v/>
      </c>
      <c r="G1" s="376" t="s">
        <v>22</v>
      </c>
      <c r="H1" s="19" t="s">
        <v>49</v>
      </c>
      <c r="I1" s="48"/>
      <c r="K1" s="21" t="s">
        <v>14</v>
      </c>
      <c r="L1" s="20" t="str">
        <f>IF('2. Getting Started'!B2="","",'2. Getting Started'!B2)</f>
        <v/>
      </c>
    </row>
    <row r="2" spans="1:13" s="25" customFormat="1" ht="37.9" customHeight="1" thickBot="1" x14ac:dyDescent="0.9">
      <c r="A2" s="22" t="str">
        <f>CONCATENATE("Eligibility Standard - State Fiscal Year ",'2. Getting Started'!B6+1," -  LEA Effort - Budgeted Amounts")</f>
        <v>Eligibility Standard - State Fiscal Year 2025 -  LEA Effort - Budgeted Amounts</v>
      </c>
      <c r="B2" s="23"/>
      <c r="C2" s="23"/>
      <c r="D2" s="23"/>
      <c r="E2" s="23"/>
      <c r="F2" s="24"/>
      <c r="G2" s="376"/>
      <c r="H2" s="22" t="str">
        <f>CONCATENATE("Compliance Standard - State Fiscal Year ",'2. Getting Started'!B6+1," - LEA Effort - Final Expenditures")</f>
        <v>Compliance Standard - State Fiscal Year 2025 - LEA Effort - Final Expenditures</v>
      </c>
      <c r="I2" s="23"/>
      <c r="J2" s="23"/>
      <c r="K2" s="23"/>
      <c r="L2" s="23"/>
      <c r="M2" s="24"/>
    </row>
    <row r="3" spans="1:13" s="25" customFormat="1" ht="24" customHeight="1" x14ac:dyDescent="0.75">
      <c r="A3" s="26"/>
      <c r="B3" s="27"/>
      <c r="D3" s="28" t="str">
        <f>CONCATENATE("SFY ",'2. Getting Started'!$B6+1," Budget")</f>
        <v>SFY 2025 Budget</v>
      </c>
      <c r="E3" s="29"/>
      <c r="F3" s="30"/>
      <c r="G3" s="376"/>
      <c r="H3" s="26"/>
      <c r="I3" s="27"/>
      <c r="J3" s="31"/>
      <c r="K3" s="28" t="str">
        <f>CONCATENATE("SFY ",'2. Getting Started'!$B6+1," Final Expenditures")</f>
        <v>SFY 2025 Final Expenditures</v>
      </c>
      <c r="L3" s="29"/>
      <c r="M3" s="32"/>
    </row>
    <row r="4" spans="1:13" s="37" customFormat="1" ht="18.5" x14ac:dyDescent="0.9">
      <c r="A4" s="33" t="s">
        <v>50</v>
      </c>
      <c r="B4" s="34" t="s">
        <v>51</v>
      </c>
      <c r="C4" s="35" t="s">
        <v>52</v>
      </c>
      <c r="D4" s="36" t="s">
        <v>53</v>
      </c>
      <c r="E4" s="36" t="s">
        <v>54</v>
      </c>
      <c r="F4" s="36" t="s">
        <v>8</v>
      </c>
      <c r="G4" s="376"/>
      <c r="H4" s="33" t="s">
        <v>50</v>
      </c>
      <c r="I4" s="34" t="s">
        <v>55</v>
      </c>
      <c r="J4" s="35" t="s">
        <v>52</v>
      </c>
      <c r="K4" s="36" t="s">
        <v>53</v>
      </c>
      <c r="L4" s="36" t="s">
        <v>54</v>
      </c>
      <c r="M4" s="36" t="s">
        <v>8</v>
      </c>
    </row>
    <row r="5" spans="1:13" x14ac:dyDescent="0.75">
      <c r="A5" s="49"/>
      <c r="B5" s="50"/>
      <c r="C5" s="51"/>
      <c r="D5" s="52"/>
      <c r="E5" s="52"/>
      <c r="F5" s="38" t="str">
        <f>IF(AND(D5="",E5=""),"",SUM(D5:E5))</f>
        <v/>
      </c>
      <c r="G5" s="376"/>
      <c r="H5" s="49"/>
      <c r="I5" s="50"/>
      <c r="J5" s="51"/>
      <c r="K5" s="52"/>
      <c r="L5" s="52"/>
      <c r="M5" s="38" t="str">
        <f>IF(AND(K5="",L5=""),"",SUM(K5:L5))</f>
        <v/>
      </c>
    </row>
    <row r="6" spans="1:13" x14ac:dyDescent="0.75">
      <c r="A6" s="49"/>
      <c r="B6" s="50"/>
      <c r="C6" s="51"/>
      <c r="D6" s="52"/>
      <c r="E6" s="52"/>
      <c r="F6" s="38" t="str">
        <f t="shared" ref="F6:F29" si="0">IF(AND(D6="",E6=""),"",SUM(D6:E6))</f>
        <v/>
      </c>
      <c r="G6" s="376"/>
      <c r="H6" s="49"/>
      <c r="I6" s="50"/>
      <c r="J6" s="51"/>
      <c r="K6" s="52"/>
      <c r="L6" s="52"/>
      <c r="M6" s="38" t="str">
        <f t="shared" ref="M6:M29" si="1">IF(AND(K6="",L6=""),"",SUM(K6:L6))</f>
        <v/>
      </c>
    </row>
    <row r="7" spans="1:13" x14ac:dyDescent="0.75">
      <c r="A7" s="49"/>
      <c r="B7" s="50"/>
      <c r="C7" s="51"/>
      <c r="D7" s="52"/>
      <c r="E7" s="52"/>
      <c r="F7" s="38" t="str">
        <f t="shared" si="0"/>
        <v/>
      </c>
      <c r="G7" s="376"/>
      <c r="H7" s="49"/>
      <c r="I7" s="50"/>
      <c r="J7" s="51"/>
      <c r="K7" s="52"/>
      <c r="L7" s="52"/>
      <c r="M7" s="38" t="str">
        <f t="shared" si="1"/>
        <v/>
      </c>
    </row>
    <row r="8" spans="1:13" x14ac:dyDescent="0.75">
      <c r="A8" s="49"/>
      <c r="B8" s="50"/>
      <c r="C8" s="51"/>
      <c r="D8" s="52"/>
      <c r="E8" s="52"/>
      <c r="F8" s="38" t="str">
        <f t="shared" si="0"/>
        <v/>
      </c>
      <c r="G8" s="376"/>
      <c r="H8" s="49"/>
      <c r="I8" s="50"/>
      <c r="J8" s="51"/>
      <c r="K8" s="52"/>
      <c r="L8" s="52"/>
      <c r="M8" s="38" t="str">
        <f t="shared" si="1"/>
        <v/>
      </c>
    </row>
    <row r="9" spans="1:13" x14ac:dyDescent="0.75">
      <c r="A9" s="49"/>
      <c r="B9" s="50"/>
      <c r="C9" s="51"/>
      <c r="D9" s="52"/>
      <c r="E9" s="52"/>
      <c r="F9" s="38" t="str">
        <f t="shared" si="0"/>
        <v/>
      </c>
      <c r="G9" s="376"/>
      <c r="H9" s="49"/>
      <c r="I9" s="50"/>
      <c r="J9" s="51"/>
      <c r="K9" s="52"/>
      <c r="L9" s="52"/>
      <c r="M9" s="38" t="str">
        <f t="shared" si="1"/>
        <v/>
      </c>
    </row>
    <row r="10" spans="1:13" x14ac:dyDescent="0.75">
      <c r="A10" s="49"/>
      <c r="B10" s="50"/>
      <c r="C10" s="51"/>
      <c r="D10" s="52"/>
      <c r="E10" s="52"/>
      <c r="F10" s="38" t="str">
        <f t="shared" si="0"/>
        <v/>
      </c>
      <c r="G10" s="376"/>
      <c r="H10" s="49"/>
      <c r="I10" s="50"/>
      <c r="J10" s="51"/>
      <c r="K10" s="52"/>
      <c r="L10" s="52"/>
      <c r="M10" s="38" t="str">
        <f t="shared" si="1"/>
        <v/>
      </c>
    </row>
    <row r="11" spans="1:13" x14ac:dyDescent="0.75">
      <c r="A11" s="49"/>
      <c r="B11" s="50"/>
      <c r="C11" s="51"/>
      <c r="D11" s="52"/>
      <c r="E11" s="52"/>
      <c r="F11" s="38" t="str">
        <f t="shared" si="0"/>
        <v/>
      </c>
      <c r="G11" s="376"/>
      <c r="H11" s="49"/>
      <c r="I11" s="50"/>
      <c r="J11" s="51"/>
      <c r="K11" s="52"/>
      <c r="L11" s="52"/>
      <c r="M11" s="38" t="str">
        <f t="shared" si="1"/>
        <v/>
      </c>
    </row>
    <row r="12" spans="1:13" x14ac:dyDescent="0.75">
      <c r="A12" s="49"/>
      <c r="B12" s="50"/>
      <c r="C12" s="51"/>
      <c r="D12" s="52"/>
      <c r="E12" s="52"/>
      <c r="F12" s="38" t="str">
        <f t="shared" si="0"/>
        <v/>
      </c>
      <c r="G12" s="376"/>
      <c r="H12" s="49"/>
      <c r="I12" s="50"/>
      <c r="J12" s="51"/>
      <c r="K12" s="52"/>
      <c r="L12" s="52"/>
      <c r="M12" s="38" t="str">
        <f t="shared" si="1"/>
        <v/>
      </c>
    </row>
    <row r="13" spans="1:13" x14ac:dyDescent="0.75">
      <c r="A13" s="49"/>
      <c r="B13" s="50"/>
      <c r="C13" s="51"/>
      <c r="D13" s="52"/>
      <c r="E13" s="52"/>
      <c r="F13" s="38" t="str">
        <f t="shared" si="0"/>
        <v/>
      </c>
      <c r="G13" s="376"/>
      <c r="H13" s="49"/>
      <c r="I13" s="50"/>
      <c r="J13" s="51"/>
      <c r="K13" s="52"/>
      <c r="L13" s="52"/>
      <c r="M13" s="38" t="str">
        <f t="shared" si="1"/>
        <v/>
      </c>
    </row>
    <row r="14" spans="1:13" x14ac:dyDescent="0.75">
      <c r="A14" s="49"/>
      <c r="B14" s="50"/>
      <c r="C14" s="51"/>
      <c r="D14" s="52"/>
      <c r="E14" s="52"/>
      <c r="F14" s="38" t="str">
        <f t="shared" si="0"/>
        <v/>
      </c>
      <c r="G14" s="376"/>
      <c r="H14" s="49"/>
      <c r="I14" s="50"/>
      <c r="J14" s="51"/>
      <c r="K14" s="52"/>
      <c r="L14" s="52"/>
      <c r="M14" s="38" t="str">
        <f t="shared" si="1"/>
        <v/>
      </c>
    </row>
    <row r="15" spans="1:13" x14ac:dyDescent="0.75">
      <c r="A15" s="49"/>
      <c r="B15" s="50"/>
      <c r="C15" s="51"/>
      <c r="D15" s="52"/>
      <c r="E15" s="52"/>
      <c r="F15" s="38" t="str">
        <f t="shared" si="0"/>
        <v/>
      </c>
      <c r="G15" s="376"/>
      <c r="H15" s="49"/>
      <c r="I15" s="50"/>
      <c r="J15" s="51"/>
      <c r="K15" s="52"/>
      <c r="L15" s="52"/>
      <c r="M15" s="38" t="str">
        <f t="shared" si="1"/>
        <v/>
      </c>
    </row>
    <row r="16" spans="1:13" x14ac:dyDescent="0.75">
      <c r="A16" s="49"/>
      <c r="B16" s="50"/>
      <c r="C16" s="51"/>
      <c r="D16" s="52"/>
      <c r="E16" s="52"/>
      <c r="F16" s="38" t="str">
        <f t="shared" si="0"/>
        <v/>
      </c>
      <c r="G16" s="376"/>
      <c r="H16" s="49"/>
      <c r="I16" s="50"/>
      <c r="J16" s="51"/>
      <c r="K16" s="52"/>
      <c r="L16" s="52"/>
      <c r="M16" s="38" t="str">
        <f t="shared" si="1"/>
        <v/>
      </c>
    </row>
    <row r="17" spans="1:13" x14ac:dyDescent="0.75">
      <c r="A17" s="49"/>
      <c r="B17" s="50"/>
      <c r="C17" s="51"/>
      <c r="D17" s="52"/>
      <c r="E17" s="52"/>
      <c r="F17" s="38" t="str">
        <f t="shared" si="0"/>
        <v/>
      </c>
      <c r="G17" s="376"/>
      <c r="H17" s="49"/>
      <c r="I17" s="50"/>
      <c r="J17" s="51"/>
      <c r="K17" s="52"/>
      <c r="L17" s="52"/>
      <c r="M17" s="38" t="str">
        <f t="shared" si="1"/>
        <v/>
      </c>
    </row>
    <row r="18" spans="1:13" x14ac:dyDescent="0.75">
      <c r="A18" s="49"/>
      <c r="B18" s="50"/>
      <c r="C18" s="51"/>
      <c r="D18" s="52"/>
      <c r="E18" s="52"/>
      <c r="F18" s="38" t="str">
        <f t="shared" si="0"/>
        <v/>
      </c>
      <c r="G18" s="376"/>
      <c r="H18" s="49"/>
      <c r="I18" s="50"/>
      <c r="J18" s="51"/>
      <c r="K18" s="52"/>
      <c r="L18" s="52"/>
      <c r="M18" s="38" t="str">
        <f t="shared" si="1"/>
        <v/>
      </c>
    </row>
    <row r="19" spans="1:13" x14ac:dyDescent="0.75">
      <c r="A19" s="49"/>
      <c r="B19" s="50"/>
      <c r="C19" s="51"/>
      <c r="D19" s="52"/>
      <c r="E19" s="52"/>
      <c r="F19" s="38" t="str">
        <f t="shared" si="0"/>
        <v/>
      </c>
      <c r="G19" s="376"/>
      <c r="H19" s="49"/>
      <c r="I19" s="50"/>
      <c r="J19" s="51"/>
      <c r="K19" s="52"/>
      <c r="L19" s="52"/>
      <c r="M19" s="38" t="str">
        <f t="shared" si="1"/>
        <v/>
      </c>
    </row>
    <row r="20" spans="1:13" x14ac:dyDescent="0.75">
      <c r="A20" s="49"/>
      <c r="B20" s="50"/>
      <c r="C20" s="51"/>
      <c r="D20" s="52"/>
      <c r="E20" s="52"/>
      <c r="F20" s="38" t="str">
        <f t="shared" si="0"/>
        <v/>
      </c>
      <c r="G20" s="376"/>
      <c r="H20" s="49"/>
      <c r="I20" s="50"/>
      <c r="J20" s="51"/>
      <c r="K20" s="52"/>
      <c r="L20" s="52"/>
      <c r="M20" s="38" t="str">
        <f t="shared" si="1"/>
        <v/>
      </c>
    </row>
    <row r="21" spans="1:13" x14ac:dyDescent="0.75">
      <c r="A21" s="49"/>
      <c r="B21" s="50"/>
      <c r="C21" s="51"/>
      <c r="D21" s="52"/>
      <c r="E21" s="52"/>
      <c r="F21" s="38" t="str">
        <f t="shared" si="0"/>
        <v/>
      </c>
      <c r="G21" s="376"/>
      <c r="H21" s="49"/>
      <c r="I21" s="50"/>
      <c r="J21" s="51"/>
      <c r="K21" s="52"/>
      <c r="L21" s="52"/>
      <c r="M21" s="38" t="str">
        <f t="shared" si="1"/>
        <v/>
      </c>
    </row>
    <row r="22" spans="1:13" x14ac:dyDescent="0.75">
      <c r="A22" s="49"/>
      <c r="B22" s="50"/>
      <c r="C22" s="51"/>
      <c r="D22" s="52"/>
      <c r="E22" s="52"/>
      <c r="F22" s="38" t="str">
        <f t="shared" si="0"/>
        <v/>
      </c>
      <c r="G22" s="376"/>
      <c r="H22" s="49"/>
      <c r="I22" s="50"/>
      <c r="J22" s="51"/>
      <c r="K22" s="52"/>
      <c r="L22" s="52"/>
      <c r="M22" s="38" t="str">
        <f t="shared" si="1"/>
        <v/>
      </c>
    </row>
    <row r="23" spans="1:13" x14ac:dyDescent="0.75">
      <c r="A23" s="49"/>
      <c r="B23" s="50"/>
      <c r="C23" s="51"/>
      <c r="D23" s="52"/>
      <c r="E23" s="52"/>
      <c r="F23" s="38" t="str">
        <f t="shared" si="0"/>
        <v/>
      </c>
      <c r="G23" s="376"/>
      <c r="H23" s="49"/>
      <c r="I23" s="50"/>
      <c r="J23" s="51"/>
      <c r="K23" s="52"/>
      <c r="L23" s="52"/>
      <c r="M23" s="38" t="str">
        <f t="shared" si="1"/>
        <v/>
      </c>
    </row>
    <row r="24" spans="1:13" x14ac:dyDescent="0.75">
      <c r="A24" s="49"/>
      <c r="B24" s="50"/>
      <c r="C24" s="51"/>
      <c r="D24" s="52"/>
      <c r="E24" s="52"/>
      <c r="F24" s="38" t="str">
        <f t="shared" si="0"/>
        <v/>
      </c>
      <c r="G24" s="376"/>
      <c r="H24" s="49"/>
      <c r="I24" s="50"/>
      <c r="J24" s="51"/>
      <c r="K24" s="52"/>
      <c r="L24" s="52"/>
      <c r="M24" s="38" t="str">
        <f t="shared" si="1"/>
        <v/>
      </c>
    </row>
    <row r="25" spans="1:13" x14ac:dyDescent="0.75">
      <c r="A25" s="49"/>
      <c r="B25" s="50"/>
      <c r="C25" s="51"/>
      <c r="D25" s="52"/>
      <c r="E25" s="52"/>
      <c r="F25" s="38" t="str">
        <f t="shared" si="0"/>
        <v/>
      </c>
      <c r="G25" s="376"/>
      <c r="H25" s="49"/>
      <c r="I25" s="50"/>
      <c r="J25" s="51"/>
      <c r="K25" s="52"/>
      <c r="L25" s="52"/>
      <c r="M25" s="38" t="str">
        <f t="shared" si="1"/>
        <v/>
      </c>
    </row>
    <row r="26" spans="1:13" x14ac:dyDescent="0.75">
      <c r="A26" s="49"/>
      <c r="B26" s="50"/>
      <c r="C26" s="51"/>
      <c r="D26" s="52"/>
      <c r="E26" s="52"/>
      <c r="F26" s="38" t="str">
        <f t="shared" si="0"/>
        <v/>
      </c>
      <c r="G26" s="376"/>
      <c r="H26" s="49"/>
      <c r="I26" s="50"/>
      <c r="J26" s="51"/>
      <c r="K26" s="52"/>
      <c r="L26" s="52"/>
      <c r="M26" s="38" t="str">
        <f t="shared" si="1"/>
        <v/>
      </c>
    </row>
    <row r="27" spans="1:13" x14ac:dyDescent="0.75">
      <c r="A27" s="49"/>
      <c r="B27" s="50"/>
      <c r="C27" s="51"/>
      <c r="D27" s="52"/>
      <c r="E27" s="52"/>
      <c r="F27" s="38" t="str">
        <f t="shared" si="0"/>
        <v/>
      </c>
      <c r="G27" s="376"/>
      <c r="H27" s="49"/>
      <c r="I27" s="50"/>
      <c r="J27" s="51"/>
      <c r="K27" s="52"/>
      <c r="L27" s="52"/>
      <c r="M27" s="38" t="str">
        <f t="shared" si="1"/>
        <v/>
      </c>
    </row>
    <row r="28" spans="1:13" x14ac:dyDescent="0.75">
      <c r="A28" s="49"/>
      <c r="B28" s="50"/>
      <c r="C28" s="51"/>
      <c r="D28" s="52"/>
      <c r="E28" s="52"/>
      <c r="F28" s="38" t="str">
        <f t="shared" si="0"/>
        <v/>
      </c>
      <c r="G28" s="376"/>
      <c r="H28" s="49"/>
      <c r="I28" s="50"/>
      <c r="J28" s="51"/>
      <c r="K28" s="52"/>
      <c r="L28" s="52"/>
      <c r="M28" s="38" t="str">
        <f t="shared" si="1"/>
        <v/>
      </c>
    </row>
    <row r="29" spans="1:13" ht="16.75" thickBot="1" x14ac:dyDescent="0.9">
      <c r="A29" s="53"/>
      <c r="B29" s="54"/>
      <c r="C29" s="55"/>
      <c r="D29" s="56"/>
      <c r="E29" s="56"/>
      <c r="F29" s="38" t="str">
        <f t="shared" si="0"/>
        <v/>
      </c>
      <c r="G29" s="376"/>
      <c r="H29" s="53"/>
      <c r="I29" s="54"/>
      <c r="J29" s="55"/>
      <c r="K29" s="56"/>
      <c r="L29" s="56"/>
      <c r="M29" s="38" t="str">
        <f t="shared" si="1"/>
        <v/>
      </c>
    </row>
    <row r="30" spans="1:13" ht="19.25" thickBot="1" x14ac:dyDescent="0.9">
      <c r="A30" s="39"/>
      <c r="B30" s="40"/>
      <c r="C30" s="41" t="s">
        <v>56</v>
      </c>
      <c r="D30" s="42" t="str">
        <f>IF(AND(D5="",D6="",D7="",D8="",D9="",D10="",D11="",D12="",D13="",D14="",D15="",D16="",D17="",D18="",D19="",D20="",D21="",D22="",D23="",D24="",D25="",D26="",D27="",D28="",D29=""),"",SUM(D5:D29))</f>
        <v/>
      </c>
      <c r="E30" s="43"/>
      <c r="F30" s="42" t="str">
        <f>IF(AND(F5="",F6="",F7="",F8="",F9="",F10="",F11="",F12="",F13="",F14="",F15="",F16="",F17="",F18="",F19="",F20="",F21="",F22="",F23="",F24="",F25="",F26="",F27="",F28="",F29=""),"",SUM(F5:F29))</f>
        <v/>
      </c>
      <c r="G30" s="376"/>
      <c r="H30" s="39"/>
      <c r="I30" s="40"/>
      <c r="J30" s="41" t="s">
        <v>56</v>
      </c>
      <c r="K30" s="42" t="str">
        <f>IF(AND(K5="",K6="",K7="",K8="",K9="",K10="",K11="",K12="",K13="",K14="",K15="",K16="",K17="",K18="",K19="",K20="",K21="",K22="",K23="",K24="",K25="",K26="",K27="",K28="",K29=""),"",SUM(K5:K29))</f>
        <v/>
      </c>
      <c r="L30" s="43"/>
      <c r="M30" s="42" t="str">
        <f>IF(AND(M5="",M6="",M7="",M8="",M9="",M10="",M11="",M12="",M13="",M14="",M15="",M16="",M17="",M18="",M19="",M20="",M21="",M22="",M23="",M24="",M25="",M26="",M27="",M28="",M29=""),"",SUM(M5:M29))</f>
        <v/>
      </c>
    </row>
    <row r="31" spans="1:13" ht="19.25" thickBot="1" x14ac:dyDescent="0.9">
      <c r="A31" s="39"/>
      <c r="B31" s="39"/>
      <c r="C31" s="44" t="s">
        <v>57</v>
      </c>
      <c r="D31" s="42" t="str">
        <f>IF(OR($B1="",D30=""),"",(D30/$B1))</f>
        <v/>
      </c>
      <c r="E31" s="39"/>
      <c r="F31" s="42" t="str">
        <f>IF(OR($B1="",F30=""),"",(F30/$B1))</f>
        <v/>
      </c>
      <c r="G31" s="376"/>
      <c r="H31" s="39"/>
      <c r="I31" s="39"/>
      <c r="J31" s="44" t="s">
        <v>57</v>
      </c>
      <c r="K31" s="42" t="str">
        <f>IF(OR($I1="",K30=""),"",(K30/$I1))</f>
        <v/>
      </c>
      <c r="L31" s="39"/>
      <c r="M31" s="42" t="str">
        <f>IF(OR($I1="",M30=""),"",(M30/$I1))</f>
        <v/>
      </c>
    </row>
    <row r="32" spans="1:13" s="25" customFormat="1" ht="18.5" x14ac:dyDescent="0.65">
      <c r="A32" s="345" t="s">
        <v>183</v>
      </c>
      <c r="B32" s="45"/>
      <c r="C32" s="45"/>
      <c r="D32" s="45"/>
      <c r="E32" s="45"/>
      <c r="F32" s="45"/>
      <c r="G32" s="45"/>
      <c r="H32" s="45"/>
      <c r="I32" s="45"/>
      <c r="J32" s="45"/>
      <c r="K32" s="45"/>
      <c r="L32" s="45"/>
      <c r="M32" s="45"/>
    </row>
    <row r="33" spans="1:13" s="47" customFormat="1" x14ac:dyDescent="0.8">
      <c r="A33" s="358" t="s">
        <v>182</v>
      </c>
      <c r="B33" s="46"/>
      <c r="C33" s="46"/>
      <c r="D33" s="46"/>
      <c r="E33" s="46"/>
      <c r="F33" s="46"/>
      <c r="G33" s="46"/>
      <c r="H33" s="46"/>
      <c r="I33" s="46"/>
      <c r="J33" s="46"/>
      <c r="K33" s="46"/>
      <c r="L33" s="46"/>
      <c r="M33" s="46"/>
    </row>
    <row r="34" spans="1:13" s="25" customFormat="1" ht="18.5" x14ac:dyDescent="0.75">
      <c r="A34" s="377" t="s">
        <v>24</v>
      </c>
      <c r="B34" s="377"/>
      <c r="C34" s="377"/>
      <c r="D34" s="377"/>
      <c r="E34" s="377"/>
      <c r="F34" s="377"/>
      <c r="G34" s="377"/>
      <c r="H34" s="377"/>
      <c r="I34" s="377"/>
      <c r="J34" s="377"/>
      <c r="K34" s="377"/>
      <c r="L34" s="377"/>
      <c r="M34" s="377"/>
    </row>
  </sheetData>
  <sheetProtection algorithmName="SHA-512" hashValue="rHCZ1EH9LD9SKdDsIIBIHhYDX9YoUNh3f+wacdIynnUEZdsixC4Hu+16o80LYo39mLlwGy86yvdofSw+sPYlRg==" saltValue="ppvv/Yec0NE5o4O1PtvLXA=="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0800-000000000000}"/>
    <dataValidation allowBlank="1" showInputMessage="1" showErrorMessage="1" prompt="Don't forget to enter Child Count in Cell I1." sqref="H5" xr:uid="{00000000-0002-0000-0800-000001000000}"/>
  </dataValidations>
  <hyperlinks>
    <hyperlink ref="A33" r:id="rId1" xr:uid="{A1857979-CC37-49AB-8676-9DD26D7A8A91}"/>
  </hyperlinks>
  <pageMargins left="0.75" right="0.75" top="1" bottom="1" header="0.5" footer="0.5"/>
  <pageSetup orientation="portrait" horizontalDpi="4294967292" verticalDpi="4294967292"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40</vt:i4>
      </vt:variant>
    </vt:vector>
  </HeadingPairs>
  <TitlesOfParts>
    <vt:vector size="84" baseType="lpstr">
      <vt:lpstr>1. Title Page</vt:lpstr>
      <vt:lpstr>2. Getting Started</vt:lpstr>
      <vt:lpstr>3a. Intervening Years</vt:lpstr>
      <vt:lpstr>3b. High Cost Fund</vt:lpstr>
      <vt:lpstr>4. Multi-Year MOE Summary</vt:lpstr>
      <vt:lpstr>5. Year 1 Amounts</vt:lpstr>
      <vt:lpstr>6. Year 1 Exc &amp; Adj</vt:lpstr>
      <vt:lpstr>7. Year 1 Summary</vt:lpstr>
      <vt:lpstr>8. Year 2 Amounts</vt:lpstr>
      <vt:lpstr>9. Year 2 Exc &amp; Adj</vt:lpstr>
      <vt:lpstr>10. Year 2 Summary</vt:lpstr>
      <vt:lpstr>11. Year 3 Amounts</vt:lpstr>
      <vt:lpstr>12. Year 3 Exc &amp; Adj</vt:lpstr>
      <vt:lpstr>13. Year 3 Summary</vt:lpstr>
      <vt:lpstr>14. Year 4 Amounts</vt:lpstr>
      <vt:lpstr>15. Year 4 Exc &amp; Adj</vt:lpstr>
      <vt:lpstr>16. Year 4 Summary</vt:lpstr>
      <vt:lpstr>17. Year 5 Amounts</vt:lpstr>
      <vt:lpstr>18. Year 5 Exc &amp; Adj</vt:lpstr>
      <vt:lpstr>19. Year 5 Summary</vt:lpstr>
      <vt:lpstr>20. Year 6 Amounts</vt:lpstr>
      <vt:lpstr>21. Year 6 Exc &amp; Adj</vt:lpstr>
      <vt:lpstr>22. Year 6 Summary</vt:lpstr>
      <vt:lpstr>23. Year 7 Amounts</vt:lpstr>
      <vt:lpstr>24. Year 7 Exc &amp; Adj</vt:lpstr>
      <vt:lpstr>25. Year 7 Summary</vt:lpstr>
      <vt:lpstr>26. Year 8 Amounts</vt:lpstr>
      <vt:lpstr>27. Year 8 Exc &amp; Adj</vt:lpstr>
      <vt:lpstr>28. Year 8 Summary</vt:lpstr>
      <vt:lpstr>29. Year 9 Amounts</vt:lpstr>
      <vt:lpstr>30. Year 9 Exc &amp; Adj</vt:lpstr>
      <vt:lpstr>31. Year 9 Summary</vt:lpstr>
      <vt:lpstr>32. Year 10 Amounts</vt:lpstr>
      <vt:lpstr>33. Year 10 Exc &amp; Adj</vt:lpstr>
      <vt:lpstr>34. Year 10 Summary</vt:lpstr>
      <vt:lpstr>35. Year 11 Amounts</vt:lpstr>
      <vt:lpstr>36. Year 11 Exc &amp; Adj</vt:lpstr>
      <vt:lpstr>37. Year 11 Summary</vt:lpstr>
      <vt:lpstr>38. Total Local Funds</vt:lpstr>
      <vt:lpstr>39. Total State &amp; Local Funds</vt:lpstr>
      <vt:lpstr>40. Local Funds Per Capita</vt:lpstr>
      <vt:lpstr>41. State &amp; Local Funds Per Cap</vt:lpstr>
      <vt:lpstr>42. SEA or LEA Worksheet</vt:lpstr>
      <vt:lpstr>43. SEA Guidance</vt:lpstr>
      <vt:lpstr>Exception_c</vt:lpstr>
      <vt:lpstr>'4. Multi-Year MOE Summary'!Print_Area</vt:lpstr>
      <vt:lpstr>'10. Year 2 Summary'!Print_Titles</vt:lpstr>
      <vt:lpstr>'11. Year 3 Amounts'!Print_Titles</vt:lpstr>
      <vt:lpstr>'12. Year 3 Exc &amp; Adj'!Print_Titles</vt:lpstr>
      <vt:lpstr>'13. Year 3 Summary'!Print_Titles</vt:lpstr>
      <vt:lpstr>'14. Year 4 Amounts'!Print_Titles</vt:lpstr>
      <vt:lpstr>'15. Year 4 Exc &amp; Adj'!Print_Titles</vt:lpstr>
      <vt:lpstr>'16. Year 4 Summary'!Print_Titles</vt:lpstr>
      <vt:lpstr>'17. Year 5 Amounts'!Print_Titles</vt:lpstr>
      <vt:lpstr>'18. Year 5 Exc &amp; Adj'!Print_Titles</vt:lpstr>
      <vt:lpstr>'19. Year 5 Summary'!Print_Titles</vt:lpstr>
      <vt:lpstr>'20. Year 6 Amounts'!Print_Titles</vt:lpstr>
      <vt:lpstr>'21. Year 6 Exc &amp; Adj'!Print_Titles</vt:lpstr>
      <vt:lpstr>'22. Year 6 Summary'!Print_Titles</vt:lpstr>
      <vt:lpstr>'23. Year 7 Amounts'!Print_Titles</vt:lpstr>
      <vt:lpstr>'24. Year 7 Exc &amp; Adj'!Print_Titles</vt:lpstr>
      <vt:lpstr>'25. Year 7 Summary'!Print_Titles</vt:lpstr>
      <vt:lpstr>'26. Year 8 Amounts'!Print_Titles</vt:lpstr>
      <vt:lpstr>'27. Year 8 Exc &amp; Adj'!Print_Titles</vt:lpstr>
      <vt:lpstr>'28. Year 8 Summary'!Print_Titles</vt:lpstr>
      <vt:lpstr>'29. Year 9 Amounts'!Print_Titles</vt:lpstr>
      <vt:lpstr>'30. Year 9 Exc &amp; Adj'!Print_Titles</vt:lpstr>
      <vt:lpstr>'31. Year 9 Summary'!Print_Titles</vt:lpstr>
      <vt:lpstr>'32. Year 10 Amounts'!Print_Titles</vt:lpstr>
      <vt:lpstr>'33. Year 10 Exc &amp; Adj'!Print_Titles</vt:lpstr>
      <vt:lpstr>'34. Year 10 Summary'!Print_Titles</vt:lpstr>
      <vt:lpstr>'35. Year 11 Amounts'!Print_Titles</vt:lpstr>
      <vt:lpstr>'36. Year 11 Exc &amp; Adj'!Print_Titles</vt:lpstr>
      <vt:lpstr>'37. Year 11 Summary'!Print_Titles</vt:lpstr>
      <vt:lpstr>'38. Total Local Funds'!Print_Titles</vt:lpstr>
      <vt:lpstr>'39. Total State &amp; Local Funds'!Print_Titles</vt:lpstr>
      <vt:lpstr>'4. Multi-Year MOE Summary'!Print_Titles</vt:lpstr>
      <vt:lpstr>'40. Local Funds Per Capita'!Print_Titles</vt:lpstr>
      <vt:lpstr>'41. State &amp; Local Funds Per Cap'!Print_Titles</vt:lpstr>
      <vt:lpstr>'5. Year 1 Amounts'!Print_Titles</vt:lpstr>
      <vt:lpstr>'6. Year 1 Exc &amp; Adj'!Print_Titles</vt:lpstr>
      <vt:lpstr>'7. Year 1 Summary'!Print_Titles</vt:lpstr>
      <vt:lpstr>'8. Year 2 Amounts'!Print_Titles</vt:lpstr>
      <vt:lpstr>'9. Year 2 Exc &amp; Adj'!Print_Titles</vt:lpstr>
    </vt:vector>
  </TitlesOfParts>
  <Company>Westat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LEAMOECalculator2.0</dc:title>
  <dc:creator>CIFR</dc:creator>
  <cp:keywords>LEA MOE, Calculator, Fiscal Monitoring, CIFR, IDEA</cp:keywords>
  <cp:lastModifiedBy>Trakas, Alycia</cp:lastModifiedBy>
  <cp:lastPrinted>2021-05-03T15:30:13Z</cp:lastPrinted>
  <dcterms:created xsi:type="dcterms:W3CDTF">2020-09-22T15:25:03Z</dcterms:created>
  <dcterms:modified xsi:type="dcterms:W3CDTF">2024-11-20T15:54:04Z</dcterms:modified>
</cp:coreProperties>
</file>