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1460" windowHeight="11640" activeTab="0"/>
  </bookViews>
  <sheets>
    <sheet name="State-Level Activities" sheetId="1" r:id="rId1"/>
    <sheet name="1" sheetId="2" r:id="rId2"/>
    <sheet name="2" sheetId="3" r:id="rId3"/>
    <sheet name="3" sheetId="4" r:id="rId4"/>
    <sheet name="4" sheetId="5" r:id="rId5"/>
    <sheet name="5" sheetId="6" r:id="rId6"/>
  </sheets>
  <definedNames>
    <definedName name="admin">'4'!$A$4:$T$61</definedName>
    <definedName name="admin_year">'4'!$A$3:$T$3</definedName>
    <definedName name="APPE">#REF!</definedName>
    <definedName name="APPE_adj">#REF!</definedName>
    <definedName name="APPE_adj_year_row">#REF!</definedName>
    <definedName name="APPE_title_row">#REF!</definedName>
    <definedName name="childcount">#REF!</definedName>
    <definedName name="childcount_title_row">#REF!</definedName>
    <definedName name="childcount2007">#REF!</definedName>
    <definedName name="fund_table">'2'!$A$2:$V$60</definedName>
    <definedName name="FY_Inflation">'3'!$A$22:$W$22</definedName>
    <definedName name="FY_Inflation_year_row">'3'!$A$6:$W$6</definedName>
    <definedName name="level">#REF!</definedName>
    <definedName name="max_funding">#REF!</definedName>
    <definedName name="max_funding_year_row">#REF!</definedName>
    <definedName name="other">'5'!$A$5:$Q$61</definedName>
    <definedName name="other_label">'5'!$A$2:$Q$2</definedName>
    <definedName name="pop_acs_table">#REF!</definedName>
    <definedName name="pop_est_table">#REF!</definedName>
    <definedName name="pop_est_year_row">#REF!</definedName>
    <definedName name="pop_table">#REF!</definedName>
    <definedName name="pov_acs_table">#REF!</definedName>
    <definedName name="pov_est_table">#REF!</definedName>
    <definedName name="_xlnm.Print_Area" localSheetId="1">'1'!$A$1:$D$63</definedName>
    <definedName name="share">#REF!</definedName>
    <definedName name="share_year_row">#REF!</definedName>
    <definedName name="stimulus">'1'!$A$5:$D$63</definedName>
    <definedName name="stimulus_labels">'1'!$A$2:$D$2</definedName>
    <definedName name="var_table">#REF!</definedName>
    <definedName name="year_row">'2'!$A$1:$V$1</definedName>
  </definedNames>
  <calcPr fullCalcOnLoad="1"/>
</workbook>
</file>

<file path=xl/comments1.xml><?xml version="1.0" encoding="utf-8"?>
<comments xmlns="http://schemas.openxmlformats.org/spreadsheetml/2006/main">
  <authors>
    <author>gregory.frane</author>
  </authors>
  <commentList>
    <comment ref="B18" authorId="0">
      <text>
        <r>
          <rPr>
            <b/>
            <sz val="8"/>
            <rFont val="Tahoma"/>
            <family val="0"/>
          </rPr>
          <t xml:space="preserve">See 20 U.S.C. 1411(e)(1)(A) and 1411(e)(3)(B)(i)
</t>
        </r>
      </text>
    </comment>
    <comment ref="B24" authorId="0">
      <text>
        <r>
          <rPr>
            <b/>
            <sz val="8"/>
            <rFont val="Tahoma"/>
            <family val="0"/>
          </rPr>
          <t xml:space="preserve">See 20 U.S.C. 1411(e)(1)(D)
</t>
        </r>
      </text>
    </comment>
    <comment ref="B28" authorId="0">
      <text>
        <r>
          <rPr>
            <b/>
            <sz val="8"/>
            <rFont val="Tahoma"/>
            <family val="0"/>
          </rPr>
          <t>See 20 U.S.C. 1411(e)(6) and 1411(e)(1)(B)</t>
        </r>
        <r>
          <rPr>
            <sz val="8"/>
            <rFont val="Tahoma"/>
            <family val="0"/>
          </rPr>
          <t xml:space="preserve">
</t>
        </r>
      </text>
    </comment>
    <comment ref="C35" authorId="0">
      <text>
        <r>
          <rPr>
            <b/>
            <sz val="8"/>
            <rFont val="Tahoma"/>
            <family val="0"/>
          </rPr>
          <t>See 20 U.S.C. 1411(e)(2)(C)(i)</t>
        </r>
        <r>
          <rPr>
            <sz val="8"/>
            <rFont val="Tahoma"/>
            <family val="0"/>
          </rPr>
          <t xml:space="preserve">
</t>
        </r>
      </text>
    </comment>
    <comment ref="C38" authorId="0">
      <text>
        <r>
          <rPr>
            <b/>
            <sz val="8"/>
            <rFont val="Tahoma"/>
            <family val="0"/>
          </rPr>
          <t>See 20 U.S.C. 1411(e)(2)(C)(iii)</t>
        </r>
        <r>
          <rPr>
            <sz val="8"/>
            <rFont val="Tahoma"/>
            <family val="0"/>
          </rPr>
          <t xml:space="preserve">
</t>
        </r>
      </text>
    </comment>
    <comment ref="C42" authorId="0">
      <text>
        <r>
          <rPr>
            <b/>
            <sz val="8"/>
            <rFont val="Tahoma"/>
            <family val="2"/>
          </rPr>
          <t>See 20 U.S.C. 1411(e)(2)(C)(vii)</t>
        </r>
        <r>
          <rPr>
            <sz val="8"/>
            <rFont val="Tahoma"/>
            <family val="0"/>
          </rPr>
          <t xml:space="preserve">
</t>
        </r>
      </text>
    </comment>
    <comment ref="C44" authorId="0">
      <text>
        <r>
          <rPr>
            <b/>
            <sz val="8"/>
            <rFont val="Tahoma"/>
            <family val="0"/>
          </rPr>
          <t>See 20 U.S.C. 1411(e)(2)(C)(viii)</t>
        </r>
        <r>
          <rPr>
            <sz val="8"/>
            <rFont val="Tahoma"/>
            <family val="0"/>
          </rPr>
          <t xml:space="preserve">
</t>
        </r>
      </text>
    </comment>
    <comment ref="B51" authorId="0">
      <text>
        <r>
          <rPr>
            <b/>
            <sz val="8"/>
            <rFont val="Tahoma"/>
            <family val="0"/>
          </rPr>
          <t xml:space="preserve">See 20 U.S.C. 1411(e)(7)
</t>
        </r>
      </text>
    </comment>
    <comment ref="A71" authorId="0">
      <text>
        <r>
          <rPr>
            <b/>
            <sz val="8"/>
            <rFont val="Tahoma"/>
            <family val="0"/>
          </rPr>
          <t>See 20 U.S.C. 1411(e)(2)(A)(i)</t>
        </r>
        <r>
          <rPr>
            <sz val="8"/>
            <rFont val="Tahoma"/>
            <family val="0"/>
          </rPr>
          <t xml:space="preserve">
</t>
        </r>
      </text>
    </comment>
    <comment ref="A77" authorId="0">
      <text>
        <r>
          <rPr>
            <b/>
            <sz val="8"/>
            <rFont val="Tahoma"/>
            <family val="0"/>
          </rPr>
          <t>See 20 U.S.C. 1411(e)(2)(A)(i) and 20 U.S.C. 1411(e)(2)(A)(iii)(I)</t>
        </r>
        <r>
          <rPr>
            <sz val="8"/>
            <rFont val="Tahoma"/>
            <family val="0"/>
          </rPr>
          <t xml:space="preserve">
</t>
        </r>
      </text>
    </comment>
    <comment ref="A81" authorId="0">
      <text>
        <r>
          <rPr>
            <b/>
            <sz val="8"/>
            <rFont val="Tahoma"/>
            <family val="0"/>
          </rPr>
          <t>See 20 U.S.C. 1411(e)(2)(A)(ii)</t>
        </r>
        <r>
          <rPr>
            <sz val="8"/>
            <rFont val="Tahoma"/>
            <family val="0"/>
          </rPr>
          <t xml:space="preserve">
</t>
        </r>
      </text>
    </comment>
    <comment ref="A87" authorId="0">
      <text>
        <r>
          <rPr>
            <b/>
            <sz val="8"/>
            <rFont val="Tahoma"/>
            <family val="0"/>
          </rPr>
          <t>See 20 U.S.C. 1411(e)(2)(A)(ii) and 20 U.S.C. 1411(e)(2)(A)(iii)(II)</t>
        </r>
        <r>
          <rPr>
            <sz val="8"/>
            <rFont val="Tahoma"/>
            <family val="0"/>
          </rPr>
          <t xml:space="preserve">
</t>
        </r>
      </text>
    </comment>
    <comment ref="A92" authorId="0">
      <text>
        <r>
          <rPr>
            <b/>
            <sz val="8"/>
            <rFont val="Tahoma"/>
            <family val="0"/>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rFont val="Tahoma"/>
            <family val="0"/>
          </rPr>
          <t xml:space="preserve">
</t>
        </r>
      </text>
    </comment>
    <comment ref="C116" authorId="0">
      <text>
        <r>
          <rPr>
            <b/>
            <sz val="8"/>
            <rFont val="Tahoma"/>
            <family val="0"/>
          </rPr>
          <t>See 20 U.S.C. 1411(e)(2)(B)(i)</t>
        </r>
        <r>
          <rPr>
            <sz val="8"/>
            <rFont val="Tahoma"/>
            <family val="0"/>
          </rPr>
          <t xml:space="preserve">
</t>
        </r>
      </text>
    </comment>
    <comment ref="C119" authorId="0">
      <text>
        <r>
          <rPr>
            <b/>
            <sz val="8"/>
            <rFont val="Tahoma"/>
            <family val="0"/>
          </rPr>
          <t>See 20 U.S.C. 1411(e)(2)(B)(ii)</t>
        </r>
        <r>
          <rPr>
            <sz val="8"/>
            <rFont val="Tahoma"/>
            <family val="0"/>
          </rPr>
          <t xml:space="preserve">
</t>
        </r>
      </text>
    </comment>
    <comment ref="C125" authorId="0">
      <text>
        <r>
          <rPr>
            <b/>
            <sz val="8"/>
            <rFont val="Tahoma"/>
            <family val="0"/>
          </rPr>
          <t>See 20 U.S.C. 1411(e)(2)(C)(i)</t>
        </r>
        <r>
          <rPr>
            <sz val="8"/>
            <rFont val="Tahoma"/>
            <family val="0"/>
          </rPr>
          <t xml:space="preserve">
</t>
        </r>
      </text>
    </comment>
    <comment ref="C128" authorId="0">
      <text>
        <r>
          <rPr>
            <b/>
            <sz val="8"/>
            <rFont val="Tahoma"/>
            <family val="0"/>
          </rPr>
          <t>See 20 U.S.C. 1411(e)(2)(C)(iii)</t>
        </r>
        <r>
          <rPr>
            <sz val="8"/>
            <rFont val="Tahoma"/>
            <family val="0"/>
          </rPr>
          <t xml:space="preserve">
</t>
        </r>
      </text>
    </comment>
    <comment ref="C132" authorId="0">
      <text>
        <r>
          <rPr>
            <b/>
            <sz val="8"/>
            <rFont val="Tahoma"/>
            <family val="0"/>
          </rPr>
          <t>See 20 U.S.C. 1411(e)(2)(C)(vii)</t>
        </r>
        <r>
          <rPr>
            <sz val="8"/>
            <rFont val="Tahoma"/>
            <family val="0"/>
          </rPr>
          <t xml:space="preserve">
</t>
        </r>
      </text>
    </comment>
    <comment ref="C134" authorId="0">
      <text>
        <r>
          <rPr>
            <b/>
            <sz val="8"/>
            <rFont val="Tahoma"/>
            <family val="0"/>
          </rPr>
          <t>See 20 U.S.C. 1411(e)(2)(C)(viii)</t>
        </r>
        <r>
          <rPr>
            <sz val="8"/>
            <rFont val="Tahoma"/>
            <family val="0"/>
          </rPr>
          <t xml:space="preserve">
</t>
        </r>
      </text>
    </comment>
    <comment ref="C137" authorId="0">
      <text>
        <r>
          <rPr>
            <b/>
            <sz val="8"/>
            <rFont val="Tahoma"/>
            <family val="0"/>
          </rPr>
          <t>See 20 U.S.C. 1411(e)(2)(C)(ii)</t>
        </r>
        <r>
          <rPr>
            <sz val="8"/>
            <rFont val="Tahoma"/>
            <family val="0"/>
          </rPr>
          <t xml:space="preserve">
</t>
        </r>
      </text>
    </comment>
    <comment ref="C140" authorId="0">
      <text>
        <r>
          <rPr>
            <b/>
            <sz val="8"/>
            <rFont val="Tahoma"/>
            <family val="0"/>
          </rPr>
          <t>See 20 U.S.C. 1411(e)(2)(C)(iv)</t>
        </r>
        <r>
          <rPr>
            <sz val="8"/>
            <rFont val="Tahoma"/>
            <family val="0"/>
          </rPr>
          <t xml:space="preserve">
</t>
        </r>
      </text>
    </comment>
    <comment ref="C143" authorId="0">
      <text>
        <r>
          <rPr>
            <b/>
            <sz val="8"/>
            <rFont val="Tahoma"/>
            <family val="0"/>
          </rPr>
          <t>See 20 U.S.C. 1411(e)(2)(C)(v)</t>
        </r>
        <r>
          <rPr>
            <sz val="8"/>
            <rFont val="Tahoma"/>
            <family val="0"/>
          </rPr>
          <t xml:space="preserve">
</t>
        </r>
      </text>
    </comment>
    <comment ref="C147" authorId="0">
      <text>
        <r>
          <rPr>
            <b/>
            <sz val="8"/>
            <rFont val="Tahoma"/>
            <family val="0"/>
          </rPr>
          <t>See 20 U.S.C. 1411(e)(2)(C)(vi)</t>
        </r>
        <r>
          <rPr>
            <sz val="8"/>
            <rFont val="Tahoma"/>
            <family val="0"/>
          </rPr>
          <t xml:space="preserve">
</t>
        </r>
      </text>
    </comment>
    <comment ref="C151" authorId="0">
      <text>
        <r>
          <rPr>
            <b/>
            <sz val="8"/>
            <rFont val="Tahoma"/>
            <family val="0"/>
          </rPr>
          <t>See 20 U.S.C. 1411(e)(2)(C)(ix)</t>
        </r>
        <r>
          <rPr>
            <sz val="8"/>
            <rFont val="Tahoma"/>
            <family val="0"/>
          </rPr>
          <t xml:space="preserve">
</t>
        </r>
      </text>
    </comment>
    <comment ref="C156" authorId="0">
      <text>
        <r>
          <rPr>
            <b/>
            <sz val="8"/>
            <rFont val="Tahoma"/>
            <family val="0"/>
          </rPr>
          <t>See 20 U.S.C. 1411(e)(2)(C)(x)</t>
        </r>
        <r>
          <rPr>
            <sz val="8"/>
            <rFont val="Tahoma"/>
            <family val="0"/>
          </rPr>
          <t xml:space="preserve">
</t>
        </r>
      </text>
    </comment>
    <comment ref="C162" authorId="0">
      <text>
        <r>
          <rPr>
            <b/>
            <sz val="8"/>
            <rFont val="Tahoma"/>
            <family val="0"/>
          </rPr>
          <t>See 20 U.S.C. 1411(e)(2)(C)(xi)</t>
        </r>
        <r>
          <rPr>
            <sz val="8"/>
            <rFont val="Tahoma"/>
            <family val="0"/>
          </rPr>
          <t xml:space="preserve">
</t>
        </r>
      </text>
    </comment>
    <comment ref="C186" authorId="0">
      <text>
        <r>
          <rPr>
            <b/>
            <sz val="8"/>
            <rFont val="Tahoma"/>
            <family val="0"/>
          </rPr>
          <t>See 20 U.S.C. 1411(e)(3)(A)(i)(I)</t>
        </r>
        <r>
          <rPr>
            <sz val="8"/>
            <rFont val="Tahoma"/>
            <family val="0"/>
          </rPr>
          <t xml:space="preserve">
</t>
        </r>
      </text>
    </comment>
    <comment ref="C190" authorId="0">
      <text>
        <r>
          <rPr>
            <b/>
            <sz val="8"/>
            <rFont val="Tahoma"/>
            <family val="0"/>
          </rPr>
          <t>See 20 U.S.C. 1411(e)(3)(A)(i)(II) and 20 U.S.C. 1411(e)(3)(B)(ii)</t>
        </r>
        <r>
          <rPr>
            <sz val="8"/>
            <rFont val="Tahoma"/>
            <family val="0"/>
          </rPr>
          <t xml:space="preserve">
</t>
        </r>
      </text>
    </comment>
    <comment ref="C197" authorId="0">
      <text>
        <r>
          <rPr>
            <b/>
            <sz val="8"/>
            <rFont val="Tahoma"/>
            <family val="0"/>
          </rPr>
          <t>See 20 U.S.C. 1411(e)(3)(B)(i)</t>
        </r>
        <r>
          <rPr>
            <sz val="8"/>
            <rFont val="Tahoma"/>
            <family val="0"/>
          </rPr>
          <t xml:space="preserve">
</t>
        </r>
      </text>
    </comment>
  </commentList>
</comments>
</file>

<file path=xl/comments3.xml><?xml version="1.0" encoding="utf-8"?>
<comments xmlns="http://schemas.openxmlformats.org/spreadsheetml/2006/main">
  <authors>
    <author>jessie.bailey</author>
  </authors>
  <commentList>
    <comment ref="B58" authorId="0">
      <text>
        <r>
          <rPr>
            <b/>
            <sz val="8"/>
            <rFont val="Tahoma"/>
            <family val="0"/>
          </rPr>
          <t>jessie.bailey:</t>
        </r>
        <r>
          <rPr>
            <sz val="8"/>
            <rFont val="Tahoma"/>
            <family val="0"/>
          </rPr>
          <t xml:space="preserve">
Includes funds for HI for running "Competition"
</t>
        </r>
      </text>
    </comment>
  </commentList>
</comments>
</file>

<file path=xl/sharedStrings.xml><?xml version="1.0" encoding="utf-8"?>
<sst xmlns="http://schemas.openxmlformats.org/spreadsheetml/2006/main" count="565" uniqueCount="249">
  <si>
    <t>Prior Year Funding Levels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</si>
  <si>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</si>
  <si>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</si>
  <si>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</si>
  <si>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</si>
  <si>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</si>
  <si>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</si>
  <si>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</si>
  <si>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</si>
  <si>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</si>
  <si>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</si>
  <si>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</si>
  <si>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</si>
  <si>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</si>
  <si>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</si>
  <si>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</si>
  <si>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</si>
  <si>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</si>
  <si>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</si>
  <si>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</si>
  <si>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</si>
  <si>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</si>
  <si>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</si>
  <si>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</si>
  <si>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</si>
  <si>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</si>
  <si>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</si>
  <si>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</si>
  <si>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</si>
  <si>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</si>
  <si>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</si>
  <si>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</si>
  <si>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</si>
  <si>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</si>
  <si>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</si>
  <si>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</si>
  <si>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</si>
  <si>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</si>
  <si>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</si>
  <si>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</si>
  <si>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</si>
  <si>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</si>
  <si>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</si>
  <si>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</si>
  <si>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</si>
  <si>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</si>
  <si>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</si>
  <si>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</si>
  <si>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</si>
  <si>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</si>
  <si>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</si>
  <si>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</si>
  <si>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American Samoa</t>
  </si>
  <si>
    <t>Guam</t>
  </si>
  <si>
    <t>Northern Mariana Islands</t>
  </si>
  <si>
    <t>Puerto Rico</t>
  </si>
  <si>
    <t>Virgin Islands</t>
  </si>
  <si>
    <t>Freely Associated States</t>
  </si>
  <si>
    <t>Other</t>
  </si>
  <si>
    <t xml:space="preserve">     Total</t>
  </si>
  <si>
    <t>State</t>
  </si>
  <si>
    <t>Jan</t>
  </si>
  <si>
    <t>Feb</t>
  </si>
  <si>
    <t>Mar</t>
  </si>
  <si>
    <t>Apr</t>
  </si>
  <si>
    <t>May</t>
  </si>
  <si>
    <t>Jun</t>
  </si>
  <si>
    <t>Jul</t>
  </si>
  <si>
    <t>Aug</t>
  </si>
  <si>
    <t>Sep</t>
  </si>
  <si>
    <t>Oct</t>
  </si>
  <si>
    <t>Nov</t>
  </si>
  <si>
    <t>Dec</t>
  </si>
  <si>
    <t xml:space="preserve"> </t>
  </si>
  <si>
    <t>CPI-U -- NOT SEASONALLY ADJUSTED</t>
  </si>
  <si>
    <t>1. Monthly CPI-U, All Items -- Not Seasonally Adjusted</t>
  </si>
  <si>
    <t>Month</t>
  </si>
  <si>
    <t>cpiu_nsa</t>
  </si>
  <si>
    <t>FY 2010 Economic Assumptions for ED</t>
  </si>
  <si>
    <t>FY Inflation</t>
  </si>
  <si>
    <t xml:space="preserve">  </t>
  </si>
  <si>
    <t>Increase Chosen</t>
  </si>
  <si>
    <t>Increase in Appropriation</t>
  </si>
  <si>
    <t>Inflation</t>
  </si>
  <si>
    <t>TOTAL</t>
  </si>
  <si>
    <t>Appropriation + Stimulus</t>
  </si>
  <si>
    <t>No Risk Pool and Low Admin</t>
  </si>
  <si>
    <t>Risk Pool and High Admin</t>
  </si>
  <si>
    <t>Risk Pool and Low Admin</t>
  </si>
  <si>
    <t>No Risk Pool and High Admin</t>
  </si>
  <si>
    <t>State Level Activities: State Administration</t>
  </si>
  <si>
    <t>State Level Activities: Other State Level Activities</t>
  </si>
  <si>
    <t>Department of the Interior</t>
  </si>
  <si>
    <t>FFY</t>
  </si>
  <si>
    <t>ADMINISTRATION</t>
  </si>
  <si>
    <t>Sec.</t>
  </si>
  <si>
    <t>Maximum Available for Administration.</t>
  </si>
  <si>
    <t>III</t>
  </si>
  <si>
    <t xml:space="preserve">How much do you want to set aside for Administration in dollars? </t>
  </si>
  <si>
    <t xml:space="preserve">You must distribute, in whole dollars, the amount you want to set aside for </t>
  </si>
  <si>
    <t xml:space="preserve">Administration among the following activities: </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</si>
  <si>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</si>
  <si>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a.</t>
  </si>
  <si>
    <t>For the administration of Part C of IDEA, if the SEA is the Lead Agency for the State under Part C.</t>
  </si>
  <si>
    <t>b.</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</si>
  <si>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</si>
  <si>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For support and direct services, including technical assistance, personnel preparation, and professional development and training.</t>
  </si>
  <si>
    <t>c.</t>
  </si>
  <si>
    <t>To assist local educational agencies in providing positive behavioral interventions and supports and appropriate mental health services for children with disabilities.</t>
  </si>
  <si>
    <t>d.</t>
  </si>
  <si>
    <t>To assist local educational agencies in meeting personnel shortages.</t>
  </si>
  <si>
    <t>e.</t>
  </si>
  <si>
    <t>To support capacity building activities and improve the delivery of services by local educational agencies to improve results for children with disabilities.</t>
  </si>
  <si>
    <t>f.</t>
  </si>
  <si>
    <t xml:space="preserve">  Subtotal, Administration funds used for Other State-Level Activities</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</si>
  <si>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</si>
  <si>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g.</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</si>
  <si>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</si>
  <si>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</si>
  <si>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</si>
  <si>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</si>
  <si>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</si>
  <si>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</si>
  <si>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</si>
  <si>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</si>
  <si>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No</t>
  </si>
  <si>
    <t>Yes</t>
  </si>
  <si>
    <t>Based on the amount that you intend to set aside for</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</si>
  <si>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</si>
  <si>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</si>
  <si>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</si>
  <si>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</si>
  <si>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</si>
  <si>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</si>
  <si>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</si>
  <si>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</si>
  <si>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</si>
  <si>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</si>
  <si>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</si>
  <si>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</si>
  <si>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</si>
  <si>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</si>
  <si>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</si>
  <si>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</si>
  <si>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</si>
  <si>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</si>
  <si>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</si>
  <si>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</si>
  <si>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</si>
  <si>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</si>
  <si>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</si>
  <si>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</si>
  <si>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</si>
  <si>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</si>
  <si>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</si>
  <si>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</si>
  <si>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</si>
  <si>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t>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6111 of the Elementary and Secondary Education Act of 1965.</t>
  </si>
  <si>
    <t>s.</t>
  </si>
  <si>
    <t>To provide technical assistance to schools and LEAs, and direct services, including supplemental educational services as defined in Section 1116(e) of the Elementary and Secondary Education Act of 1965 to children with disabilities, in schools or local educational agencies identified for improvement under Section 1116 of the Elementary and Secondary Education Act of 1965 on the sole basis of the assessment results of the 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to meet or exceed the objectives established by the State under Section 1111(b)(2)(G) of the Elementary and Secondary Education  Act of 1965.</t>
  </si>
  <si>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</si>
  <si>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</si>
  <si>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</si>
  <si>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</si>
  <si>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</si>
  <si>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</si>
  <si>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</si>
  <si>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</si>
  <si>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</si>
  <si>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</si>
  <si>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</si>
  <si>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</si>
  <si>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</si>
  <si>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</si>
  <si>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</si>
  <si>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</si>
  <si>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</si>
  <si>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</si>
  <si>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</si>
  <si>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</si>
  <si>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</si>
  <si>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</si>
  <si>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</si>
  <si>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</si>
  <si>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</si>
  <si>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</si>
  <si>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</si>
  <si>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</si>
  <si>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</si>
  <si>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</si>
  <si>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</si>
  <si>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</si>
  <si>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</si>
  <si>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</si>
  <si>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</si>
  <si>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</si>
  <si>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</si>
  <si>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</si>
  <si>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</si>
  <si>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</si>
  <si>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</si>
  <si>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</si>
  <si>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</si>
  <si>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</si>
  <si>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</si>
  <si>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</si>
  <si>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</si>
  <si>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</si>
  <si>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</si>
  <si>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</si>
  <si>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</si>
  <si>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</si>
  <si>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</si>
  <si>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</si>
  <si>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</si>
  <si>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</si>
  <si>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</si>
  <si>
    <t>Year</t>
  </si>
  <si>
    <t>2009 RPLA</t>
  </si>
  <si>
    <t>2009 RPHA</t>
  </si>
  <si>
    <t>2009 LA</t>
  </si>
  <si>
    <t>2009 HA</t>
  </si>
  <si>
    <t>2008 RPLA</t>
  </si>
  <si>
    <t>2008 RPHA</t>
  </si>
  <si>
    <t>2008 LA</t>
  </si>
  <si>
    <t>2008 HA</t>
  </si>
  <si>
    <t>2007 RPLA</t>
  </si>
  <si>
    <t>2007 RPHA</t>
  </si>
  <si>
    <t>2007 LA</t>
  </si>
  <si>
    <t>2007 HA</t>
  </si>
  <si>
    <t>2006 RPLA</t>
  </si>
  <si>
    <t>2006 RPHA</t>
  </si>
  <si>
    <t>2006 LA</t>
  </si>
  <si>
    <t>2006 HA</t>
  </si>
  <si>
    <t>Plan</t>
  </si>
  <si>
    <t>Select Area</t>
  </si>
  <si>
    <t>2010 RPLA</t>
  </si>
  <si>
    <t>2010 RPHA</t>
  </si>
  <si>
    <t>2010 LA</t>
  </si>
  <si>
    <t>2010 HA</t>
  </si>
  <si>
    <t>Appropriation FY 2009</t>
  </si>
  <si>
    <t>Stimulus Only</t>
  </si>
  <si>
    <t>regular</t>
  </si>
  <si>
    <t>total</t>
  </si>
  <si>
    <t>arra</t>
  </si>
  <si>
    <t>REGULAR AWARD AMOUNT Est.</t>
  </si>
  <si>
    <t>TOTAL AWARD AMOUNT</t>
  </si>
  <si>
    <t>FY 2009 Stimulus</t>
  </si>
  <si>
    <t>RECOVERY AWARD AMOUNT Est.</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</si>
</sst>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000"/>
    <numFmt numFmtId="167" formatCode="&quot;$&quot;#,##0.000"/>
    <numFmt numFmtId="168" formatCode="#,##0.000"/>
    <numFmt numFmtId="169" formatCode="&quot;$&quot;#,##0.00000"/>
    <numFmt numFmtId="170" formatCode="#,##0.0000"/>
    <numFmt numFmtId="171" formatCode="#,##0.00000"/>
    <numFmt numFmtId="172" formatCode="#,##0.0"/>
    <numFmt numFmtId="173" formatCode=";;;"/>
    <numFmt numFmtId="174" formatCode="0.000%"/>
    <numFmt numFmtId="175" formatCode="&quot;Yes&quot;;&quot;Yes&quot;;&quot;No&quot;"/>
    <numFmt numFmtId="176" formatCode="&quot;True&quot;;&quot;True&quot;;&quot;False&quot;"/>
    <numFmt numFmtId="177" formatCode="&quot;On&quot;;&quot;On&quot;;&quot;Off&quot;"/>
    <numFmt numFmtId="178" formatCode="[$€-2]\ #,##0.00_);[Red]\([$€-2]\ #,##0.00\)"/>
    <numFmt numFmtId="179" formatCode="0.00000"/>
    <numFmt numFmtId="180" formatCode="0.0000"/>
    <numFmt numFmtId="181" formatCode="0.000"/>
    <numFmt numFmtId="182" formatCode="&quot;$&quot;#,##0.0"/>
    <numFmt numFmtId="183" formatCode="0.0000%"/>
    <numFmt numFmtId="184" formatCode="0.00000%"/>
    <numFmt numFmtId="185" formatCode="0.000000%"/>
    <numFmt numFmtId="186" formatCode="0.0000000%"/>
    <numFmt numFmtId="187" formatCode="0.00000000%"/>
    <numFmt numFmtId="188" formatCode="0.000000000%"/>
    <numFmt numFmtId="189" formatCode="&quot;$&quot;#,##0.000000"/>
    <numFmt numFmtId="190" formatCode="&quot;$&quot;#,##0.0000000"/>
    <numFmt numFmtId="191" formatCode="&quot;$&quot;#,##0.00000000"/>
    <numFmt numFmtId="192" formatCode="0.0%"/>
    <numFmt numFmtId="193" formatCode="mm/dd/yy"/>
    <numFmt numFmtId="194" formatCode="#,##0.000000"/>
    <numFmt numFmtId="195" formatCode="#,##0.0000000"/>
    <numFmt numFmtId="196" formatCode="#,##0.00000000"/>
    <numFmt numFmtId="197" formatCode="0.000000E+00"/>
    <numFmt numFmtId="198" formatCode="0.0000000E+00"/>
    <numFmt numFmtId="199" formatCode="0.00000000E+00"/>
    <numFmt numFmtId="200" formatCode="0.000000000E+00"/>
    <numFmt numFmtId="201" formatCode="0.0000000000E+00"/>
    <numFmt numFmtId="202" formatCode="0.00000000000E+00"/>
    <numFmt numFmtId="203" formatCode="0.000000000000E+00"/>
    <numFmt numFmtId="204" formatCode="0.0000000000000E+00"/>
    <numFmt numFmtId="205" formatCode="0.00000000000000E+00"/>
    <numFmt numFmtId="206" formatCode="0.000000000"/>
    <numFmt numFmtId="207" formatCode="_(&quot;$&quot;* #,##0.0_);_(&quot;$&quot;* \(#,##0.0\);_(&quot;$&quot;* &quot;-&quot;??_);_(@_)"/>
    <numFmt numFmtId="208" formatCode="_(&quot;$&quot;* #,##0_);_(&quot;$&quot;* \(#,##0\);_(&quot;$&quot;* &quot;-&quot;??_);_(@_)"/>
    <numFmt numFmtId="209" formatCode="_(* #,##0.0_);_(* \(#,##0.0\);_(* &quot;-&quot;??_);_(@_)"/>
    <numFmt numFmtId="210" formatCode="_(* #,##0_);_(* \(#,##0\);_(* &quot;-&quot;??_);_(@_)"/>
    <numFmt numFmtId="211" formatCode="_(* #,##0.000_);_(* \(#,##0.000\);_(* &quot;-&quot;??_);_(@_)"/>
    <numFmt numFmtId="212" formatCode="_(* #,##0.0000_);_(* \(#,##0.0000\);_(* &quot;-&quot;??_);_(@_)"/>
    <numFmt numFmtId="213" formatCode="0.0"/>
    <numFmt numFmtId="214" formatCode="0.00000000000000%"/>
    <numFmt numFmtId="215" formatCode="_(&quot;$&quot;* #,##0.000_);_(&quot;$&quot;* \(#,##0.000\);_(&quot;$&quot;* &quot;-&quot;??_);_(@_)"/>
    <numFmt numFmtId="216" formatCode="_(&quot;$&quot;* #,##0.0000_);_(&quot;$&quot;* \(#,##0.0000\);_(&quot;$&quot;* &quot;-&quot;??_);_(@_)"/>
  </numFmts>
  <fonts count="14">
    <font>
      <sz val="10"/>
      <name val="Arial"/>
      <family val="0"/>
    </font>
    <font>
      <b/>
      <sz val="8"/>
      <name val="Tahoma"/>
      <family val="0"/>
    </font>
    <font>
      <sz val="8"/>
      <name val="Tahoma"/>
      <family val="0"/>
    </font>
    <font>
      <b/>
      <sz val="10"/>
      <name val="Arial"/>
      <family val="2"/>
    </font>
    <font>
      <u val="single"/>
      <sz val="10"/>
      <color indexed="12"/>
      <name val="Arial"/>
      <family val="0"/>
    </font>
    <font>
      <u val="single"/>
      <sz val="10"/>
      <color indexed="36"/>
      <name val="Arial"/>
      <family val="0"/>
    </font>
    <font>
      <b/>
      <sz val="16"/>
      <name val="Arial"/>
      <family val="2"/>
    </font>
    <font>
      <sz val="10"/>
      <color indexed="9"/>
      <name val="Arial"/>
      <family val="2"/>
    </font>
    <font>
      <b/>
      <sz val="10"/>
      <color indexed="53"/>
      <name val="Arial"/>
      <family val="2"/>
    </font>
    <font>
      <sz val="10"/>
      <color indexed="53"/>
      <name val="Arial"/>
      <family val="2"/>
    </font>
    <font>
      <b/>
      <sz val="10"/>
      <color indexed="9"/>
      <name val="Arial"/>
      <family val="2"/>
    </font>
    <font>
      <sz val="10"/>
      <color indexed="10"/>
      <name val="Arial"/>
      <family val="2"/>
    </font>
    <font>
      <b/>
      <sz val="14"/>
      <color indexed="9"/>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4">
    <border>
      <left/>
      <right/>
      <top/>
      <bottom/>
      <diagonal/>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164" fontId="0" fillId="2" borderId="1" xfId="0" applyNumberFormat="1" applyFill="1" applyBorder="1" applyAlignment="1" applyProtection="1">
      <alignment horizontal="right"/>
      <protection locked="0"/>
    </xf>
    <xf numFmtId="164" fontId="0" fillId="2" borderId="1" xfId="0" applyNumberFormat="1" applyFill="1" applyBorder="1" applyAlignment="1" applyProtection="1">
      <alignment/>
      <protection locked="0"/>
    </xf>
    <xf numFmtId="0" fontId="3" fillId="2" borderId="1" xfId="0" applyFont="1" applyFill="1" applyBorder="1" applyAlignment="1" applyProtection="1">
      <alignment horizontal="right"/>
      <protection locked="0"/>
    </xf>
    <xf numFmtId="164" fontId="0" fillId="2" borderId="1" xfId="0" applyNumberFormat="1" applyFill="1" applyBorder="1" applyAlignment="1" applyProtection="1">
      <alignment vertical="top"/>
      <protection locked="0"/>
    </xf>
    <xf numFmtId="0" fontId="0" fillId="0" borderId="0" xfId="0" applyFill="1" applyAlignment="1" applyProtection="1">
      <alignment horizontal="right" vertical="top"/>
      <protection/>
    </xf>
    <xf numFmtId="0" fontId="0" fillId="0" borderId="0" xfId="0" applyFill="1" applyAlignment="1" applyProtection="1">
      <alignment/>
      <protection/>
    </xf>
    <xf numFmtId="0" fontId="7" fillId="0" borderId="0" xfId="0" applyFont="1" applyFill="1" applyAlignment="1" applyProtection="1">
      <alignment/>
      <protection/>
    </xf>
    <xf numFmtId="0" fontId="7" fillId="0" borderId="0" xfId="0" applyFont="1" applyFill="1" applyAlignment="1" applyProtection="1">
      <alignment/>
      <protection/>
    </xf>
    <xf numFmtId="0" fontId="7" fillId="0" borderId="0" xfId="0" applyFont="1" applyFill="1" applyBorder="1" applyAlignment="1" applyProtection="1">
      <alignment/>
      <protection/>
    </xf>
    <xf numFmtId="0" fontId="9" fillId="0" borderId="0" xfId="0" applyFont="1" applyFill="1" applyAlignment="1" applyProtection="1">
      <alignment/>
      <protection/>
    </xf>
    <xf numFmtId="164" fontId="3" fillId="0" borderId="0" xfId="0" applyNumberFormat="1" applyFont="1" applyFill="1" applyAlignment="1" applyProtection="1">
      <alignment/>
      <protection/>
    </xf>
    <xf numFmtId="0" fontId="10" fillId="0" borderId="0" xfId="0" applyFont="1" applyFill="1" applyAlignment="1" applyProtection="1">
      <alignment/>
      <protection/>
    </xf>
    <xf numFmtId="0" fontId="12" fillId="0" borderId="0" xfId="0" applyFont="1" applyFill="1" applyAlignment="1" applyProtection="1">
      <alignment/>
      <protection/>
    </xf>
    <xf numFmtId="0" fontId="10" fillId="0" borderId="0" xfId="0" applyFont="1" applyFill="1" applyAlignment="1" applyProtection="1">
      <alignment/>
      <protection/>
    </xf>
    <xf numFmtId="0" fontId="7" fillId="0" borderId="0" xfId="0" applyFont="1" applyFill="1" applyAlignment="1" applyProtection="1">
      <alignment/>
      <protection/>
    </xf>
    <xf numFmtId="0" fontId="7" fillId="0" borderId="0" xfId="0" applyFont="1" applyFill="1" applyAlignment="1" applyProtection="1">
      <alignment vertical="top"/>
      <protection/>
    </xf>
    <xf numFmtId="0" fontId="10" fillId="0" borderId="0" xfId="0" applyFont="1" applyFill="1" applyAlignment="1" applyProtection="1">
      <alignment vertical="top"/>
      <protection/>
    </xf>
    <xf numFmtId="164" fontId="10" fillId="0" borderId="0" xfId="0" applyNumberFormat="1" applyFont="1" applyFill="1" applyAlignment="1" applyProtection="1">
      <alignment horizontal="right" vertical="top"/>
      <protection/>
    </xf>
    <xf numFmtId="164" fontId="7" fillId="0" borderId="0" xfId="0" applyNumberFormat="1" applyFont="1" applyFill="1" applyAlignment="1" applyProtection="1">
      <alignment vertical="top"/>
      <protection/>
    </xf>
    <xf numFmtId="164" fontId="10" fillId="0" borderId="0" xfId="0" applyNumberFormat="1" applyFont="1" applyFill="1" applyAlignment="1" applyProtection="1">
      <alignment horizontal="center"/>
      <protection/>
    </xf>
    <xf numFmtId="0" fontId="10" fillId="0" borderId="0" xfId="0" applyFont="1" applyFill="1" applyAlignment="1" applyProtection="1">
      <alignment horizontal="center" vertical="top"/>
      <protection/>
    </xf>
    <xf numFmtId="164" fontId="10" fillId="0" borderId="0" xfId="0" applyNumberFormat="1" applyFont="1" applyFill="1" applyAlignment="1" applyProtection="1">
      <alignment horizontal="center" vertical="top"/>
      <protection/>
    </xf>
    <xf numFmtId="164" fontId="10" fillId="0" borderId="0" xfId="0" applyNumberFormat="1" applyFont="1" applyFill="1" applyAlignment="1" applyProtection="1">
      <alignment vertical="top"/>
      <protection/>
    </xf>
    <xf numFmtId="5" fontId="7" fillId="0" borderId="0" xfId="0" applyNumberFormat="1" applyFont="1" applyFill="1" applyAlignment="1" applyProtection="1">
      <alignment horizontal="left"/>
      <protection/>
    </xf>
    <xf numFmtId="0" fontId="6" fillId="2" borderId="0" xfId="0" applyFont="1" applyFill="1" applyAlignment="1" applyProtection="1">
      <alignment horizontal="right"/>
      <protection/>
    </xf>
    <xf numFmtId="0" fontId="0" fillId="2" borderId="0" xfId="0" applyFill="1" applyAlignment="1" applyProtection="1">
      <alignment horizontal="right" vertical="top"/>
      <protection/>
    </xf>
    <xf numFmtId="0" fontId="6" fillId="2" borderId="0" xfId="0" applyFont="1" applyFill="1" applyAlignment="1" applyProtection="1">
      <alignment horizontal="left"/>
      <protection/>
    </xf>
    <xf numFmtId="0" fontId="0" fillId="2" borderId="0" xfId="0" applyFill="1" applyAlignment="1" applyProtection="1">
      <alignment/>
      <protection/>
    </xf>
    <xf numFmtId="0" fontId="7" fillId="2" borderId="0" xfId="0" applyFont="1" applyFill="1" applyAlignment="1" applyProtection="1">
      <alignment/>
      <protection/>
    </xf>
    <xf numFmtId="208" fontId="7" fillId="2" borderId="0" xfId="17" applyNumberFormat="1" applyFont="1" applyFill="1" applyAlignment="1" applyProtection="1">
      <alignment/>
      <protection/>
    </xf>
    <xf numFmtId="44" fontId="7" fillId="2" borderId="0" xfId="17" applyFont="1" applyFill="1" applyAlignment="1" applyProtection="1">
      <alignment/>
      <protection/>
    </xf>
    <xf numFmtId="3" fontId="7" fillId="2" borderId="0" xfId="0" applyNumberFormat="1" applyFont="1" applyFill="1" applyAlignment="1" applyProtection="1">
      <alignment/>
      <protection/>
    </xf>
    <xf numFmtId="0" fontId="11" fillId="2" borderId="0" xfId="0" applyFont="1" applyFill="1" applyAlignment="1" applyProtection="1">
      <alignment/>
      <protection/>
    </xf>
    <xf numFmtId="0" fontId="3" fillId="2" borderId="0" xfId="0" applyFont="1" applyFill="1" applyAlignment="1" applyProtection="1">
      <alignment/>
      <protection/>
    </xf>
    <xf numFmtId="0" fontId="0" fillId="2" borderId="0" xfId="0" applyFill="1" applyAlignment="1" applyProtection="1">
      <alignment/>
      <protection/>
    </xf>
    <xf numFmtId="6" fontId="0" fillId="2" borderId="0" xfId="0" applyNumberFormat="1" applyFill="1" applyAlignment="1" applyProtection="1">
      <alignment horizontal="right"/>
      <protection/>
    </xf>
    <xf numFmtId="0" fontId="3" fillId="2" borderId="0" xfId="0" applyFont="1" applyFill="1" applyAlignment="1" applyProtection="1">
      <alignment horizontal="center" vertical="top"/>
      <protection/>
    </xf>
    <xf numFmtId="0" fontId="0" fillId="2" borderId="0" xfId="0" applyFill="1" applyAlignment="1" applyProtection="1">
      <alignment horizontal="right"/>
      <protection/>
    </xf>
    <xf numFmtId="0" fontId="0" fillId="2" borderId="0" xfId="0" applyFill="1" applyAlignment="1" applyProtection="1">
      <alignment vertical="top" wrapText="1"/>
      <protection/>
    </xf>
    <xf numFmtId="0" fontId="0" fillId="2" borderId="0" xfId="0" applyFill="1" applyAlignment="1" applyProtection="1">
      <alignment horizontal="right" vertical="top" wrapText="1"/>
      <protection/>
    </xf>
    <xf numFmtId="164" fontId="0" fillId="2" borderId="0" xfId="0" applyNumberFormat="1" applyFill="1" applyBorder="1" applyAlignment="1" applyProtection="1">
      <alignment horizontal="right" vertical="top"/>
      <protection/>
    </xf>
    <xf numFmtId="164" fontId="0" fillId="2" borderId="0" xfId="0" applyNumberFormat="1" applyFill="1" applyAlignment="1" applyProtection="1">
      <alignment horizontal="right" vertical="top"/>
      <protection/>
    </xf>
    <xf numFmtId="164" fontId="0" fillId="2" borderId="0" xfId="0" applyNumberFormat="1" applyFill="1" applyBorder="1" applyAlignment="1" applyProtection="1">
      <alignment/>
      <protection/>
    </xf>
    <xf numFmtId="0" fontId="0" fillId="2" borderId="0" xfId="0" applyFont="1" applyFill="1" applyAlignment="1" applyProtection="1">
      <alignment/>
      <protection/>
    </xf>
    <xf numFmtId="0" fontId="0" fillId="2" borderId="0" xfId="0" applyFont="1" applyFill="1" applyAlignment="1" applyProtection="1">
      <alignment horizontal="left"/>
      <protection/>
    </xf>
    <xf numFmtId="0" fontId="0" fillId="2" borderId="0" xfId="0" applyFill="1" applyBorder="1" applyAlignment="1" applyProtection="1">
      <alignment/>
      <protection/>
    </xf>
    <xf numFmtId="164" fontId="0" fillId="2" borderId="0" xfId="0" applyNumberFormat="1" applyFill="1" applyAlignment="1" applyProtection="1">
      <alignment/>
      <protection/>
    </xf>
    <xf numFmtId="164" fontId="3" fillId="2" borderId="0" xfId="0" applyNumberFormat="1" applyFont="1" applyFill="1" applyAlignment="1" applyProtection="1">
      <alignment/>
      <protection/>
    </xf>
    <xf numFmtId="0" fontId="0" fillId="2" borderId="0" xfId="0" applyFont="1" applyFill="1" applyBorder="1" applyAlignment="1" applyProtection="1">
      <alignment/>
      <protection/>
    </xf>
    <xf numFmtId="0" fontId="3" fillId="2" borderId="0" xfId="0" applyFont="1" applyFill="1" applyAlignment="1" applyProtection="1">
      <alignment/>
      <protection/>
    </xf>
    <xf numFmtId="0" fontId="0" fillId="2" borderId="0" xfId="0" applyFill="1" applyAlignment="1" applyProtection="1">
      <alignment horizontal="right" vertical="center"/>
      <protection/>
    </xf>
    <xf numFmtId="0" fontId="10" fillId="2" borderId="0" xfId="0" applyFont="1" applyFill="1" applyAlignment="1" applyProtection="1">
      <alignment/>
      <protection/>
    </xf>
    <xf numFmtId="164" fontId="0" fillId="2" borderId="0" xfId="0" applyNumberFormat="1" applyFill="1" applyBorder="1" applyAlignment="1" applyProtection="1">
      <alignment/>
      <protection/>
    </xf>
    <xf numFmtId="164" fontId="0" fillId="2" borderId="0" xfId="0" applyNumberFormat="1" applyFill="1" applyAlignment="1" applyProtection="1">
      <alignment horizontal="right" vertical="center"/>
      <protection/>
    </xf>
    <xf numFmtId="0" fontId="3" fillId="2" borderId="0" xfId="0" applyFont="1" applyFill="1" applyBorder="1" applyAlignment="1" applyProtection="1">
      <alignment/>
      <protection/>
    </xf>
    <xf numFmtId="164" fontId="7" fillId="2" borderId="0" xfId="0" applyNumberFormat="1" applyFont="1" applyFill="1" applyAlignment="1" applyProtection="1">
      <alignment/>
      <protection/>
    </xf>
    <xf numFmtId="6" fontId="0" fillId="2" borderId="0" xfId="0" applyNumberFormat="1" applyFill="1" applyAlignment="1" applyProtection="1">
      <alignment/>
      <protection/>
    </xf>
    <xf numFmtId="0" fontId="0" fillId="2" borderId="0" xfId="0" applyFill="1" applyAlignment="1" applyProtection="1" quotePrefix="1">
      <alignment/>
      <protection/>
    </xf>
    <xf numFmtId="164" fontId="11" fillId="2" borderId="0" xfId="0" applyNumberFormat="1" applyFont="1" applyFill="1" applyAlignment="1" applyProtection="1">
      <alignment/>
      <protection/>
    </xf>
    <xf numFmtId="164" fontId="3" fillId="2" borderId="0" xfId="0" applyNumberFormat="1" applyFont="1" applyFill="1" applyAlignment="1" applyProtection="1">
      <alignment horizontal="left" vertical="top"/>
      <protection/>
    </xf>
    <xf numFmtId="164" fontId="7" fillId="2" borderId="0" xfId="0" applyNumberFormat="1" applyFont="1" applyFill="1" applyAlignment="1" applyProtection="1">
      <alignment/>
      <protection/>
    </xf>
    <xf numFmtId="0" fontId="0" fillId="2" borderId="0" xfId="0" applyFill="1" applyAlignment="1" applyProtection="1">
      <alignment vertical="top"/>
      <protection/>
    </xf>
    <xf numFmtId="0" fontId="0" fillId="2" borderId="2" xfId="0" applyFill="1" applyBorder="1" applyAlignment="1" applyProtection="1">
      <alignment horizontal="right" vertical="top"/>
      <protection/>
    </xf>
    <xf numFmtId="0" fontId="0" fillId="2" borderId="0" xfId="0" applyFill="1" applyBorder="1" applyAlignment="1" applyProtection="1">
      <alignment horizontal="right" vertical="top"/>
      <protection/>
    </xf>
    <xf numFmtId="164" fontId="0" fillId="2" borderId="0" xfId="0" applyNumberFormat="1" applyFill="1" applyAlignment="1" applyProtection="1">
      <alignment/>
      <protection/>
    </xf>
    <xf numFmtId="164" fontId="3" fillId="2" borderId="0" xfId="0" applyNumberFormat="1" applyFont="1" applyFill="1" applyAlignment="1" applyProtection="1" quotePrefix="1">
      <alignment/>
      <protection/>
    </xf>
    <xf numFmtId="164" fontId="0" fillId="2" borderId="0" xfId="0" applyNumberFormat="1" applyFill="1" applyAlignment="1" applyProtection="1">
      <alignment vertical="top"/>
      <protection/>
    </xf>
    <xf numFmtId="0" fontId="0" fillId="2" borderId="3" xfId="0" applyFill="1" applyBorder="1" applyAlignment="1" applyProtection="1">
      <alignment horizontal="right" vertical="top"/>
      <protection/>
    </xf>
    <xf numFmtId="0" fontId="0" fillId="2" borderId="3" xfId="0" applyFill="1" applyBorder="1" applyAlignment="1" applyProtection="1">
      <alignment/>
      <protection/>
    </xf>
    <xf numFmtId="6" fontId="0" fillId="2" borderId="3" xfId="0" applyNumberFormat="1" applyFill="1" applyBorder="1" applyAlignment="1" applyProtection="1">
      <alignment horizontal="right"/>
      <protection/>
    </xf>
    <xf numFmtId="6" fontId="0" fillId="2" borderId="0" xfId="0" applyNumberFormat="1" applyFill="1" applyBorder="1" applyAlignment="1" applyProtection="1">
      <alignment horizontal="right"/>
      <protection/>
    </xf>
    <xf numFmtId="0" fontId="0" fillId="0" borderId="0" xfId="0" applyFont="1" applyFill="1" applyAlignment="1" applyProtection="1">
      <alignment/>
      <protection/>
    </xf>
    <xf numFmtId="164" fontId="3" fillId="0" borderId="0" xfId="0" applyNumberFormat="1" applyFont="1" applyFill="1" applyAlignment="1" applyProtection="1" quotePrefix="1">
      <alignment/>
      <protection/>
    </xf>
    <xf numFmtId="0" fontId="0" fillId="0" borderId="0" xfId="0" applyFont="1" applyFill="1" applyAlignment="1" applyProtection="1">
      <alignment/>
      <protection/>
    </xf>
    <xf numFmtId="164" fontId="3" fillId="0" borderId="0" xfId="0" applyNumberFormat="1"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vertical="top"/>
      <protection/>
    </xf>
    <xf numFmtId="5" fontId="0" fillId="0" borderId="0" xfId="0" applyNumberFormat="1" applyFont="1" applyFill="1" applyAlignment="1" applyProtection="1">
      <alignment horizontal="center"/>
      <protection/>
    </xf>
    <xf numFmtId="0" fontId="3" fillId="0" borderId="0" xfId="0" applyFont="1" applyFill="1" applyAlignment="1" applyProtection="1">
      <alignment vertical="top"/>
      <protection/>
    </xf>
    <xf numFmtId="164" fontId="3" fillId="0" borderId="0" xfId="0" applyNumberFormat="1" applyFont="1" applyFill="1" applyAlignment="1" applyProtection="1">
      <alignment horizontal="center" vertical="top"/>
      <protection/>
    </xf>
    <xf numFmtId="2" fontId="3" fillId="0" borderId="0" xfId="0" applyNumberFormat="1" applyFont="1" applyFill="1" applyAlignment="1" applyProtection="1">
      <alignment horizontal="center" vertical="top"/>
      <protection/>
    </xf>
    <xf numFmtId="0" fontId="0" fillId="2" borderId="0" xfId="0" applyFill="1" applyAlignment="1" applyProtection="1">
      <alignment/>
      <protection locked="0"/>
    </xf>
    <xf numFmtId="0" fontId="0" fillId="2" borderId="0" xfId="0" applyFill="1" applyAlignment="1" applyProtection="1">
      <alignment/>
      <protection locked="0"/>
    </xf>
    <xf numFmtId="164" fontId="0" fillId="2" borderId="0" xfId="0" applyNumberFormat="1" applyFill="1" applyAlignment="1" applyProtection="1">
      <alignment/>
      <protection locked="0"/>
    </xf>
    <xf numFmtId="0" fontId="7" fillId="0" borderId="0" xfId="0" applyFont="1" applyAlignment="1">
      <alignment/>
    </xf>
    <xf numFmtId="0" fontId="7" fillId="0" borderId="0" xfId="0" applyFont="1" applyBorder="1" applyAlignment="1">
      <alignment/>
    </xf>
    <xf numFmtId="208" fontId="0" fillId="2" borderId="0" xfId="0" applyNumberFormat="1" applyFill="1" applyAlignment="1" applyProtection="1">
      <alignment horizontal="right"/>
      <protection/>
    </xf>
    <xf numFmtId="0" fontId="10" fillId="0" borderId="0" xfId="0" applyFont="1" applyFill="1" applyAlignment="1" applyProtection="1">
      <alignment vertical="top"/>
      <protection/>
    </xf>
    <xf numFmtId="0" fontId="10" fillId="0" borderId="0" xfId="0" applyFont="1" applyFill="1" applyAlignment="1" applyProtection="1">
      <alignment/>
      <protection/>
    </xf>
    <xf numFmtId="0" fontId="7" fillId="0" borderId="0" xfId="0" applyFont="1" applyFill="1" applyAlignment="1" applyProtection="1">
      <alignment/>
      <protection/>
    </xf>
    <xf numFmtId="0" fontId="0" fillId="2" borderId="0" xfId="0" applyFill="1" applyAlignment="1" applyProtection="1">
      <alignment vertical="top" wrapText="1"/>
      <protection/>
    </xf>
    <xf numFmtId="0" fontId="0" fillId="2" borderId="0" xfId="0" applyFill="1" applyBorder="1" applyAlignment="1" applyProtection="1">
      <alignment vertical="top"/>
      <protection/>
    </xf>
    <xf numFmtId="164" fontId="3" fillId="2" borderId="0" xfId="0" applyNumberFormat="1" applyFont="1" applyFill="1" applyAlignment="1" applyProtection="1">
      <alignment vertical="top" wrapText="1"/>
      <protection/>
    </xf>
    <xf numFmtId="164" fontId="3" fillId="2" borderId="0" xfId="0" applyNumberFormat="1" applyFont="1" applyFill="1" applyAlignment="1" applyProtection="1">
      <alignment/>
      <protection/>
    </xf>
    <xf numFmtId="0" fontId="0" fillId="2" borderId="0" xfId="0" applyFill="1" applyAlignment="1" applyProtection="1">
      <alignment vertical="top"/>
      <protection/>
    </xf>
    <xf numFmtId="0" fontId="0" fillId="2" borderId="0" xfId="0" applyFill="1" applyAlignment="1" applyProtection="1">
      <alignment wrapText="1"/>
      <protection/>
    </xf>
    <xf numFmtId="0" fontId="0" fillId="2" borderId="0" xfId="0" applyFill="1" applyAlignment="1" applyProtection="1">
      <alignment/>
      <protection/>
    </xf>
    <xf numFmtId="0" fontId="3" fillId="2" borderId="0" xfId="0" applyFont="1" applyFill="1" applyAlignment="1" applyProtection="1">
      <alignment/>
      <protection/>
    </xf>
    <xf numFmtId="164" fontId="3" fillId="2" borderId="0" xfId="0" applyNumberFormat="1" applyFont="1" applyFill="1" applyAlignment="1" applyProtection="1">
      <alignment horizontal="left" vertical="top"/>
      <protection/>
    </xf>
    <xf numFmtId="0" fontId="3" fillId="2" borderId="0" xfId="0" applyFont="1" applyFill="1" applyAlignment="1" applyProtection="1">
      <alignment horizontal="center"/>
      <protection/>
    </xf>
    <xf numFmtId="0" fontId="0" fillId="2" borderId="0" xfId="0" applyFill="1" applyBorder="1" applyAlignment="1" applyProtection="1">
      <alignment/>
      <protection/>
    </xf>
    <xf numFmtId="0" fontId="0" fillId="2" borderId="0" xfId="0" applyFill="1" applyBorder="1" applyAlignment="1" applyProtection="1">
      <alignment vertical="top" wrapText="1"/>
      <protection/>
    </xf>
    <xf numFmtId="0" fontId="0" fillId="2" borderId="0" xfId="0" applyFont="1" applyFill="1" applyBorder="1" applyAlignment="1" applyProtection="1">
      <alignment vertical="top" wrapText="1"/>
      <protection/>
    </xf>
    <xf numFmtId="164" fontId="3" fillId="2" borderId="0" xfId="0" applyNumberFormat="1" applyFont="1" applyFill="1" applyBorder="1" applyAlignment="1" applyProtection="1">
      <alignment horizontal="left"/>
      <protection/>
    </xf>
    <xf numFmtId="0" fontId="3" fillId="2" borderId="0" xfId="0" applyFont="1" applyFill="1" applyAlignment="1" applyProtection="1">
      <alignment vertical="top" wrapText="1"/>
      <protection/>
    </xf>
    <xf numFmtId="0" fontId="8" fillId="2" borderId="0" xfId="0" applyFont="1" applyFill="1" applyAlignment="1" applyProtection="1">
      <alignment vertical="top" wrapText="1"/>
      <protection/>
    </xf>
    <xf numFmtId="0" fontId="6" fillId="3" borderId="0" xfId="0" applyFont="1" applyFill="1" applyAlignment="1" applyProtection="1">
      <alignment vertical="top"/>
      <protection locked="0"/>
    </xf>
    <xf numFmtId="0" fontId="3" fillId="2" borderId="3" xfId="0" applyFont="1" applyFill="1" applyBorder="1" applyAlignment="1" applyProtection="1">
      <alignment/>
      <protection/>
    </xf>
    <xf numFmtId="0" fontId="3" fillId="2" borderId="0" xfId="0" applyFont="1" applyFill="1"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9525</xdr:rowOff>
    </xdr:from>
    <xdr:to>
      <xdr:col>5</xdr:col>
      <xdr:colOff>0</xdr:colOff>
      <xdr:row>0</xdr:row>
      <xdr:rowOff>9525</xdr:rowOff>
    </xdr:to>
    <xdr:sp>
      <xdr:nvSpPr>
        <xdr:cNvPr id="1" name="Line 1"/>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2" name="Line 2"/>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3" name="Line 3"/>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4" name="Line 4"/>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5" name="Line 5"/>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6" name="Line 6"/>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7" name="Line 7"/>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8" name="Line 8"/>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9" name="Line 9"/>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10" name="Line 10"/>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11" name="Line 11"/>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12" name="Line 12"/>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13" name="Line 13"/>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14" name="Line 14"/>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15" name="Line 15"/>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16" name="Line 16"/>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17" name="Line 17"/>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18" name="Line 18"/>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19" name="Line 19"/>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20" name="Line 20"/>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21" name="Line 21"/>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22" name="Line 22"/>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23" name="Line 23"/>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24" name="Line 24"/>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25" name="Line 25"/>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26" name="Line 26"/>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27" name="Line 27"/>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28" name="Line 28"/>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29" name="Line 29"/>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30" name="Line 30"/>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31" name="Line 31"/>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32" name="Line 32"/>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33" name="Line 33"/>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34" name="Line 34"/>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35" name="Line 35"/>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36" name="Line 36"/>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37" name="Line 37"/>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38" name="Line 38"/>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39" name="Line 39"/>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40" name="Line 40"/>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41" name="Line 41"/>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42" name="Line 42"/>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43" name="Line 43"/>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44" name="Line 44"/>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45" name="Line 45"/>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46" name="Line 46"/>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47" name="Line 47"/>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9525</xdr:rowOff>
    </xdr:from>
    <xdr:to>
      <xdr:col>5</xdr:col>
      <xdr:colOff>0</xdr:colOff>
      <xdr:row>0</xdr:row>
      <xdr:rowOff>9525</xdr:rowOff>
    </xdr:to>
    <xdr:sp>
      <xdr:nvSpPr>
        <xdr:cNvPr id="48" name="Line 48"/>
        <xdr:cNvSpPr>
          <a:spLocks/>
        </xdr:cNvSpPr>
      </xdr:nvSpPr>
      <xdr:spPr>
        <a:xfrm>
          <a:off x="5524500" y="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4"/>
  <dimension ref="A1:Z279"/>
  <sheetViews>
    <sheetView tabSelected="1" zoomScale="70" zoomScaleNormal="70" workbookViewId="0" topLeftCell="A1">
      <selection activeCell="A1" sqref="A1:E1"/>
    </sheetView>
  </sheetViews>
  <sheetFormatPr defaultColWidth="9.140625" defaultRowHeight="12.75"/>
  <cols>
    <col min="1" max="1" width="4.28125" style="6" customWidth="1"/>
    <col min="2" max="2" width="29.00390625" style="6" bestFit="1" customWidth="1"/>
    <col min="3" max="3" width="6.00390625" style="6" customWidth="1"/>
    <col min="4" max="4" width="26.28125" style="6" customWidth="1"/>
    <col min="5" max="5" width="23.7109375" style="6" customWidth="1"/>
    <col min="6" max="6" width="6.8515625" style="6" customWidth="1"/>
    <col min="7" max="7" width="4.00390625" style="5" customWidth="1"/>
    <col min="8" max="8" width="13.00390625" style="6" customWidth="1"/>
    <col min="9" max="9" width="14.421875" style="6" customWidth="1"/>
    <col min="10" max="10" width="16.140625" style="6" customWidth="1"/>
    <col min="11" max="11" width="9.140625" style="6" customWidth="1"/>
    <col min="12" max="12" width="9.57421875" style="6" bestFit="1" customWidth="1"/>
    <col min="13" max="14" width="9.140625" style="6" customWidth="1"/>
    <col min="15" max="15" width="11.140625" style="6" customWidth="1"/>
    <col min="16" max="16" width="12.8515625" style="6" customWidth="1"/>
    <col min="17" max="17" width="6.421875" style="6" customWidth="1"/>
    <col min="18" max="18" width="5.421875" style="6" customWidth="1"/>
    <col min="19" max="19" width="5.28125" style="6" customWidth="1"/>
    <col min="20" max="20" width="12.8515625" style="6" customWidth="1"/>
    <col min="21" max="21" width="12.421875" style="74" customWidth="1"/>
    <col min="22" max="22" width="14.140625" style="6" customWidth="1"/>
    <col min="23" max="23" width="13.7109375" style="6" customWidth="1"/>
    <col min="24" max="24" width="15.57421875" style="6" customWidth="1"/>
    <col min="25" max="25" width="13.57421875" style="6" customWidth="1"/>
    <col min="26" max="26" width="16.7109375" style="6" customWidth="1"/>
    <col min="27" max="16384" width="9.140625" style="6" customWidth="1"/>
  </cols>
  <sheetData>
    <row r="1" spans="1:21" ht="20.25">
      <c r="A1" s="107" t="s">
        <v>7</v>
      </c>
      <c r="B1" s="107"/>
      <c r="C1" s="107"/>
      <c r="D1" s="107"/>
      <c r="E1" s="107"/>
      <c r="F1" s="25" t="s">
        <v>93</v>
      </c>
      <c r="G1" s="26" t="s">
        <v>73</v>
      </c>
      <c r="H1" s="27">
        <v>2009</v>
      </c>
      <c r="I1" s="28"/>
      <c r="J1" s="28"/>
      <c r="K1" s="28"/>
      <c r="L1" s="28"/>
      <c r="M1" s="28"/>
      <c r="N1" s="28"/>
      <c r="O1" s="28"/>
      <c r="P1" s="28"/>
      <c r="U1" s="7" t="s">
        <v>235</v>
      </c>
    </row>
    <row r="2" spans="1:21" ht="12.75">
      <c r="A2" s="29"/>
      <c r="B2" s="30">
        <f>ROUND(VLOOKUP($A1,stimulus,MATCH("regular",stimulus_labels,0),0),0)</f>
        <v>132157229</v>
      </c>
      <c r="C2" s="29">
        <f>ROUND(VLOOKUP($A1,stimulus,MATCH("arra",stimulus_labels,0),0),0)</f>
        <v>132971468</v>
      </c>
      <c r="D2" s="30">
        <f>ROUND(VLOOKUP(A1,admin,MATCH(H1,admin_year,0),0),0)</f>
        <v>2756547</v>
      </c>
      <c r="E2" s="31">
        <f>ROUND(VLOOKUP($A$1,other,MATCH($H$1&amp;" RPHA",other_label,0),0),0)</f>
        <v>13325648</v>
      </c>
      <c r="F2" s="31">
        <f>ROUND(VLOOKUP($A$1,other,MATCH($H$1&amp;" HA",other_label,0),0),0)</f>
        <v>11993083</v>
      </c>
      <c r="G2" s="29">
        <f>ROUND(VLOOKUP($A$1,other,MATCH($H$1&amp;" RPLA",other_label,0),0),0)</f>
        <v>13991930</v>
      </c>
      <c r="H2" s="29">
        <f>ROUND(VLOOKUP($A$1,other,MATCH($H$1&amp;" LA",other_label,0),0),0)</f>
        <v>12659366</v>
      </c>
      <c r="I2" s="32">
        <f>ROUND(VLOOKUP(A1,admin,MATCH(2004,admin_year,0),0),0)</f>
        <v>2354685</v>
      </c>
      <c r="J2" s="33"/>
      <c r="K2" s="28"/>
      <c r="L2" s="28"/>
      <c r="M2" s="28"/>
      <c r="N2" s="28"/>
      <c r="O2" s="28"/>
      <c r="P2" s="28"/>
      <c r="U2" s="9" t="s">
        <v>1</v>
      </c>
    </row>
    <row r="3" spans="1:21" ht="12.75">
      <c r="A3" s="98" t="s">
        <v>245</v>
      </c>
      <c r="B3" s="98"/>
      <c r="C3" s="98"/>
      <c r="D3" s="98"/>
      <c r="E3" s="98"/>
      <c r="F3" s="98"/>
      <c r="G3" s="26"/>
      <c r="H3" s="35"/>
      <c r="I3" s="36">
        <f>B2</f>
        <v>132157229</v>
      </c>
      <c r="J3" s="28"/>
      <c r="K3" s="28"/>
      <c r="L3" s="28"/>
      <c r="M3" s="28"/>
      <c r="N3" s="28"/>
      <c r="O3" s="28"/>
      <c r="P3" s="28"/>
      <c r="U3" s="9" t="s">
        <v>2</v>
      </c>
    </row>
    <row r="4" spans="1:21" ht="12.75">
      <c r="A4" s="108" t="s">
        <v>248</v>
      </c>
      <c r="B4" s="108"/>
      <c r="C4" s="108"/>
      <c r="D4" s="108"/>
      <c r="E4" s="108"/>
      <c r="F4" s="108"/>
      <c r="G4" s="68"/>
      <c r="H4" s="69"/>
      <c r="I4" s="70">
        <f>C2</f>
        <v>132971468</v>
      </c>
      <c r="J4" s="28"/>
      <c r="K4" s="28"/>
      <c r="L4" s="28"/>
      <c r="M4" s="28"/>
      <c r="N4" s="28"/>
      <c r="O4" s="28"/>
      <c r="P4" s="28"/>
      <c r="U4" s="9" t="s">
        <v>3</v>
      </c>
    </row>
    <row r="5" spans="1:21" ht="12.75">
      <c r="A5" s="34"/>
      <c r="B5" s="34"/>
      <c r="C5" s="34"/>
      <c r="D5" s="34"/>
      <c r="E5" s="34"/>
      <c r="F5" s="34"/>
      <c r="G5" s="26"/>
      <c r="H5" s="35"/>
      <c r="I5" s="36"/>
      <c r="J5" s="28"/>
      <c r="K5" s="28"/>
      <c r="L5" s="28"/>
      <c r="M5" s="28"/>
      <c r="N5" s="28"/>
      <c r="O5" s="28"/>
      <c r="P5" s="28"/>
      <c r="U5" s="9" t="s">
        <v>4</v>
      </c>
    </row>
    <row r="6" spans="1:21" ht="12.75">
      <c r="A6" s="109" t="s">
        <v>246</v>
      </c>
      <c r="B6" s="109"/>
      <c r="C6" s="109"/>
      <c r="D6" s="109"/>
      <c r="E6" s="109"/>
      <c r="F6" s="109"/>
      <c r="G6" s="64"/>
      <c r="H6" s="46"/>
      <c r="I6" s="71">
        <f>SUM(I3:I4)</f>
        <v>265128697</v>
      </c>
      <c r="J6" s="28"/>
      <c r="K6" s="28"/>
      <c r="L6" s="28"/>
      <c r="M6" s="28"/>
      <c r="N6" s="28"/>
      <c r="O6" s="28"/>
      <c r="P6" s="28"/>
      <c r="U6" s="9" t="s">
        <v>5</v>
      </c>
    </row>
    <row r="7" spans="1:21" ht="12.75">
      <c r="A7" s="35"/>
      <c r="B7" s="35"/>
      <c r="C7" s="35"/>
      <c r="D7" s="35"/>
      <c r="E7" s="35"/>
      <c r="F7" s="35"/>
      <c r="G7" s="26"/>
      <c r="H7" s="35"/>
      <c r="I7" s="36"/>
      <c r="J7" s="28"/>
      <c r="K7" s="28"/>
      <c r="L7" s="28"/>
      <c r="M7" s="28"/>
      <c r="N7" s="28"/>
      <c r="O7" s="28"/>
      <c r="P7" s="28"/>
      <c r="U7" s="9" t="s">
        <v>6</v>
      </c>
    </row>
    <row r="8" spans="1:21" ht="12.75">
      <c r="A8" s="34" t="s">
        <v>94</v>
      </c>
      <c r="B8" s="35"/>
      <c r="C8" s="35"/>
      <c r="D8" s="35"/>
      <c r="E8" s="35"/>
      <c r="F8" s="35"/>
      <c r="G8" s="26"/>
      <c r="H8" s="35"/>
      <c r="I8" s="36"/>
      <c r="J8" s="28"/>
      <c r="K8" s="28"/>
      <c r="L8" s="28"/>
      <c r="M8" s="28"/>
      <c r="N8" s="28"/>
      <c r="O8" s="28"/>
      <c r="P8" s="28"/>
      <c r="U8" s="9" t="s">
        <v>7</v>
      </c>
    </row>
    <row r="9" spans="1:21" ht="12.75">
      <c r="A9" s="28"/>
      <c r="B9" s="28"/>
      <c r="C9" s="28"/>
      <c r="D9" s="28"/>
      <c r="E9" s="28"/>
      <c r="F9" s="28"/>
      <c r="G9" s="37" t="s">
        <v>95</v>
      </c>
      <c r="H9" s="28"/>
      <c r="I9" s="38"/>
      <c r="J9" s="28"/>
      <c r="K9" s="28"/>
      <c r="L9" s="28"/>
      <c r="M9" s="28"/>
      <c r="N9" s="28"/>
      <c r="O9" s="28"/>
      <c r="P9" s="28"/>
      <c r="U9" s="9" t="s">
        <v>8</v>
      </c>
    </row>
    <row r="10" spans="1:21" ht="12.75">
      <c r="A10" s="97" t="s">
        <v>96</v>
      </c>
      <c r="B10" s="97"/>
      <c r="C10" s="97"/>
      <c r="D10" s="97"/>
      <c r="E10" s="97"/>
      <c r="F10" s="97"/>
      <c r="G10" s="37" t="s">
        <v>97</v>
      </c>
      <c r="H10" s="35"/>
      <c r="I10" s="87">
        <f>D2</f>
        <v>2756547</v>
      </c>
      <c r="J10" s="28"/>
      <c r="K10" s="28"/>
      <c r="L10" s="28"/>
      <c r="M10" s="28"/>
      <c r="N10" s="28"/>
      <c r="O10" s="28"/>
      <c r="P10" s="28"/>
      <c r="U10" s="9" t="s">
        <v>9</v>
      </c>
    </row>
    <row r="11" spans="1:21" ht="12.75">
      <c r="A11" s="28"/>
      <c r="B11" s="28"/>
      <c r="C11" s="28"/>
      <c r="D11" s="28"/>
      <c r="E11" s="28"/>
      <c r="F11" s="28"/>
      <c r="G11" s="26"/>
      <c r="H11" s="28"/>
      <c r="I11" s="28"/>
      <c r="J11" s="28"/>
      <c r="K11" s="28"/>
      <c r="L11" s="28"/>
      <c r="M11" s="28"/>
      <c r="N11" s="28"/>
      <c r="O11" s="28"/>
      <c r="P11" s="28"/>
      <c r="U11" s="9" t="s">
        <v>10</v>
      </c>
    </row>
    <row r="12" spans="1:21" ht="12.75">
      <c r="A12" s="97" t="s">
        <v>98</v>
      </c>
      <c r="B12" s="97"/>
      <c r="C12" s="97"/>
      <c r="D12" s="97"/>
      <c r="E12" s="97"/>
      <c r="F12" s="97"/>
      <c r="G12" s="26"/>
      <c r="H12" s="35"/>
      <c r="I12" s="1">
        <v>2756547</v>
      </c>
      <c r="J12" s="105" t="str">
        <f>IF(SUM(I12:I12)&gt;I10,"PROBLEM The amount you want to set aside is more than the maximum amount available to be set aside.","OK")</f>
        <v>OK</v>
      </c>
      <c r="K12" s="105"/>
      <c r="L12" s="105"/>
      <c r="M12" s="105"/>
      <c r="N12" s="105"/>
      <c r="O12" s="105"/>
      <c r="P12" s="105"/>
      <c r="U12" s="9" t="s">
        <v>11</v>
      </c>
    </row>
    <row r="13" spans="1:21" ht="12.75">
      <c r="A13" s="35"/>
      <c r="B13" s="35"/>
      <c r="C13" s="35"/>
      <c r="D13" s="35"/>
      <c r="E13" s="35"/>
      <c r="F13" s="35"/>
      <c r="G13" s="26"/>
      <c r="H13" s="35"/>
      <c r="I13" s="28">
        <f>IF(SUM(I12:I12)&lt;&gt;ROUND(SUM(I12:I12),0),"WHOLE DOLLARS","")</f>
      </c>
      <c r="J13" s="105"/>
      <c r="K13" s="105"/>
      <c r="L13" s="105"/>
      <c r="M13" s="105"/>
      <c r="N13" s="105"/>
      <c r="O13" s="105"/>
      <c r="P13" s="105"/>
      <c r="U13" s="9" t="s">
        <v>12</v>
      </c>
    </row>
    <row r="14" spans="1:21" ht="12.75">
      <c r="A14" s="28"/>
      <c r="B14" s="28"/>
      <c r="C14" s="28"/>
      <c r="D14" s="28"/>
      <c r="E14" s="28"/>
      <c r="F14" s="28"/>
      <c r="G14" s="26"/>
      <c r="H14" s="106" t="str">
        <f>IF(SUM(I12:I12)&gt;I10,"You must reduce the amount you intend to set aside for Administration before you proceed!"," ")</f>
        <v> </v>
      </c>
      <c r="I14" s="106"/>
      <c r="J14" s="106"/>
      <c r="K14" s="106"/>
      <c r="L14" s="106"/>
      <c r="M14" s="106"/>
      <c r="N14" s="106"/>
      <c r="O14" s="106"/>
      <c r="P14" s="106"/>
      <c r="Q14" s="10"/>
      <c r="U14" s="9" t="s">
        <v>13</v>
      </c>
    </row>
    <row r="15" spans="1:21" ht="12.75">
      <c r="A15" s="98" t="s">
        <v>99</v>
      </c>
      <c r="B15" s="98"/>
      <c r="C15" s="98"/>
      <c r="D15" s="98"/>
      <c r="E15" s="98"/>
      <c r="F15" s="98"/>
      <c r="G15" s="26"/>
      <c r="H15" s="35"/>
      <c r="I15" s="82"/>
      <c r="J15" s="28"/>
      <c r="K15" s="28"/>
      <c r="L15" s="28"/>
      <c r="M15" s="28"/>
      <c r="N15" s="28"/>
      <c r="O15" s="28"/>
      <c r="P15" s="28"/>
      <c r="U15" s="9" t="s">
        <v>14</v>
      </c>
    </row>
    <row r="16" spans="1:21" ht="12.75">
      <c r="A16" s="98" t="s">
        <v>100</v>
      </c>
      <c r="B16" s="98"/>
      <c r="C16" s="98"/>
      <c r="D16" s="98"/>
      <c r="E16" s="98"/>
      <c r="F16" s="98"/>
      <c r="G16" s="26"/>
      <c r="H16" s="35"/>
      <c r="I16" s="28"/>
      <c r="J16" s="28" t="s">
        <v>73</v>
      </c>
      <c r="K16" s="28"/>
      <c r="L16" s="28"/>
      <c r="M16" s="28"/>
      <c r="N16" s="28"/>
      <c r="O16" s="28"/>
      <c r="P16" s="28"/>
      <c r="U16" s="9" t="s">
        <v>15</v>
      </c>
    </row>
    <row r="17" spans="1:21" ht="12.75">
      <c r="A17" s="34"/>
      <c r="B17" s="35"/>
      <c r="C17" s="35"/>
      <c r="D17" s="35"/>
      <c r="E17" s="35"/>
      <c r="F17" s="35"/>
      <c r="G17" s="26"/>
      <c r="H17" s="35"/>
      <c r="I17" s="28"/>
      <c r="J17" s="28"/>
      <c r="K17" s="28"/>
      <c r="L17" s="28"/>
      <c r="M17" s="28"/>
      <c r="N17" s="28"/>
      <c r="O17" s="28"/>
      <c r="P17" s="28"/>
      <c r="U17" s="9" t="s">
        <v>16</v>
      </c>
    </row>
    <row r="18" spans="1:21" ht="12.75" customHeight="1">
      <c r="A18" s="28"/>
      <c r="B18" s="91" t="s">
        <v>101</v>
      </c>
      <c r="C18" s="91"/>
      <c r="D18" s="91"/>
      <c r="E18" s="91"/>
      <c r="F18" s="91"/>
      <c r="G18" s="40"/>
      <c r="H18" s="35"/>
      <c r="I18" s="28"/>
      <c r="J18" s="28"/>
      <c r="K18" s="28"/>
      <c r="L18" s="28"/>
      <c r="M18" s="28"/>
      <c r="N18" s="28"/>
      <c r="O18" s="28"/>
      <c r="P18" s="28"/>
      <c r="U18" s="9" t="s">
        <v>17</v>
      </c>
    </row>
    <row r="19" spans="1:21" ht="12.75">
      <c r="A19" s="28"/>
      <c r="B19" s="91"/>
      <c r="C19" s="91"/>
      <c r="D19" s="91"/>
      <c r="E19" s="91"/>
      <c r="F19" s="91"/>
      <c r="G19" s="40"/>
      <c r="H19" s="35"/>
      <c r="I19" s="28"/>
      <c r="J19" s="28"/>
      <c r="K19" s="28"/>
      <c r="L19" s="28"/>
      <c r="M19" s="28"/>
      <c r="N19" s="28"/>
      <c r="O19" s="28"/>
      <c r="P19" s="28"/>
      <c r="U19" s="9" t="s">
        <v>18</v>
      </c>
    </row>
    <row r="20" spans="1:21" ht="12.75">
      <c r="A20" s="28"/>
      <c r="B20" s="91"/>
      <c r="C20" s="91"/>
      <c r="D20" s="91"/>
      <c r="E20" s="91"/>
      <c r="F20" s="91"/>
      <c r="G20" s="40"/>
      <c r="H20" s="35"/>
      <c r="I20" s="28"/>
      <c r="J20" s="28"/>
      <c r="K20" s="28"/>
      <c r="L20" s="28"/>
      <c r="M20" s="28"/>
      <c r="N20" s="28"/>
      <c r="O20" s="28"/>
      <c r="P20" s="28"/>
      <c r="U20" s="9" t="s">
        <v>19</v>
      </c>
    </row>
    <row r="21" spans="1:21" ht="12.75">
      <c r="A21" s="28"/>
      <c r="B21" s="91"/>
      <c r="C21" s="91"/>
      <c r="D21" s="91"/>
      <c r="E21" s="91"/>
      <c r="F21" s="91"/>
      <c r="G21" s="40"/>
      <c r="H21" s="35"/>
      <c r="I21" s="28"/>
      <c r="J21" s="28"/>
      <c r="K21" s="28"/>
      <c r="L21" s="28"/>
      <c r="M21" s="28"/>
      <c r="N21" s="28"/>
      <c r="O21" s="28"/>
      <c r="P21" s="28"/>
      <c r="U21" s="9" t="s">
        <v>20</v>
      </c>
    </row>
    <row r="22" spans="1:21" ht="12.75">
      <c r="A22" s="28"/>
      <c r="B22" s="91"/>
      <c r="C22" s="91"/>
      <c r="D22" s="91"/>
      <c r="E22" s="91"/>
      <c r="F22" s="91"/>
      <c r="G22" s="41" t="s">
        <v>102</v>
      </c>
      <c r="H22" s="2">
        <v>2756547</v>
      </c>
      <c r="I22" s="28">
        <f>IF(SUM(H22:H22)&lt;&gt;ROUND(SUM(H22:H22),0),"WHOLE DOLLARS","")</f>
      </c>
      <c r="J22" s="28"/>
      <c r="K22" s="28"/>
      <c r="L22" s="28"/>
      <c r="M22" s="28"/>
      <c r="N22" s="28"/>
      <c r="O22" s="28"/>
      <c r="P22" s="28"/>
      <c r="U22" s="9" t="s">
        <v>21</v>
      </c>
    </row>
    <row r="23" spans="1:21" ht="12.75">
      <c r="A23" s="28"/>
      <c r="B23" s="28"/>
      <c r="C23" s="28"/>
      <c r="D23" s="28"/>
      <c r="E23" s="28"/>
      <c r="F23" s="28"/>
      <c r="G23" s="26"/>
      <c r="H23" s="28"/>
      <c r="I23" s="28"/>
      <c r="J23" s="28"/>
      <c r="K23" s="28"/>
      <c r="L23" s="28"/>
      <c r="M23" s="28"/>
      <c r="N23" s="28"/>
      <c r="O23" s="28"/>
      <c r="P23" s="28"/>
      <c r="U23" s="9" t="s">
        <v>22</v>
      </c>
    </row>
    <row r="24" spans="1:21" ht="12.75" customHeight="1">
      <c r="A24" s="28"/>
      <c r="B24" s="102" t="s">
        <v>103</v>
      </c>
      <c r="C24" s="102"/>
      <c r="D24" s="102"/>
      <c r="E24" s="102"/>
      <c r="F24" s="102"/>
      <c r="G24" s="26"/>
      <c r="H24" s="28"/>
      <c r="I24" s="28"/>
      <c r="J24" s="28"/>
      <c r="K24" s="28"/>
      <c r="L24" s="28"/>
      <c r="M24" s="28"/>
      <c r="N24" s="28"/>
      <c r="O24" s="28"/>
      <c r="P24" s="28"/>
      <c r="U24" s="9" t="s">
        <v>23</v>
      </c>
    </row>
    <row r="25" spans="1:21" ht="12.75">
      <c r="A25" s="28"/>
      <c r="B25" s="102"/>
      <c r="C25" s="102"/>
      <c r="D25" s="102"/>
      <c r="E25" s="102"/>
      <c r="F25" s="102"/>
      <c r="G25" s="41" t="s">
        <v>104</v>
      </c>
      <c r="H25" s="2"/>
      <c r="I25" s="28">
        <f>IF(SUM(H25:H25)&lt;&gt;ROUND(SUM(H25:H25),0),"WHOLE DOLLARS","")</f>
      </c>
      <c r="J25" s="28"/>
      <c r="K25" s="28"/>
      <c r="L25" s="28"/>
      <c r="M25" s="28"/>
      <c r="N25" s="28"/>
      <c r="O25" s="28"/>
      <c r="P25" s="28"/>
      <c r="U25" s="9" t="s">
        <v>24</v>
      </c>
    </row>
    <row r="26" spans="1:21" ht="12.75">
      <c r="A26" s="28"/>
      <c r="B26" s="39"/>
      <c r="C26" s="39"/>
      <c r="D26" s="39"/>
      <c r="E26" s="39"/>
      <c r="F26" s="39"/>
      <c r="G26" s="42"/>
      <c r="H26" s="43"/>
      <c r="I26" s="28"/>
      <c r="J26" s="28"/>
      <c r="K26" s="28"/>
      <c r="L26" s="28"/>
      <c r="M26" s="28"/>
      <c r="N26" s="28"/>
      <c r="O26" s="28"/>
      <c r="P26" s="28"/>
      <c r="U26" s="9" t="s">
        <v>25</v>
      </c>
    </row>
    <row r="27" spans="1:21" ht="12.75">
      <c r="A27" s="34"/>
      <c r="B27" s="35"/>
      <c r="C27" s="35"/>
      <c r="D27" s="35"/>
      <c r="E27" s="35"/>
      <c r="F27" s="35"/>
      <c r="G27" s="26"/>
      <c r="H27" s="28"/>
      <c r="I27" s="28"/>
      <c r="J27" s="28"/>
      <c r="K27" s="28"/>
      <c r="L27" s="28"/>
      <c r="M27" s="28"/>
      <c r="N27" s="28"/>
      <c r="O27" s="28"/>
      <c r="P27" s="28"/>
      <c r="U27" s="9" t="s">
        <v>26</v>
      </c>
    </row>
    <row r="28" spans="1:21" ht="12.75" customHeight="1">
      <c r="A28" s="28"/>
      <c r="B28" s="103" t="s">
        <v>105</v>
      </c>
      <c r="C28" s="103"/>
      <c r="D28" s="103"/>
      <c r="E28" s="103"/>
      <c r="F28" s="103"/>
      <c r="G28" s="26"/>
      <c r="H28" s="28" t="s">
        <v>73</v>
      </c>
      <c r="I28" s="28"/>
      <c r="J28" s="28"/>
      <c r="K28" s="28"/>
      <c r="L28" s="28"/>
      <c r="M28" s="28"/>
      <c r="N28" s="28"/>
      <c r="O28" s="28"/>
      <c r="P28" s="28"/>
      <c r="U28" s="9" t="s">
        <v>27</v>
      </c>
    </row>
    <row r="29" spans="1:21" ht="12.75">
      <c r="A29" s="28"/>
      <c r="B29" s="103"/>
      <c r="C29" s="103"/>
      <c r="D29" s="103"/>
      <c r="E29" s="103"/>
      <c r="F29" s="103"/>
      <c r="G29" s="26"/>
      <c r="H29" s="28"/>
      <c r="I29" s="28"/>
      <c r="J29" s="28"/>
      <c r="K29" s="28"/>
      <c r="L29" s="28"/>
      <c r="M29" s="28"/>
      <c r="N29" s="28"/>
      <c r="O29" s="28"/>
      <c r="P29" s="28"/>
      <c r="U29" s="9" t="s">
        <v>28</v>
      </c>
    </row>
    <row r="30" spans="1:21" ht="12.75">
      <c r="A30" s="28"/>
      <c r="B30" s="103"/>
      <c r="C30" s="103"/>
      <c r="D30" s="103"/>
      <c r="E30" s="103"/>
      <c r="F30" s="103"/>
      <c r="G30" s="26"/>
      <c r="H30" s="28"/>
      <c r="I30" s="28"/>
      <c r="J30" s="28"/>
      <c r="K30" s="28"/>
      <c r="L30" s="28"/>
      <c r="M30" s="28"/>
      <c r="N30" s="28"/>
      <c r="O30" s="28"/>
      <c r="P30" s="28"/>
      <c r="U30" s="9" t="s">
        <v>29</v>
      </c>
    </row>
    <row r="31" spans="1:21" ht="12.75">
      <c r="A31" s="28"/>
      <c r="B31" s="103"/>
      <c r="C31" s="103"/>
      <c r="D31" s="103"/>
      <c r="E31" s="103"/>
      <c r="F31" s="103"/>
      <c r="G31" s="26"/>
      <c r="H31" s="28"/>
      <c r="I31" s="28"/>
      <c r="J31" s="28"/>
      <c r="K31" s="28"/>
      <c r="L31" s="28"/>
      <c r="M31" s="28"/>
      <c r="N31" s="28"/>
      <c r="O31" s="28"/>
      <c r="P31" s="28"/>
      <c r="U31" s="9" t="s">
        <v>30</v>
      </c>
    </row>
    <row r="32" spans="1:21" ht="12.75">
      <c r="A32" s="28"/>
      <c r="B32" s="103"/>
      <c r="C32" s="103"/>
      <c r="D32" s="103"/>
      <c r="E32" s="103"/>
      <c r="F32" s="103"/>
      <c r="G32" s="26"/>
      <c r="H32" s="44"/>
      <c r="I32" s="28"/>
      <c r="J32" s="28"/>
      <c r="K32" s="28"/>
      <c r="L32" s="28"/>
      <c r="M32" s="28"/>
      <c r="N32" s="28"/>
      <c r="O32" s="28"/>
      <c r="P32" s="28"/>
      <c r="U32" s="9" t="s">
        <v>31</v>
      </c>
    </row>
    <row r="33" spans="1:21" ht="12.75">
      <c r="A33" s="28"/>
      <c r="B33" s="104">
        <f>IF(AND((SUM(I12:I12)&gt;SUM(I2:I2)),((SUM(I12:I12)-SUM(I2:I2))&gt;0)),(SUM(I12:I12)-SUM(I2:I2)),0)</f>
        <v>401862</v>
      </c>
      <c r="C33" s="104"/>
      <c r="D33" s="104"/>
      <c r="E33" s="104"/>
      <c r="F33" s="104"/>
      <c r="G33" s="26"/>
      <c r="H33" s="45" t="s">
        <v>73</v>
      </c>
      <c r="I33" s="28"/>
      <c r="J33" s="28"/>
      <c r="K33" s="28"/>
      <c r="L33" s="28"/>
      <c r="M33" s="28"/>
      <c r="N33" s="28"/>
      <c r="O33" s="28"/>
      <c r="P33" s="28"/>
      <c r="U33" s="9" t="s">
        <v>32</v>
      </c>
    </row>
    <row r="34" spans="1:21" ht="12.75">
      <c r="A34" s="28"/>
      <c r="B34" s="28"/>
      <c r="C34" s="28"/>
      <c r="D34" s="28"/>
      <c r="E34" s="28"/>
      <c r="F34" s="28"/>
      <c r="G34" s="26"/>
      <c r="H34" s="28"/>
      <c r="I34" s="28"/>
      <c r="J34" s="28"/>
      <c r="K34" s="28"/>
      <c r="L34" s="28"/>
      <c r="M34" s="28"/>
      <c r="N34" s="28"/>
      <c r="O34" s="28"/>
      <c r="P34" s="28"/>
      <c r="U34" s="9" t="s">
        <v>33</v>
      </c>
    </row>
    <row r="35" spans="1:21" ht="12.75" customHeight="1">
      <c r="A35" s="28"/>
      <c r="B35" s="28"/>
      <c r="C35" s="102" t="s">
        <v>106</v>
      </c>
      <c r="D35" s="102"/>
      <c r="E35" s="102"/>
      <c r="F35" s="102"/>
      <c r="G35" s="26"/>
      <c r="H35" s="46"/>
      <c r="I35" s="28"/>
      <c r="J35" s="28"/>
      <c r="K35" s="28"/>
      <c r="L35" s="28"/>
      <c r="M35" s="28"/>
      <c r="N35" s="28"/>
      <c r="O35" s="28"/>
      <c r="P35" s="28"/>
      <c r="U35" s="9" t="s">
        <v>34</v>
      </c>
    </row>
    <row r="36" spans="1:21" ht="12.75">
      <c r="A36" s="28"/>
      <c r="B36" s="28"/>
      <c r="C36" s="102"/>
      <c r="D36" s="102"/>
      <c r="E36" s="102"/>
      <c r="F36" s="102"/>
      <c r="G36" s="41" t="s">
        <v>107</v>
      </c>
      <c r="H36" s="2"/>
      <c r="I36" s="28">
        <f>IF(SUM(H36:H36)&lt;&gt;ROUND(SUM(H36:H36),0),"WHOLE DOLLARS","")</f>
      </c>
      <c r="J36" s="28"/>
      <c r="K36" s="28"/>
      <c r="L36" s="28"/>
      <c r="M36" s="28"/>
      <c r="N36" s="28"/>
      <c r="O36" s="28"/>
      <c r="P36" s="28"/>
      <c r="U36" s="9" t="s">
        <v>35</v>
      </c>
    </row>
    <row r="37" spans="1:21" ht="12.75">
      <c r="A37" s="28"/>
      <c r="B37" s="28"/>
      <c r="C37" s="28"/>
      <c r="D37" s="28"/>
      <c r="E37" s="28"/>
      <c r="F37" s="28"/>
      <c r="G37" s="26"/>
      <c r="H37" s="28"/>
      <c r="I37" s="28"/>
      <c r="J37" s="28"/>
      <c r="K37" s="28"/>
      <c r="L37" s="28"/>
      <c r="M37" s="28"/>
      <c r="N37" s="28"/>
      <c r="O37" s="28"/>
      <c r="P37" s="28"/>
      <c r="U37" s="9" t="s">
        <v>36</v>
      </c>
    </row>
    <row r="38" spans="1:21" ht="12.75" customHeight="1">
      <c r="A38" s="28"/>
      <c r="B38" s="28"/>
      <c r="C38" s="102" t="s">
        <v>108</v>
      </c>
      <c r="D38" s="102"/>
      <c r="E38" s="102"/>
      <c r="F38" s="102"/>
      <c r="G38" s="26"/>
      <c r="H38" s="28"/>
      <c r="I38" s="28"/>
      <c r="J38" s="28"/>
      <c r="K38" s="28"/>
      <c r="L38" s="28"/>
      <c r="M38" s="28"/>
      <c r="N38" s="28"/>
      <c r="O38" s="28"/>
      <c r="P38" s="28"/>
      <c r="U38" s="9" t="s">
        <v>37</v>
      </c>
    </row>
    <row r="39" spans="1:21" ht="12.75">
      <c r="A39" s="28"/>
      <c r="B39" s="28"/>
      <c r="C39" s="102"/>
      <c r="D39" s="102"/>
      <c r="E39" s="102"/>
      <c r="F39" s="102"/>
      <c r="G39" s="26"/>
      <c r="H39" s="28"/>
      <c r="I39" s="28"/>
      <c r="J39" s="28"/>
      <c r="K39" s="28"/>
      <c r="L39" s="28"/>
      <c r="M39" s="28"/>
      <c r="N39" s="28"/>
      <c r="O39" s="28"/>
      <c r="P39" s="28"/>
      <c r="U39" s="9" t="s">
        <v>38</v>
      </c>
    </row>
    <row r="40" spans="1:21" ht="12.75">
      <c r="A40" s="28"/>
      <c r="B40" s="28"/>
      <c r="C40" s="102"/>
      <c r="D40" s="102"/>
      <c r="E40" s="102"/>
      <c r="F40" s="102"/>
      <c r="G40" s="42" t="s">
        <v>109</v>
      </c>
      <c r="H40" s="2"/>
      <c r="I40" s="28">
        <f>IF(SUM(H40:H40)&lt;&gt;ROUND(SUM(H40:H40),0),"WHOLE DOLLARS","")</f>
      </c>
      <c r="J40" s="28"/>
      <c r="K40" s="28"/>
      <c r="L40" s="28"/>
      <c r="M40" s="28"/>
      <c r="N40" s="28"/>
      <c r="O40" s="28"/>
      <c r="P40" s="28"/>
      <c r="U40" s="9" t="s">
        <v>39</v>
      </c>
    </row>
    <row r="41" spans="1:21" ht="12.75">
      <c r="A41" s="28"/>
      <c r="B41" s="28"/>
      <c r="C41" s="28"/>
      <c r="D41" s="28"/>
      <c r="E41" s="28"/>
      <c r="F41" s="28"/>
      <c r="G41" s="26"/>
      <c r="H41" s="28"/>
      <c r="I41" s="28"/>
      <c r="J41" s="28"/>
      <c r="K41" s="28"/>
      <c r="L41" s="28"/>
      <c r="M41" s="28"/>
      <c r="N41" s="28"/>
      <c r="O41" s="28"/>
      <c r="P41" s="28"/>
      <c r="U41" s="9" t="s">
        <v>40</v>
      </c>
    </row>
    <row r="42" spans="1:21" ht="12.75">
      <c r="A42" s="28"/>
      <c r="B42" s="28"/>
      <c r="C42" s="101" t="s">
        <v>110</v>
      </c>
      <c r="D42" s="101"/>
      <c r="E42" s="101"/>
      <c r="F42" s="101"/>
      <c r="G42" s="42" t="s">
        <v>111</v>
      </c>
      <c r="H42" s="2" t="s">
        <v>73</v>
      </c>
      <c r="I42" s="28">
        <f>IF(SUM(H42:H42)&lt;&gt;ROUND(SUM(H42:H42),0),"WHOLE DOLLARS","")</f>
      </c>
      <c r="J42" s="28"/>
      <c r="K42" s="28"/>
      <c r="L42" s="28"/>
      <c r="M42" s="28"/>
      <c r="N42" s="28"/>
      <c r="O42" s="28"/>
      <c r="P42" s="28"/>
      <c r="U42" s="9" t="s">
        <v>41</v>
      </c>
    </row>
    <row r="43" spans="1:21" ht="12.75">
      <c r="A43" s="28"/>
      <c r="B43" s="28"/>
      <c r="C43" s="28"/>
      <c r="D43" s="28"/>
      <c r="E43" s="28"/>
      <c r="F43" s="28"/>
      <c r="G43" s="26"/>
      <c r="H43" s="28"/>
      <c r="I43" s="28"/>
      <c r="J43" s="28"/>
      <c r="K43" s="28"/>
      <c r="L43" s="28"/>
      <c r="M43" s="28"/>
      <c r="N43" s="28"/>
      <c r="O43" s="28"/>
      <c r="P43" s="28"/>
      <c r="U43" s="9" t="s">
        <v>42</v>
      </c>
    </row>
    <row r="44" spans="1:21" ht="12.75" customHeight="1">
      <c r="A44" s="28"/>
      <c r="B44" s="28"/>
      <c r="C44" s="102" t="s">
        <v>112</v>
      </c>
      <c r="D44" s="102"/>
      <c r="E44" s="102"/>
      <c r="F44" s="102"/>
      <c r="G44" s="26"/>
      <c r="H44" s="28"/>
      <c r="I44" s="28"/>
      <c r="J44" s="28"/>
      <c r="K44" s="28"/>
      <c r="L44" s="28"/>
      <c r="M44" s="28"/>
      <c r="N44" s="28"/>
      <c r="O44" s="28"/>
      <c r="P44" s="28"/>
      <c r="U44" s="9" t="s">
        <v>43</v>
      </c>
    </row>
    <row r="45" spans="1:21" ht="12.75" customHeight="1">
      <c r="A45" s="28"/>
      <c r="B45" s="28"/>
      <c r="C45" s="102"/>
      <c r="D45" s="102"/>
      <c r="E45" s="102"/>
      <c r="F45" s="102"/>
      <c r="G45" s="26"/>
      <c r="H45" s="28"/>
      <c r="I45" s="28"/>
      <c r="J45" s="28"/>
      <c r="K45" s="28"/>
      <c r="L45" s="28"/>
      <c r="M45" s="28"/>
      <c r="N45" s="28"/>
      <c r="O45" s="28"/>
      <c r="P45" s="28"/>
      <c r="U45" s="9" t="s">
        <v>44</v>
      </c>
    </row>
    <row r="46" spans="1:21" ht="12.75">
      <c r="A46" s="28"/>
      <c r="B46" s="28"/>
      <c r="C46" s="102"/>
      <c r="D46" s="102"/>
      <c r="E46" s="102"/>
      <c r="F46" s="102"/>
      <c r="G46" s="42" t="s">
        <v>113</v>
      </c>
      <c r="H46" s="2" t="s">
        <v>73</v>
      </c>
      <c r="I46" s="28">
        <f>IF(SUM(H46:H46)&lt;&gt;ROUND(SUM(H46:H46),0),"WHOLE DOLLARS","")</f>
      </c>
      <c r="J46" s="28"/>
      <c r="K46" s="28"/>
      <c r="L46" s="28"/>
      <c r="M46" s="28"/>
      <c r="N46" s="28"/>
      <c r="O46" s="28"/>
      <c r="P46" s="28"/>
      <c r="U46" s="9" t="s">
        <v>45</v>
      </c>
    </row>
    <row r="47" spans="1:21" ht="12.75">
      <c r="A47" s="28"/>
      <c r="B47" s="28"/>
      <c r="C47" s="46"/>
      <c r="D47" s="46"/>
      <c r="E47" s="46"/>
      <c r="F47" s="46"/>
      <c r="G47" s="42"/>
      <c r="H47" s="47"/>
      <c r="I47" s="47"/>
      <c r="J47" s="28"/>
      <c r="K47" s="28"/>
      <c r="L47" s="28"/>
      <c r="M47" s="28"/>
      <c r="N47" s="28"/>
      <c r="O47" s="28"/>
      <c r="P47" s="28"/>
      <c r="U47" s="9" t="s">
        <v>46</v>
      </c>
    </row>
    <row r="48" spans="1:21" ht="12.75">
      <c r="A48" s="28"/>
      <c r="B48" s="28"/>
      <c r="C48" s="46"/>
      <c r="D48" s="101" t="s">
        <v>114</v>
      </c>
      <c r="E48" s="101"/>
      <c r="F48" s="101"/>
      <c r="G48" s="42"/>
      <c r="H48" s="47">
        <f>SUM(H36:H46)</f>
        <v>0</v>
      </c>
      <c r="I48" s="47" t="s">
        <v>73</v>
      </c>
      <c r="J48" s="48" t="str">
        <f>IF(B33&lt;H48,"PROBLEM - The sum of these 4 activities may not exceed","OK")</f>
        <v>OK</v>
      </c>
      <c r="K48" s="28"/>
      <c r="L48" s="28"/>
      <c r="M48" s="28"/>
      <c r="N48" s="28"/>
      <c r="O48" s="28"/>
      <c r="P48" s="48" t="s">
        <v>73</v>
      </c>
      <c r="U48" s="9" t="s">
        <v>47</v>
      </c>
    </row>
    <row r="49" spans="1:21" ht="12.75">
      <c r="A49" s="28"/>
      <c r="B49" s="28"/>
      <c r="C49" s="46"/>
      <c r="D49" s="46"/>
      <c r="E49" s="46"/>
      <c r="F49" s="46"/>
      <c r="G49" s="42"/>
      <c r="H49" s="47"/>
      <c r="I49" s="47"/>
      <c r="J49" s="48">
        <f>IF(J48&lt;&gt;"OK",(B33),"")</f>
      </c>
      <c r="K49" s="28"/>
      <c r="L49" s="28"/>
      <c r="M49" s="28"/>
      <c r="N49" s="28"/>
      <c r="O49" s="28"/>
      <c r="P49" s="48"/>
      <c r="U49" s="9" t="s">
        <v>48</v>
      </c>
    </row>
    <row r="50" spans="1:21" ht="12.75">
      <c r="A50" s="28"/>
      <c r="B50" s="28"/>
      <c r="C50" s="46"/>
      <c r="D50" s="46"/>
      <c r="E50" s="46"/>
      <c r="F50" s="46"/>
      <c r="G50" s="42"/>
      <c r="H50" s="47"/>
      <c r="I50" s="47"/>
      <c r="J50" s="48"/>
      <c r="K50" s="28"/>
      <c r="L50" s="28"/>
      <c r="M50" s="28"/>
      <c r="N50" s="28"/>
      <c r="O50" s="28"/>
      <c r="P50" s="48"/>
      <c r="U50" s="9" t="s">
        <v>49</v>
      </c>
    </row>
    <row r="51" spans="1:21" ht="12.75" customHeight="1">
      <c r="A51" s="28"/>
      <c r="B51" s="91" t="s">
        <v>115</v>
      </c>
      <c r="C51" s="91"/>
      <c r="D51" s="91"/>
      <c r="E51" s="91"/>
      <c r="F51" s="91"/>
      <c r="G51" s="26"/>
      <c r="H51" s="28"/>
      <c r="I51" s="28"/>
      <c r="J51" s="28"/>
      <c r="K51" s="28"/>
      <c r="L51" s="28"/>
      <c r="M51" s="28"/>
      <c r="N51" s="28"/>
      <c r="O51" s="28"/>
      <c r="P51" s="28"/>
      <c r="U51" s="9" t="s">
        <v>50</v>
      </c>
    </row>
    <row r="52" spans="1:21" ht="12.75">
      <c r="A52" s="28"/>
      <c r="B52" s="91"/>
      <c r="C52" s="91"/>
      <c r="D52" s="91"/>
      <c r="E52" s="91"/>
      <c r="F52" s="91"/>
      <c r="G52" s="26"/>
      <c r="H52" s="28"/>
      <c r="I52" s="28"/>
      <c r="J52" s="28"/>
      <c r="K52" s="28"/>
      <c r="L52" s="28"/>
      <c r="M52" s="28"/>
      <c r="N52" s="28"/>
      <c r="O52" s="28"/>
      <c r="P52" s="28"/>
      <c r="U52" s="9" t="s">
        <v>51</v>
      </c>
    </row>
    <row r="53" spans="1:21" ht="12.75">
      <c r="A53" s="28"/>
      <c r="B53" s="91"/>
      <c r="C53" s="91"/>
      <c r="D53" s="91"/>
      <c r="E53" s="91"/>
      <c r="F53" s="91"/>
      <c r="G53" s="26"/>
      <c r="H53" s="28"/>
      <c r="I53" s="28"/>
      <c r="J53" s="28"/>
      <c r="K53" s="28"/>
      <c r="L53" s="28"/>
      <c r="M53" s="28"/>
      <c r="N53" s="28"/>
      <c r="O53" s="28"/>
      <c r="P53" s="28"/>
      <c r="U53" s="9" t="s">
        <v>55</v>
      </c>
    </row>
    <row r="54" spans="1:21" ht="12.75">
      <c r="A54" s="28"/>
      <c r="B54" s="91"/>
      <c r="C54" s="91"/>
      <c r="D54" s="91"/>
      <c r="E54" s="91"/>
      <c r="F54" s="91"/>
      <c r="G54" s="26"/>
      <c r="H54" s="28"/>
      <c r="I54" s="28"/>
      <c r="J54" s="28"/>
      <c r="K54" s="28"/>
      <c r="L54" s="28"/>
      <c r="M54" s="28"/>
      <c r="N54" s="28"/>
      <c r="O54" s="28"/>
      <c r="P54" s="28"/>
      <c r="U54" s="9" t="s">
        <v>52</v>
      </c>
    </row>
    <row r="55" spans="1:21" ht="12.75">
      <c r="A55" s="28"/>
      <c r="B55" s="91"/>
      <c r="C55" s="91"/>
      <c r="D55" s="91"/>
      <c r="E55" s="91"/>
      <c r="F55" s="91"/>
      <c r="G55" s="26"/>
      <c r="H55" s="28"/>
      <c r="I55" s="28"/>
      <c r="J55" s="28"/>
      <c r="K55" s="28"/>
      <c r="L55" s="28"/>
      <c r="M55" s="28"/>
      <c r="N55" s="28"/>
      <c r="O55" s="28"/>
      <c r="P55" s="28"/>
      <c r="U55" s="9" t="s">
        <v>53</v>
      </c>
    </row>
    <row r="56" spans="1:21" ht="12.75">
      <c r="A56" s="28"/>
      <c r="B56" s="91"/>
      <c r="C56" s="91"/>
      <c r="D56" s="91"/>
      <c r="E56" s="91"/>
      <c r="F56" s="91"/>
      <c r="G56" s="26"/>
      <c r="H56" s="28"/>
      <c r="I56" s="28"/>
      <c r="J56" s="28"/>
      <c r="K56" s="28"/>
      <c r="L56" s="28"/>
      <c r="M56" s="28"/>
      <c r="N56" s="28"/>
      <c r="O56" s="28"/>
      <c r="P56" s="28"/>
      <c r="U56" s="9" t="s">
        <v>54</v>
      </c>
    </row>
    <row r="57" spans="1:21" ht="12.75">
      <c r="A57" s="28"/>
      <c r="B57" s="91"/>
      <c r="C57" s="91"/>
      <c r="D57" s="91"/>
      <c r="E57" s="91"/>
      <c r="F57" s="91"/>
      <c r="G57" s="26"/>
      <c r="H57" s="28"/>
      <c r="I57" s="28"/>
      <c r="J57" s="28"/>
      <c r="K57" s="28"/>
      <c r="L57" s="28"/>
      <c r="M57" s="28"/>
      <c r="N57" s="28"/>
      <c r="O57" s="28"/>
      <c r="P57" s="28"/>
      <c r="U57" s="9" t="s">
        <v>56</v>
      </c>
    </row>
    <row r="58" spans="1:21" ht="12.75">
      <c r="A58" s="28"/>
      <c r="B58" s="91"/>
      <c r="C58" s="91"/>
      <c r="D58" s="91"/>
      <c r="E58" s="91"/>
      <c r="F58" s="91"/>
      <c r="G58" s="26"/>
      <c r="H58" s="28"/>
      <c r="I58" s="28"/>
      <c r="J58" s="28"/>
      <c r="K58" s="28"/>
      <c r="L58" s="28"/>
      <c r="M58" s="28"/>
      <c r="N58" s="28"/>
      <c r="O58" s="28"/>
      <c r="P58" s="28"/>
      <c r="U58" s="9" t="s">
        <v>57</v>
      </c>
    </row>
    <row r="59" spans="1:21" ht="12.75">
      <c r="A59" s="28"/>
      <c r="B59" s="91"/>
      <c r="C59" s="91"/>
      <c r="D59" s="91"/>
      <c r="E59" s="91"/>
      <c r="F59" s="91"/>
      <c r="G59" s="41" t="s">
        <v>116</v>
      </c>
      <c r="H59" s="2" t="s">
        <v>73</v>
      </c>
      <c r="I59" s="28">
        <f>IF(SUM(H59:H59)&lt;&gt;ROUND(SUM(H59:H59),0),"WHOLE DOLLARS","")</f>
      </c>
      <c r="J59" s="28"/>
      <c r="K59" s="28"/>
      <c r="L59" s="28"/>
      <c r="M59" s="28"/>
      <c r="N59" s="28"/>
      <c r="O59" s="28"/>
      <c r="P59" s="28"/>
      <c r="U59" s="9" t="s">
        <v>92</v>
      </c>
    </row>
    <row r="60" spans="1:21" ht="12.75">
      <c r="A60" s="28"/>
      <c r="B60" s="28"/>
      <c r="C60" s="46"/>
      <c r="D60" s="46"/>
      <c r="E60" s="46"/>
      <c r="F60" s="46"/>
      <c r="G60" s="42"/>
      <c r="H60" s="47"/>
      <c r="I60" s="47"/>
      <c r="J60" s="48"/>
      <c r="K60" s="28"/>
      <c r="L60" s="28"/>
      <c r="M60" s="28"/>
      <c r="N60" s="28"/>
      <c r="O60" s="28"/>
      <c r="P60" s="48"/>
      <c r="U60" s="72"/>
    </row>
    <row r="61" spans="1:21" ht="12.75">
      <c r="A61" s="28"/>
      <c r="B61" s="28"/>
      <c r="C61" s="46"/>
      <c r="D61" s="46"/>
      <c r="E61" s="46"/>
      <c r="F61" s="46"/>
      <c r="G61" s="42"/>
      <c r="H61" s="47"/>
      <c r="I61" s="47"/>
      <c r="J61" s="48"/>
      <c r="K61" s="28"/>
      <c r="L61" s="28"/>
      <c r="M61" s="28"/>
      <c r="N61" s="28"/>
      <c r="O61" s="28"/>
      <c r="P61" s="48"/>
      <c r="U61" s="72"/>
    </row>
    <row r="62" spans="1:21" ht="12.75">
      <c r="A62" s="28"/>
      <c r="B62" s="28"/>
      <c r="C62" s="46"/>
      <c r="D62" s="46"/>
      <c r="E62" s="46"/>
      <c r="F62" s="46"/>
      <c r="G62" s="42"/>
      <c r="H62" s="47"/>
      <c r="I62" s="47"/>
      <c r="J62" s="48"/>
      <c r="K62" s="28"/>
      <c r="L62" s="28"/>
      <c r="M62" s="28"/>
      <c r="N62" s="28"/>
      <c r="O62" s="28"/>
      <c r="P62" s="48"/>
      <c r="U62" s="72"/>
    </row>
    <row r="63" spans="1:21" ht="12.75">
      <c r="A63" s="28"/>
      <c r="B63" s="28"/>
      <c r="C63" s="46"/>
      <c r="D63" s="49" t="s">
        <v>117</v>
      </c>
      <c r="E63" s="46"/>
      <c r="F63" s="46"/>
      <c r="G63" s="42"/>
      <c r="H63" s="47"/>
      <c r="I63" s="47">
        <f>SUM(H22:H59)-H48</f>
        <v>2756547</v>
      </c>
      <c r="J63" s="93" t="str">
        <f>IF(I63&gt;SUM(I12:I12),"PROBLEM - You have distributed more funds for Administration than you said you want to set aside for Administration",(IF(I63&lt;SUM(I12:I12),"PROBLEM - You have not distributed as much as you said you wanted to set aside for Administration.","OK")))</f>
        <v>OK</v>
      </c>
      <c r="K63" s="93"/>
      <c r="L63" s="93"/>
      <c r="M63" s="93"/>
      <c r="N63" s="93"/>
      <c r="O63" s="93"/>
      <c r="P63" s="93"/>
      <c r="U63" s="72"/>
    </row>
    <row r="64" spans="1:21" ht="12.75">
      <c r="A64" s="28"/>
      <c r="B64" s="28"/>
      <c r="C64" s="46"/>
      <c r="D64" s="49"/>
      <c r="E64" s="46"/>
      <c r="F64" s="46"/>
      <c r="G64" s="42"/>
      <c r="H64" s="47"/>
      <c r="I64" s="47"/>
      <c r="J64" s="93"/>
      <c r="K64" s="93"/>
      <c r="L64" s="93"/>
      <c r="M64" s="93"/>
      <c r="N64" s="93"/>
      <c r="O64" s="93"/>
      <c r="P64" s="93"/>
      <c r="U64" s="73"/>
    </row>
    <row r="65" spans="1:16" ht="12.75">
      <c r="A65" s="28"/>
      <c r="B65" s="28"/>
      <c r="C65" s="46"/>
      <c r="D65" s="46"/>
      <c r="E65" s="46"/>
      <c r="F65" s="46"/>
      <c r="G65" s="42"/>
      <c r="H65" s="47"/>
      <c r="I65" s="47"/>
      <c r="J65" s="93">
        <f>IF(I63&lt;&gt;SUM(I12:I12),"The difference between what you said you wanted to set aside and the details of what you have set aside is","")</f>
      </c>
      <c r="K65" s="93"/>
      <c r="L65" s="93"/>
      <c r="M65" s="93"/>
      <c r="N65" s="93"/>
      <c r="O65" s="93"/>
      <c r="P65" s="93"/>
    </row>
    <row r="66" spans="1:16" ht="12.75">
      <c r="A66" s="28"/>
      <c r="B66" s="28"/>
      <c r="C66" s="46"/>
      <c r="D66" s="46"/>
      <c r="E66" s="46"/>
      <c r="F66" s="46"/>
      <c r="G66" s="42"/>
      <c r="H66" s="47"/>
      <c r="I66" s="47"/>
      <c r="J66" s="93"/>
      <c r="K66" s="93"/>
      <c r="L66" s="93"/>
      <c r="M66" s="93"/>
      <c r="N66" s="93"/>
      <c r="O66" s="93"/>
      <c r="P66" s="93"/>
    </row>
    <row r="67" spans="1:16" ht="12.75">
      <c r="A67" s="28"/>
      <c r="B67" s="28"/>
      <c r="C67" s="46"/>
      <c r="D67" s="46"/>
      <c r="E67" s="46"/>
      <c r="F67" s="46"/>
      <c r="G67" s="42"/>
      <c r="H67" s="47"/>
      <c r="I67" s="47"/>
      <c r="J67" s="48">
        <f>IF(I63&gt;SUM(I12:I12),I63-SUM(I12:I12),(IF(I63&lt;SUM(I12:I12),SUM(I12:I12)-I63,"")))</f>
      </c>
      <c r="K67" s="28"/>
      <c r="L67" s="28"/>
      <c r="M67" s="28"/>
      <c r="N67" s="28"/>
      <c r="O67" s="28"/>
      <c r="P67" s="28"/>
    </row>
    <row r="68" spans="1:16" ht="12.75">
      <c r="A68" s="28"/>
      <c r="B68" s="28"/>
      <c r="C68" s="28"/>
      <c r="D68" s="28"/>
      <c r="E68" s="28"/>
      <c r="F68" s="28"/>
      <c r="G68" s="26"/>
      <c r="H68" s="28"/>
      <c r="I68" s="28"/>
      <c r="J68" s="28"/>
      <c r="K68" s="28"/>
      <c r="L68" s="28"/>
      <c r="M68" s="28"/>
      <c r="N68" s="28"/>
      <c r="O68" s="28"/>
      <c r="P68" s="28"/>
    </row>
    <row r="69" spans="1:16" ht="12.75">
      <c r="A69" s="50" t="s">
        <v>118</v>
      </c>
      <c r="B69" s="28"/>
      <c r="C69" s="28"/>
      <c r="D69" s="28"/>
      <c r="E69" s="28"/>
      <c r="F69" s="28"/>
      <c r="G69" s="26"/>
      <c r="H69" s="28"/>
      <c r="I69" s="28"/>
      <c r="J69" s="28"/>
      <c r="K69" s="28"/>
      <c r="L69" s="28"/>
      <c r="M69" s="28"/>
      <c r="N69" s="28"/>
      <c r="O69" s="28"/>
      <c r="P69" s="28"/>
    </row>
    <row r="70" spans="1:16" ht="12.75">
      <c r="A70" s="50"/>
      <c r="B70" s="28"/>
      <c r="C70" s="28"/>
      <c r="D70" s="28"/>
      <c r="E70" s="28"/>
      <c r="F70" s="28"/>
      <c r="G70" s="26"/>
      <c r="H70" s="28"/>
      <c r="I70" s="28"/>
      <c r="J70" s="28"/>
      <c r="K70" s="28"/>
      <c r="L70" s="28"/>
      <c r="M70" s="28"/>
      <c r="N70" s="28"/>
      <c r="O70" s="28"/>
      <c r="P70" s="28"/>
    </row>
    <row r="71" spans="1:16" ht="12.75" customHeight="1">
      <c r="A71" s="91" t="s">
        <v>119</v>
      </c>
      <c r="B71" s="91"/>
      <c r="C71" s="91"/>
      <c r="D71" s="91"/>
      <c r="E71" s="91"/>
      <c r="F71" s="91"/>
      <c r="G71" s="26"/>
      <c r="H71" s="35"/>
      <c r="I71" s="28"/>
      <c r="J71" s="28"/>
      <c r="K71" s="28"/>
      <c r="L71" s="28"/>
      <c r="M71" s="28"/>
      <c r="N71" s="28"/>
      <c r="O71" s="28"/>
      <c r="P71" s="28"/>
    </row>
    <row r="72" spans="1:16" ht="12.75">
      <c r="A72" s="91"/>
      <c r="B72" s="91"/>
      <c r="C72" s="91"/>
      <c r="D72" s="91"/>
      <c r="E72" s="91"/>
      <c r="F72" s="91"/>
      <c r="G72" s="26"/>
      <c r="H72" s="35"/>
      <c r="I72" s="28"/>
      <c r="J72" s="28"/>
      <c r="K72" s="28"/>
      <c r="L72" s="28"/>
      <c r="M72" s="28"/>
      <c r="N72" s="28"/>
      <c r="O72" s="28"/>
      <c r="P72" s="28"/>
    </row>
    <row r="73" spans="1:16" ht="12.75">
      <c r="A73" s="91"/>
      <c r="B73" s="91"/>
      <c r="C73" s="91"/>
      <c r="D73" s="91"/>
      <c r="E73" s="91"/>
      <c r="F73" s="91"/>
      <c r="G73" s="42"/>
      <c r="H73" s="47">
        <f>(E2)</f>
        <v>13325648</v>
      </c>
      <c r="I73" s="47" t="s">
        <v>73</v>
      </c>
      <c r="J73" s="28"/>
      <c r="K73" s="28"/>
      <c r="L73" s="28"/>
      <c r="M73" s="28"/>
      <c r="N73" s="28"/>
      <c r="O73" s="28"/>
      <c r="P73" s="28"/>
    </row>
    <row r="74" spans="1:16" ht="12.75" customHeight="1">
      <c r="A74" s="102" t="s">
        <v>120</v>
      </c>
      <c r="B74" s="102"/>
      <c r="C74" s="102"/>
      <c r="D74" s="102"/>
      <c r="E74" s="102"/>
      <c r="F74" s="102"/>
      <c r="G74" s="26"/>
      <c r="H74" s="28"/>
      <c r="I74" s="28"/>
      <c r="J74" s="28"/>
      <c r="K74" s="28"/>
      <c r="L74" s="28"/>
      <c r="M74" s="28"/>
      <c r="N74" s="28"/>
      <c r="O74" s="28"/>
      <c r="P74" s="28"/>
    </row>
    <row r="75" spans="1:16" ht="12.75">
      <c r="A75" s="102"/>
      <c r="B75" s="102"/>
      <c r="C75" s="102"/>
      <c r="D75" s="102"/>
      <c r="E75" s="102"/>
      <c r="F75" s="102"/>
      <c r="G75" s="26"/>
      <c r="H75" s="47" t="s">
        <v>73</v>
      </c>
      <c r="I75" s="47" t="s">
        <v>73</v>
      </c>
      <c r="J75" s="28"/>
      <c r="K75" s="28"/>
      <c r="L75" s="28"/>
      <c r="M75" s="28"/>
      <c r="N75" s="28"/>
      <c r="O75" s="28"/>
      <c r="P75" s="28"/>
    </row>
    <row r="76" spans="1:16" ht="12.75">
      <c r="A76" s="50"/>
      <c r="B76" s="28"/>
      <c r="C76" s="28"/>
      <c r="D76" s="28"/>
      <c r="E76" s="28"/>
      <c r="F76" s="28"/>
      <c r="G76" s="26"/>
      <c r="H76" s="28"/>
      <c r="I76" s="28"/>
      <c r="J76" s="28"/>
      <c r="K76" s="28"/>
      <c r="L76" s="28"/>
      <c r="M76" s="28"/>
      <c r="N76" s="28"/>
      <c r="O76" s="28"/>
      <c r="P76" s="28"/>
    </row>
    <row r="77" spans="1:16" ht="12.75" customHeight="1">
      <c r="A77" s="91" t="s">
        <v>121</v>
      </c>
      <c r="B77" s="91"/>
      <c r="C77" s="91"/>
      <c r="D77" s="91"/>
      <c r="E77" s="91"/>
      <c r="F77" s="91"/>
      <c r="G77" s="26"/>
      <c r="H77" s="28"/>
      <c r="I77" s="28"/>
      <c r="J77" s="28"/>
      <c r="K77" s="28"/>
      <c r="L77" s="28"/>
      <c r="M77" s="28"/>
      <c r="N77" s="28"/>
      <c r="O77" s="28"/>
      <c r="P77" s="28"/>
    </row>
    <row r="78" spans="1:16" ht="12.75">
      <c r="A78" s="91"/>
      <c r="B78" s="91"/>
      <c r="C78" s="91"/>
      <c r="D78" s="91"/>
      <c r="E78" s="91"/>
      <c r="F78" s="91"/>
      <c r="G78" s="26"/>
      <c r="H78" s="28"/>
      <c r="I78" s="28"/>
      <c r="J78" s="28"/>
      <c r="K78" s="28"/>
      <c r="L78" s="28"/>
      <c r="M78" s="28"/>
      <c r="N78" s="28"/>
      <c r="O78" s="28"/>
      <c r="P78" s="28"/>
    </row>
    <row r="79" spans="1:16" ht="12.75">
      <c r="A79" s="91"/>
      <c r="B79" s="91"/>
      <c r="C79" s="91"/>
      <c r="D79" s="91"/>
      <c r="E79" s="91"/>
      <c r="F79" s="91"/>
      <c r="G79" s="42"/>
      <c r="H79" s="47">
        <f>(F2)</f>
        <v>11993083</v>
      </c>
      <c r="I79" s="47" t="s">
        <v>73</v>
      </c>
      <c r="J79" s="28"/>
      <c r="K79" s="28"/>
      <c r="L79" s="28"/>
      <c r="M79" s="28"/>
      <c r="N79" s="28"/>
      <c r="O79" s="28"/>
      <c r="P79" s="28"/>
    </row>
    <row r="80" spans="1:16" ht="12.75">
      <c r="A80" s="50"/>
      <c r="B80" s="28"/>
      <c r="C80" s="28"/>
      <c r="D80" s="28"/>
      <c r="E80" s="28"/>
      <c r="F80" s="28"/>
      <c r="G80" s="26"/>
      <c r="H80" s="28"/>
      <c r="I80" s="28"/>
      <c r="J80" s="28"/>
      <c r="K80" s="28"/>
      <c r="L80" s="28"/>
      <c r="M80" s="28"/>
      <c r="N80" s="28"/>
      <c r="O80" s="28"/>
      <c r="P80" s="28"/>
    </row>
    <row r="81" spans="1:16" ht="12.75" customHeight="1">
      <c r="A81" s="91" t="s">
        <v>122</v>
      </c>
      <c r="B81" s="91"/>
      <c r="C81" s="91"/>
      <c r="D81" s="91"/>
      <c r="E81" s="91"/>
      <c r="F81" s="91"/>
      <c r="G81" s="26"/>
      <c r="H81" s="28"/>
      <c r="I81" s="28"/>
      <c r="J81" s="28"/>
      <c r="K81" s="28"/>
      <c r="L81" s="28"/>
      <c r="M81" s="28"/>
      <c r="N81" s="28"/>
      <c r="O81" s="28"/>
      <c r="P81" s="28"/>
    </row>
    <row r="82" spans="1:16" ht="12.75">
      <c r="A82" s="91"/>
      <c r="B82" s="91"/>
      <c r="C82" s="91"/>
      <c r="D82" s="91"/>
      <c r="E82" s="91"/>
      <c r="F82" s="91"/>
      <c r="G82" s="26"/>
      <c r="H82" s="28"/>
      <c r="I82" s="28"/>
      <c r="J82" s="28"/>
      <c r="K82" s="28"/>
      <c r="L82" s="28"/>
      <c r="M82" s="28"/>
      <c r="N82" s="28"/>
      <c r="O82" s="28"/>
      <c r="P82" s="28"/>
    </row>
    <row r="83" spans="1:16" ht="12.75">
      <c r="A83" s="91"/>
      <c r="B83" s="91"/>
      <c r="C83" s="91"/>
      <c r="D83" s="91"/>
      <c r="E83" s="91"/>
      <c r="F83" s="91"/>
      <c r="G83" s="42"/>
      <c r="H83" s="47">
        <f>(G2)</f>
        <v>13991930</v>
      </c>
      <c r="I83" s="47" t="s">
        <v>73</v>
      </c>
      <c r="J83" s="28"/>
      <c r="K83" s="28"/>
      <c r="L83" s="28"/>
      <c r="M83" s="28"/>
      <c r="N83" s="28"/>
      <c r="O83" s="28"/>
      <c r="P83" s="28"/>
    </row>
    <row r="84" spans="1:16" ht="12.75" customHeight="1">
      <c r="A84" s="102" t="s">
        <v>120</v>
      </c>
      <c r="B84" s="102"/>
      <c r="C84" s="102"/>
      <c r="D84" s="102"/>
      <c r="E84" s="102"/>
      <c r="F84" s="102"/>
      <c r="G84" s="26"/>
      <c r="H84" s="28"/>
      <c r="I84" s="28"/>
      <c r="J84" s="28"/>
      <c r="K84" s="28"/>
      <c r="L84" s="28"/>
      <c r="M84" s="28"/>
      <c r="N84" s="28"/>
      <c r="O84" s="28"/>
      <c r="P84" s="28"/>
    </row>
    <row r="85" spans="1:16" ht="12.75">
      <c r="A85" s="102"/>
      <c r="B85" s="102"/>
      <c r="C85" s="102"/>
      <c r="D85" s="102"/>
      <c r="E85" s="102"/>
      <c r="F85" s="102"/>
      <c r="G85" s="26"/>
      <c r="H85" s="28"/>
      <c r="I85" s="28"/>
      <c r="J85" s="28"/>
      <c r="K85" s="28"/>
      <c r="L85" s="28"/>
      <c r="M85" s="28"/>
      <c r="N85" s="28"/>
      <c r="O85" s="28"/>
      <c r="P85" s="28"/>
    </row>
    <row r="86" spans="1:16" ht="12.75">
      <c r="A86" s="28"/>
      <c r="B86" s="28"/>
      <c r="C86" s="28"/>
      <c r="D86" s="28"/>
      <c r="E86" s="28"/>
      <c r="F86" s="28"/>
      <c r="G86" s="26"/>
      <c r="H86" s="28"/>
      <c r="I86" s="28"/>
      <c r="J86" s="28"/>
      <c r="K86" s="28"/>
      <c r="L86" s="28"/>
      <c r="M86" s="28"/>
      <c r="N86" s="28"/>
      <c r="O86" s="28"/>
      <c r="P86" s="28"/>
    </row>
    <row r="87" spans="1:16" ht="12.75" customHeight="1">
      <c r="A87" s="91" t="s">
        <v>123</v>
      </c>
      <c r="B87" s="91"/>
      <c r="C87" s="91"/>
      <c r="D87" s="91"/>
      <c r="E87" s="91"/>
      <c r="F87" s="91"/>
      <c r="G87" s="26"/>
      <c r="H87" s="28"/>
      <c r="I87" s="28"/>
      <c r="J87" s="28"/>
      <c r="K87" s="28"/>
      <c r="L87" s="28"/>
      <c r="M87" s="28"/>
      <c r="N87" s="28"/>
      <c r="O87" s="28"/>
      <c r="P87" s="28"/>
    </row>
    <row r="88" spans="1:16" ht="12.75">
      <c r="A88" s="91"/>
      <c r="B88" s="91"/>
      <c r="C88" s="91"/>
      <c r="D88" s="91"/>
      <c r="E88" s="91"/>
      <c r="F88" s="91"/>
      <c r="G88" s="26"/>
      <c r="H88" s="28"/>
      <c r="I88" s="28"/>
      <c r="J88" s="28"/>
      <c r="K88" s="28"/>
      <c r="L88" s="28"/>
      <c r="M88" s="28"/>
      <c r="N88" s="28"/>
      <c r="O88" s="28"/>
      <c r="P88" s="28"/>
    </row>
    <row r="89" spans="1:16" ht="12.75">
      <c r="A89" s="91"/>
      <c r="B89" s="91"/>
      <c r="C89" s="91"/>
      <c r="D89" s="91"/>
      <c r="E89" s="91"/>
      <c r="F89" s="91"/>
      <c r="G89" s="42"/>
      <c r="H89" s="47">
        <f>(H2)</f>
        <v>12659366</v>
      </c>
      <c r="I89" s="47" t="s">
        <v>73</v>
      </c>
      <c r="J89" s="28"/>
      <c r="K89" s="28"/>
      <c r="L89" s="28"/>
      <c r="M89" s="28"/>
      <c r="N89" s="28"/>
      <c r="O89" s="28"/>
      <c r="P89" s="28"/>
    </row>
    <row r="90" spans="1:16" ht="12.75">
      <c r="A90" s="28"/>
      <c r="B90" s="28"/>
      <c r="C90" s="28"/>
      <c r="D90" s="28"/>
      <c r="E90" s="28"/>
      <c r="F90" s="28"/>
      <c r="G90" s="26"/>
      <c r="H90" s="28"/>
      <c r="I90" s="28"/>
      <c r="J90" s="28"/>
      <c r="K90" s="28"/>
      <c r="L90" s="28"/>
      <c r="M90" s="28"/>
      <c r="N90" s="28"/>
      <c r="O90" s="28"/>
      <c r="P90" s="28"/>
    </row>
    <row r="91" spans="1:16" ht="12.75">
      <c r="A91" s="28"/>
      <c r="B91" s="28"/>
      <c r="C91" s="28"/>
      <c r="D91" s="28"/>
      <c r="E91" s="28"/>
      <c r="F91" s="28"/>
      <c r="G91" s="26"/>
      <c r="H91" s="28"/>
      <c r="I91" s="28"/>
      <c r="J91" s="28"/>
      <c r="K91" s="28"/>
      <c r="L91" s="28"/>
      <c r="M91" s="28"/>
      <c r="N91" s="28"/>
      <c r="O91" s="28"/>
      <c r="P91" s="28"/>
    </row>
    <row r="92" spans="1:16" ht="12.75">
      <c r="A92" s="98" t="s">
        <v>124</v>
      </c>
      <c r="B92" s="98"/>
      <c r="C92" s="98"/>
      <c r="D92" s="98"/>
      <c r="E92" s="98"/>
      <c r="F92" s="98"/>
      <c r="G92" s="26"/>
      <c r="H92" s="3" t="s">
        <v>125</v>
      </c>
      <c r="I92" s="51"/>
      <c r="J92" s="50" t="str">
        <f>IF(AND((H92&lt;&gt;"Yes"),(H92&lt;&gt;"YES"),(H92&lt;&gt;"Y"),(H92&lt;&gt;"yes"),(H92&lt;&gt;"y"),(H92&lt;&gt;"No"),(H92&lt;&gt;"no"),(H92&lt;&gt;"N"),(H92&lt;&gt;"no"),(H92&lt;&gt;"n")),"PROBLEM - You must indicate 'Yes' or 'No'.","  ")</f>
        <v>  </v>
      </c>
      <c r="K92" s="28"/>
      <c r="L92" s="28"/>
      <c r="M92" s="28"/>
      <c r="N92" s="28"/>
      <c r="O92" s="28"/>
      <c r="P92" s="28"/>
    </row>
    <row r="93" spans="1:16" ht="12.75">
      <c r="A93" s="34"/>
      <c r="B93" s="35"/>
      <c r="C93" s="35"/>
      <c r="D93" s="35"/>
      <c r="E93" s="35"/>
      <c r="F93" s="35"/>
      <c r="G93" s="26"/>
      <c r="H93" s="35"/>
      <c r="I93" s="51"/>
      <c r="J93" s="52" t="s">
        <v>126</v>
      </c>
      <c r="K93" s="28"/>
      <c r="L93" s="28"/>
      <c r="M93" s="28"/>
      <c r="N93" s="28"/>
      <c r="O93" s="28"/>
      <c r="P93" s="28"/>
    </row>
    <row r="94" spans="1:16" ht="12.75">
      <c r="A94" s="34"/>
      <c r="B94" s="97" t="s">
        <v>127</v>
      </c>
      <c r="C94" s="97"/>
      <c r="D94" s="97"/>
      <c r="E94" s="97"/>
      <c r="F94" s="97"/>
      <c r="G94" s="26"/>
      <c r="H94" s="83"/>
      <c r="I94" s="51"/>
      <c r="J94" s="52" t="s">
        <v>125</v>
      </c>
      <c r="K94" s="28"/>
      <c r="L94" s="28"/>
      <c r="M94" s="28"/>
      <c r="N94" s="28"/>
      <c r="O94" s="28"/>
      <c r="P94" s="28"/>
    </row>
    <row r="95" spans="1:16" ht="12.75">
      <c r="A95" s="34"/>
      <c r="B95" s="97" t="s">
        <v>128</v>
      </c>
      <c r="C95" s="97"/>
      <c r="D95" s="97"/>
      <c r="E95" s="97"/>
      <c r="F95" s="97"/>
      <c r="G95" s="26"/>
      <c r="H95" s="35" t="s">
        <v>73</v>
      </c>
      <c r="I95" s="51"/>
      <c r="J95" s="29"/>
      <c r="K95" s="28"/>
      <c r="L95" s="28"/>
      <c r="M95" s="28"/>
      <c r="N95" s="28"/>
      <c r="O95" s="28"/>
      <c r="P95" s="28"/>
    </row>
    <row r="96" spans="1:16" ht="12.75">
      <c r="A96" s="34"/>
      <c r="B96" s="100" t="str">
        <f>IF(OR((H92="Yes"),(H92="YES"),(H92="Y"),(H92="yes"),(H92="y")),"TO",IF(OR((H92="No"),(H92="NO"),(H92="N"),(H92="no"),(H92="n")),"NOT TO","WHAT?"))</f>
        <v>NOT TO</v>
      </c>
      <c r="C96" s="100"/>
      <c r="D96" s="35" t="s">
        <v>129</v>
      </c>
      <c r="E96" s="35"/>
      <c r="F96" s="35"/>
      <c r="G96" s="26"/>
      <c r="H96" s="35"/>
      <c r="I96" s="51"/>
      <c r="J96" s="28"/>
      <c r="K96" s="28"/>
      <c r="L96" s="28"/>
      <c r="M96" s="28"/>
      <c r="N96" s="28"/>
      <c r="O96" s="28"/>
      <c r="P96" s="28"/>
    </row>
    <row r="97" spans="1:16" ht="12.75">
      <c r="A97" s="34"/>
      <c r="B97" s="101" t="s">
        <v>130</v>
      </c>
      <c r="C97" s="101"/>
      <c r="D97" s="101"/>
      <c r="E97" s="101"/>
      <c r="F97" s="101"/>
      <c r="G97" s="42"/>
      <c r="H97" s="53">
        <f>IF(AND((B96="TO"),(I12&gt;850000)),H73,IF(AND((B96="NOT TO"),(I12&gt;850000)),H79,IF(AND((B96="TO"),(I12&lt;=850000)),H83,IF(AND((B96="NOT TO"),(I12&lt;=850000)),H89,""))))</f>
        <v>11993083</v>
      </c>
      <c r="I97" s="54" t="str">
        <f>IF(AND((I12&gt;850000),(J93=".")),I73,(IF(AND((I12&gt;850000),(J93&lt;&gt;".")),I79,(IF(AND((I12&lt;=850000),(J93=".")),I83,(IF(AND((I12&lt;=850000),(J93&lt;&gt;".")),I89," ")))))))</f>
        <v> </v>
      </c>
      <c r="J97" s="28"/>
      <c r="K97" s="28"/>
      <c r="L97" s="28"/>
      <c r="M97" s="28"/>
      <c r="N97" s="28"/>
      <c r="O97" s="28"/>
      <c r="P97" s="28"/>
    </row>
    <row r="98" spans="1:16" ht="12.75">
      <c r="A98" s="28"/>
      <c r="B98" s="28"/>
      <c r="C98" s="28"/>
      <c r="D98" s="28"/>
      <c r="E98" s="28"/>
      <c r="F98" s="28"/>
      <c r="G98" s="26"/>
      <c r="H98" s="50"/>
      <c r="I98" s="28">
        <f>IF(SUM(I99:I99)&lt;&gt;ROUND(SUM(I99:I99),0),"WHOLE DOLLARS","")</f>
      </c>
      <c r="J98" s="28"/>
      <c r="K98" s="28"/>
      <c r="L98" s="28"/>
      <c r="M98" s="28"/>
      <c r="N98" s="28"/>
      <c r="O98" s="28"/>
      <c r="P98" s="28"/>
    </row>
    <row r="99" spans="1:16" ht="12.75">
      <c r="A99" s="98" t="s">
        <v>131</v>
      </c>
      <c r="B99" s="98"/>
      <c r="C99" s="98"/>
      <c r="D99" s="98"/>
      <c r="E99" s="98"/>
      <c r="F99" s="98"/>
      <c r="G99" s="42"/>
      <c r="H99" s="55"/>
      <c r="I99" s="2">
        <v>11993083</v>
      </c>
      <c r="J99" s="50" t="str">
        <f>IF(SUM(I99:I99)&lt;=H97,"OK","PROBLEM - You want to set aside more than is allowed.")</f>
        <v>OK</v>
      </c>
      <c r="K99" s="28"/>
      <c r="L99" s="28"/>
      <c r="M99" s="28"/>
      <c r="N99" s="28"/>
      <c r="O99" s="28"/>
      <c r="P99" s="28"/>
    </row>
    <row r="100" spans="1:16" ht="12.75">
      <c r="A100" s="34"/>
      <c r="B100" s="34"/>
      <c r="C100" s="34"/>
      <c r="D100" s="34"/>
      <c r="E100" s="34"/>
      <c r="F100" s="34"/>
      <c r="G100" s="42"/>
      <c r="H100" s="55"/>
      <c r="I100" s="56">
        <f>IF(B96="TO",H83-H97,IF(B96="NOT TO",H89-H97," "))</f>
        <v>666283</v>
      </c>
      <c r="J100" s="50">
        <f>IF(AND(((SUM(I12:I12)-850000)&lt;I100),((SUM(I12:I12)-850000)&gt;0)),"NOTE","")</f>
      </c>
      <c r="K100" s="28"/>
      <c r="L100" s="28"/>
      <c r="M100" s="28"/>
      <c r="N100" s="28"/>
      <c r="O100" s="28"/>
      <c r="P100" s="28"/>
    </row>
    <row r="101" spans="1:16" ht="12.75">
      <c r="A101" s="34"/>
      <c r="B101" s="34"/>
      <c r="C101" s="34"/>
      <c r="D101" s="34"/>
      <c r="E101" s="34"/>
      <c r="F101" s="34"/>
      <c r="G101" s="42"/>
      <c r="H101" s="55"/>
      <c r="I101" s="84"/>
      <c r="J101" s="28">
        <f>IF(J100="NOTE","The amount that you have proposed to set aside for Administration is only","")</f>
      </c>
      <c r="K101" s="28"/>
      <c r="L101" s="28"/>
      <c r="M101" s="28"/>
      <c r="N101" s="28"/>
      <c r="O101" s="28"/>
      <c r="P101" s="28"/>
    </row>
    <row r="102" spans="1:16" ht="12.75">
      <c r="A102" s="34"/>
      <c r="B102" s="34"/>
      <c r="C102" s="34"/>
      <c r="D102" s="34"/>
      <c r="E102" s="34"/>
      <c r="F102" s="34"/>
      <c r="G102" s="42"/>
      <c r="H102" s="55"/>
      <c r="I102" s="47"/>
      <c r="J102" s="57">
        <f>IF(J100="NOTE",(I12-850000),"")</f>
      </c>
      <c r="K102" s="58" t="str">
        <f>IF(J100="NOTE","more than $850,000.  If you were to reduce the amount"," ")</f>
        <v> </v>
      </c>
      <c r="L102" s="28"/>
      <c r="M102" s="28"/>
      <c r="N102" s="28"/>
      <c r="O102" s="28"/>
      <c r="P102" s="28"/>
    </row>
    <row r="103" spans="1:16" ht="12.75">
      <c r="A103" s="35"/>
      <c r="B103" s="35"/>
      <c r="C103" s="35"/>
      <c r="D103" s="35"/>
      <c r="E103" s="35"/>
      <c r="F103" s="35"/>
      <c r="G103" s="26"/>
      <c r="H103" s="35"/>
      <c r="I103" s="28"/>
      <c r="J103" s="28" t="str">
        <f>IF(J100="NOTE","that you set aside for Administration by that amount, the maximum amount"," ")</f>
        <v> </v>
      </c>
      <c r="K103" s="28"/>
      <c r="L103" s="28"/>
      <c r="M103" s="28"/>
      <c r="N103" s="28"/>
      <c r="O103" s="28"/>
      <c r="P103" s="28"/>
    </row>
    <row r="104" spans="1:16" ht="12.75">
      <c r="A104" s="28"/>
      <c r="B104" s="28"/>
      <c r="C104" s="28"/>
      <c r="D104" s="28"/>
      <c r="E104" s="28"/>
      <c r="F104" s="28"/>
      <c r="G104" s="26"/>
      <c r="H104" s="28"/>
      <c r="I104" s="28"/>
      <c r="J104" s="28" t="str">
        <f>IF(J100="NOTE","that you could set aside for Other State-Level Activities would increase by"," ")</f>
        <v> </v>
      </c>
      <c r="K104" s="28"/>
      <c r="L104" s="28"/>
      <c r="M104" s="28"/>
      <c r="N104" s="28"/>
      <c r="O104" s="28"/>
      <c r="P104" s="28"/>
    </row>
    <row r="105" spans="1:16" ht="12.75">
      <c r="A105" s="28"/>
      <c r="B105" s="28"/>
      <c r="C105" s="28"/>
      <c r="D105" s="28"/>
      <c r="E105" s="28"/>
      <c r="F105" s="28"/>
      <c r="G105" s="26"/>
      <c r="H105" s="35"/>
      <c r="I105" s="28"/>
      <c r="J105" s="47" t="str">
        <f>IF(J100="NOTE",I100," ")</f>
        <v> </v>
      </c>
      <c r="K105" s="28"/>
      <c r="L105" s="28"/>
      <c r="M105" s="28"/>
      <c r="N105" s="28"/>
      <c r="O105" s="28"/>
      <c r="P105" s="28"/>
    </row>
    <row r="106" spans="1:16" ht="12.75">
      <c r="A106" s="98" t="s">
        <v>132</v>
      </c>
      <c r="B106" s="98"/>
      <c r="C106" s="98"/>
      <c r="D106" s="98"/>
      <c r="E106" s="98"/>
      <c r="F106" s="98"/>
      <c r="G106" s="26"/>
      <c r="H106" s="35"/>
      <c r="I106" s="28"/>
      <c r="J106" s="59" t="s">
        <v>73</v>
      </c>
      <c r="K106" s="28" t="s">
        <v>73</v>
      </c>
      <c r="L106" s="28"/>
      <c r="M106" s="28"/>
      <c r="N106" s="28"/>
      <c r="O106" s="28"/>
      <c r="P106" s="28"/>
    </row>
    <row r="107" spans="1:16" ht="12.75">
      <c r="A107" s="98" t="s">
        <v>133</v>
      </c>
      <c r="B107" s="98"/>
      <c r="C107" s="98"/>
      <c r="D107" s="98"/>
      <c r="E107" s="98"/>
      <c r="F107" s="98"/>
      <c r="G107" s="26"/>
      <c r="H107" s="35"/>
      <c r="I107" s="28"/>
      <c r="J107" s="47"/>
      <c r="K107" s="28"/>
      <c r="L107" s="28"/>
      <c r="M107" s="28"/>
      <c r="N107" s="28"/>
      <c r="O107" s="28"/>
      <c r="P107" s="28"/>
    </row>
    <row r="108" spans="1:16" ht="12.75">
      <c r="A108" s="34" t="s">
        <v>134</v>
      </c>
      <c r="B108" s="34"/>
      <c r="C108" s="34"/>
      <c r="D108" s="34"/>
      <c r="E108" s="34"/>
      <c r="F108" s="34"/>
      <c r="G108" s="26"/>
      <c r="H108" s="35"/>
      <c r="I108" s="28"/>
      <c r="J108" s="47"/>
      <c r="K108" s="28"/>
      <c r="L108" s="28"/>
      <c r="M108" s="28"/>
      <c r="N108" s="28"/>
      <c r="O108" s="28"/>
      <c r="P108" s="28"/>
    </row>
    <row r="109" spans="1:16" ht="12.75">
      <c r="A109" s="34" t="s">
        <v>135</v>
      </c>
      <c r="B109" s="34"/>
      <c r="C109" s="34"/>
      <c r="D109" s="34"/>
      <c r="E109" s="34"/>
      <c r="F109" s="34"/>
      <c r="G109" s="26"/>
      <c r="H109" s="35"/>
      <c r="I109" s="28"/>
      <c r="J109" s="47"/>
      <c r="K109" s="28"/>
      <c r="L109" s="28"/>
      <c r="M109" s="28"/>
      <c r="N109" s="28"/>
      <c r="O109" s="28"/>
      <c r="P109" s="28"/>
    </row>
    <row r="110" spans="1:16" ht="12.75">
      <c r="A110" s="28"/>
      <c r="B110" s="28"/>
      <c r="C110" s="28"/>
      <c r="D110" s="28"/>
      <c r="E110" s="28"/>
      <c r="F110" s="28"/>
      <c r="G110" s="26"/>
      <c r="H110" s="35"/>
      <c r="I110" s="28"/>
      <c r="J110" s="47"/>
      <c r="K110" s="28"/>
      <c r="L110" s="28"/>
      <c r="M110" s="28"/>
      <c r="N110" s="28"/>
      <c r="O110" s="28"/>
      <c r="P110" s="28"/>
    </row>
    <row r="111" spans="1:16" ht="12.75">
      <c r="A111" s="50">
        <f>IF(B96="TO","How much do you want to use for the High Cost Fund?","")</f>
      </c>
      <c r="B111" s="28"/>
      <c r="C111" s="28"/>
      <c r="D111" s="28"/>
      <c r="E111" s="28"/>
      <c r="F111" s="28"/>
      <c r="G111" s="26"/>
      <c r="H111" s="4"/>
      <c r="I111" s="28">
        <f>IF(SUM(H111:H111)&lt;&gt;ROUND(SUM(H111:H111),0),"WHOLE DOLLARS","")</f>
      </c>
      <c r="J111" s="48" t="str">
        <f>IF(B96="NOT TO","Leave Blank",(IF(AND(B96="TO",SUM(H111:H111)&lt;E112),"PROBLEM - You have not set aside enough money for the High Cost Fund","OK")))</f>
        <v>Leave Blank</v>
      </c>
      <c r="K111" s="28"/>
      <c r="L111" s="28"/>
      <c r="M111" s="28"/>
      <c r="N111" s="28"/>
      <c r="O111" s="28"/>
      <c r="P111" s="28"/>
    </row>
    <row r="112" spans="1:16" ht="12.75">
      <c r="A112" s="28"/>
      <c r="B112" s="60"/>
      <c r="C112" s="60"/>
      <c r="D112" s="60">
        <f>IF(B96="TO","You must use at least","")</f>
      </c>
      <c r="E112" s="99">
        <f>IF(B96="TO",ROUND((SUM(I99:I99)*0.1),0),"")</f>
      </c>
      <c r="F112" s="99"/>
      <c r="G112" s="99"/>
      <c r="H112" s="46" t="s">
        <v>73</v>
      </c>
      <c r="I112" s="28" t="s">
        <v>73</v>
      </c>
      <c r="J112" s="47"/>
      <c r="K112" s="28"/>
      <c r="L112" s="28"/>
      <c r="M112" s="28"/>
      <c r="N112" s="28"/>
      <c r="O112" s="28"/>
      <c r="P112" s="28"/>
    </row>
    <row r="113" spans="1:16" ht="12.75">
      <c r="A113" s="28"/>
      <c r="B113" s="28"/>
      <c r="C113" s="28"/>
      <c r="D113" s="28"/>
      <c r="E113" s="28"/>
      <c r="F113" s="28"/>
      <c r="G113" s="26"/>
      <c r="H113" s="28"/>
      <c r="I113" s="28"/>
      <c r="J113" s="28"/>
      <c r="K113" s="28"/>
      <c r="L113" s="28"/>
      <c r="M113" s="28"/>
      <c r="N113" s="28"/>
      <c r="O113" s="28"/>
      <c r="P113" s="28"/>
    </row>
    <row r="114" spans="1:16" ht="12.75">
      <c r="A114" s="28"/>
      <c r="B114" s="98" t="s">
        <v>136</v>
      </c>
      <c r="C114" s="98"/>
      <c r="D114" s="98"/>
      <c r="E114" s="98"/>
      <c r="F114" s="98"/>
      <c r="G114" s="26"/>
      <c r="H114" s="61">
        <f>SUM($I$99:$I$99)-SUM($H111:H$111)</f>
        <v>11993083</v>
      </c>
      <c r="I114" s="28" t="s">
        <v>73</v>
      </c>
      <c r="J114" s="59">
        <f>SUM(H$175:H$175)</f>
        <v>0</v>
      </c>
      <c r="K114" s="28" t="str">
        <f>IF((H$175:H$175)&lt;=SUM(I$99:I$99),"More needs to be distributed.","Too much has been distributed.")</f>
        <v>More needs to be distributed.</v>
      </c>
      <c r="L114" s="28"/>
      <c r="M114" s="28"/>
      <c r="N114" s="28"/>
      <c r="O114" s="28"/>
      <c r="P114" s="28"/>
    </row>
    <row r="115" spans="1:16" ht="12.75">
      <c r="A115" s="28"/>
      <c r="B115" s="28"/>
      <c r="C115" s="28"/>
      <c r="D115" s="28"/>
      <c r="E115" s="28"/>
      <c r="F115" s="28"/>
      <c r="G115" s="26"/>
      <c r="H115" s="28"/>
      <c r="I115" s="28"/>
      <c r="J115" s="28"/>
      <c r="K115" s="28"/>
      <c r="L115" s="28"/>
      <c r="M115" s="28"/>
      <c r="N115" s="28"/>
      <c r="O115" s="28"/>
      <c r="P115" s="28"/>
    </row>
    <row r="116" spans="1:16" ht="12.75" customHeight="1">
      <c r="A116" s="28"/>
      <c r="B116" s="28"/>
      <c r="C116" s="96" t="s">
        <v>137</v>
      </c>
      <c r="D116" s="96"/>
      <c r="E116" s="96"/>
      <c r="F116" s="96"/>
      <c r="G116" s="26"/>
      <c r="H116" s="35"/>
      <c r="I116" s="28"/>
      <c r="J116" s="28"/>
      <c r="K116" s="28"/>
      <c r="L116" s="28"/>
      <c r="M116" s="28"/>
      <c r="N116" s="28"/>
      <c r="O116" s="28"/>
      <c r="P116" s="28"/>
    </row>
    <row r="117" spans="1:16" ht="12.75">
      <c r="A117" s="28"/>
      <c r="B117" s="28"/>
      <c r="C117" s="96"/>
      <c r="D117" s="96"/>
      <c r="E117" s="96"/>
      <c r="F117" s="96"/>
      <c r="G117" s="42" t="s">
        <v>138</v>
      </c>
      <c r="H117" s="2">
        <v>1537714</v>
      </c>
      <c r="I117" s="28">
        <f>IF(SUM(H117:H117)&lt;&gt;ROUND(SUM(H117:H117),0),"WHOLE DOLLARS","")</f>
      </c>
      <c r="J117" s="50" t="str">
        <f>IF((SUM(H117:H117)&gt;0)," ","PROBLEM - You must use at least $1 for this purpose.")</f>
        <v> </v>
      </c>
      <c r="K117" s="28"/>
      <c r="L117" s="28"/>
      <c r="M117" s="28"/>
      <c r="N117" s="28"/>
      <c r="O117" s="28"/>
      <c r="P117" s="28"/>
    </row>
    <row r="118" spans="1:16" ht="12.75">
      <c r="A118" s="28"/>
      <c r="B118" s="28"/>
      <c r="C118" s="28"/>
      <c r="D118" s="28"/>
      <c r="E118" s="28"/>
      <c r="F118" s="28"/>
      <c r="G118" s="26"/>
      <c r="H118" s="28"/>
      <c r="I118" s="28"/>
      <c r="J118" s="28"/>
      <c r="K118" s="28"/>
      <c r="L118" s="28"/>
      <c r="M118" s="28"/>
      <c r="N118" s="28"/>
      <c r="O118" s="28"/>
      <c r="P118" s="28"/>
    </row>
    <row r="119" spans="1:16" ht="12.75" customHeight="1">
      <c r="A119" s="28"/>
      <c r="B119" s="28"/>
      <c r="C119" s="96" t="s">
        <v>139</v>
      </c>
      <c r="D119" s="96"/>
      <c r="E119" s="96"/>
      <c r="F119" s="96"/>
      <c r="G119" s="26"/>
      <c r="H119" s="61">
        <f>SUM(H114:H114)-SUM(H117:H117)</f>
        <v>10455369</v>
      </c>
      <c r="I119" s="28" t="s">
        <v>73</v>
      </c>
      <c r="J119" s="59">
        <f>SUM(H$175:H$175)</f>
        <v>0</v>
      </c>
      <c r="K119" s="28" t="str">
        <f>IF((H$175:H$175)&lt;=SUM(I$99:I$99),"More needs to be distributed.","Too much has been distributed.")</f>
        <v>More needs to be distributed.</v>
      </c>
      <c r="L119" s="28"/>
      <c r="M119" s="28"/>
      <c r="N119" s="28"/>
      <c r="O119" s="28"/>
      <c r="P119" s="28"/>
    </row>
    <row r="120" spans="1:16" ht="12.75">
      <c r="A120" s="28"/>
      <c r="B120" s="28"/>
      <c r="C120" s="96"/>
      <c r="D120" s="96"/>
      <c r="E120" s="96"/>
      <c r="F120" s="96"/>
      <c r="G120" s="26"/>
      <c r="H120" s="46"/>
      <c r="I120" s="28"/>
      <c r="J120" s="28"/>
      <c r="K120" s="28"/>
      <c r="L120" s="28"/>
      <c r="M120" s="28"/>
      <c r="N120" s="28"/>
      <c r="O120" s="28"/>
      <c r="P120" s="28"/>
    </row>
    <row r="121" spans="1:16" ht="12.75">
      <c r="A121" s="28"/>
      <c r="B121" s="28"/>
      <c r="C121" s="96"/>
      <c r="D121" s="96"/>
      <c r="E121" s="96"/>
      <c r="F121" s="96"/>
      <c r="G121" s="42" t="s">
        <v>140</v>
      </c>
      <c r="H121" s="2">
        <v>293344</v>
      </c>
      <c r="I121" s="28">
        <f>IF(SUM(H121:H121)&lt;&gt;ROUND(SUM(H121:H121),0),"WHOLE DOLLARS","")</f>
      </c>
      <c r="J121" s="50" t="str">
        <f>IF((SUM(H121:H121)&gt;0)," ","PROBLEM - You must use at least $1 for this purpose.")</f>
        <v> </v>
      </c>
      <c r="K121" s="28"/>
      <c r="L121" s="28"/>
      <c r="M121" s="28"/>
      <c r="N121" s="28"/>
      <c r="O121" s="28"/>
      <c r="P121" s="28"/>
    </row>
    <row r="122" spans="1:16" ht="12.75">
      <c r="A122" s="28"/>
      <c r="B122" s="28"/>
      <c r="C122" s="97"/>
      <c r="D122" s="97"/>
      <c r="E122" s="97"/>
      <c r="F122" s="97"/>
      <c r="G122" s="26"/>
      <c r="H122" s="35"/>
      <c r="I122" s="28"/>
      <c r="J122" s="28"/>
      <c r="K122" s="28"/>
      <c r="L122" s="28"/>
      <c r="M122" s="28"/>
      <c r="N122" s="28"/>
      <c r="O122" s="28"/>
      <c r="P122" s="28"/>
    </row>
    <row r="123" spans="1:16" ht="12.75">
      <c r="A123" s="28"/>
      <c r="B123" s="50" t="s">
        <v>141</v>
      </c>
      <c r="C123" s="28"/>
      <c r="D123" s="28"/>
      <c r="E123" s="28"/>
      <c r="F123" s="28"/>
      <c r="G123" s="26"/>
      <c r="H123" s="61">
        <f>SUM(H119:H119)-SUM(H121:H121)</f>
        <v>10162025</v>
      </c>
      <c r="I123" s="28" t="s">
        <v>73</v>
      </c>
      <c r="J123" s="59">
        <f>SUM(H$175:H$175)</f>
        <v>0</v>
      </c>
      <c r="K123" s="28" t="str">
        <f>IF((H$175:H$175)&lt;=SUM(I$99:I$99),"More needs to be distributed.","Too much has been distributed.")</f>
        <v>More needs to be distributed.</v>
      </c>
      <c r="L123" s="28"/>
      <c r="M123" s="28"/>
      <c r="N123" s="28"/>
      <c r="O123" s="28"/>
      <c r="P123" s="28"/>
    </row>
    <row r="124" spans="1:16" ht="12.75">
      <c r="A124" s="28"/>
      <c r="B124" s="28"/>
      <c r="C124" s="28"/>
      <c r="D124" s="28"/>
      <c r="E124" s="28"/>
      <c r="F124" s="28"/>
      <c r="G124" s="26"/>
      <c r="H124" s="28"/>
      <c r="I124" s="28"/>
      <c r="J124" s="28"/>
      <c r="K124" s="28"/>
      <c r="L124" s="28"/>
      <c r="M124" s="28"/>
      <c r="N124" s="28"/>
      <c r="O124" s="28"/>
      <c r="P124" s="28"/>
    </row>
    <row r="125" spans="1:16" ht="12.75" customHeight="1">
      <c r="A125" s="28"/>
      <c r="B125" s="28"/>
      <c r="C125" s="91" t="s">
        <v>142</v>
      </c>
      <c r="D125" s="91"/>
      <c r="E125" s="91"/>
      <c r="F125" s="91"/>
      <c r="G125" s="26"/>
      <c r="H125" s="35"/>
      <c r="I125" s="28"/>
      <c r="J125" s="28"/>
      <c r="K125" s="28"/>
      <c r="L125" s="28"/>
      <c r="M125" s="28"/>
      <c r="N125" s="28"/>
      <c r="O125" s="28"/>
      <c r="P125" s="28"/>
    </row>
    <row r="126" spans="1:16" ht="12.75">
      <c r="A126" s="28"/>
      <c r="B126" s="28"/>
      <c r="C126" s="91"/>
      <c r="D126" s="91"/>
      <c r="E126" s="91"/>
      <c r="F126" s="91"/>
      <c r="G126" s="42" t="s">
        <v>143</v>
      </c>
      <c r="H126" s="2">
        <v>10162025</v>
      </c>
      <c r="I126" s="28">
        <f>IF(SUM(H126:H126)&lt;&gt;ROUND(SUM(H126:H126),0),"WHOLE DOLLARS","")</f>
      </c>
      <c r="J126" s="28" t="s">
        <v>73</v>
      </c>
      <c r="K126" s="28" t="s">
        <v>73</v>
      </c>
      <c r="L126" s="28"/>
      <c r="M126" s="28"/>
      <c r="N126" s="28"/>
      <c r="O126" s="28"/>
      <c r="P126" s="28"/>
    </row>
    <row r="127" spans="1:16" ht="12.75">
      <c r="A127" s="28"/>
      <c r="B127" s="28"/>
      <c r="C127" s="62"/>
      <c r="D127" s="62"/>
      <c r="E127" s="62"/>
      <c r="F127" s="62"/>
      <c r="G127" s="26"/>
      <c r="H127" s="28"/>
      <c r="I127" s="28"/>
      <c r="J127" s="28"/>
      <c r="K127" s="28"/>
      <c r="L127" s="28"/>
      <c r="M127" s="28"/>
      <c r="N127" s="28"/>
      <c r="O127" s="28"/>
      <c r="P127" s="28"/>
    </row>
    <row r="128" spans="1:16" ht="12.75" customHeight="1">
      <c r="A128" s="28"/>
      <c r="B128" s="28"/>
      <c r="C128" s="91" t="s">
        <v>108</v>
      </c>
      <c r="D128" s="91"/>
      <c r="E128" s="91"/>
      <c r="F128" s="91"/>
      <c r="G128" s="26"/>
      <c r="H128" s="61">
        <f>SUM(H123:H123)-SUM(H126:H126)</f>
        <v>0</v>
      </c>
      <c r="I128" s="28" t="s">
        <v>73</v>
      </c>
      <c r="J128" s="59">
        <f>SUM(H$175:H$175)</f>
        <v>0</v>
      </c>
      <c r="K128" s="28" t="str">
        <f>IF((H$175:H$175)&lt;=SUM(I$99:I$99),"More needs to be distributed.","Too much has been distributed.")</f>
        <v>More needs to be distributed.</v>
      </c>
      <c r="L128" s="28"/>
      <c r="M128" s="28"/>
      <c r="N128" s="28"/>
      <c r="O128" s="28"/>
      <c r="P128" s="28"/>
    </row>
    <row r="129" spans="1:16" ht="12.75">
      <c r="A129" s="28"/>
      <c r="B129" s="28"/>
      <c r="C129" s="91"/>
      <c r="D129" s="91"/>
      <c r="E129" s="91"/>
      <c r="F129" s="91"/>
      <c r="G129" s="26"/>
      <c r="H129" s="28"/>
      <c r="I129" s="28"/>
      <c r="J129" s="28"/>
      <c r="K129" s="28"/>
      <c r="L129" s="28"/>
      <c r="M129" s="28"/>
      <c r="N129" s="28"/>
      <c r="O129" s="28"/>
      <c r="P129" s="28"/>
    </row>
    <row r="130" spans="1:16" ht="12.75">
      <c r="A130" s="28"/>
      <c r="B130" s="28"/>
      <c r="C130" s="91"/>
      <c r="D130" s="91"/>
      <c r="E130" s="91"/>
      <c r="F130" s="91"/>
      <c r="G130" s="26" t="s">
        <v>144</v>
      </c>
      <c r="H130" s="2" t="s">
        <v>73</v>
      </c>
      <c r="I130" s="28">
        <f>IF(SUM(H130:H130)&lt;&gt;ROUND(SUM(H130:H130),0),"WHOLE DOLLARS","")</f>
      </c>
      <c r="J130" s="28"/>
      <c r="K130" s="28"/>
      <c r="L130" s="28"/>
      <c r="M130" s="28"/>
      <c r="N130" s="28"/>
      <c r="O130" s="28"/>
      <c r="P130" s="28"/>
    </row>
    <row r="131" spans="1:16" ht="12.75">
      <c r="A131" s="28"/>
      <c r="B131" s="28"/>
      <c r="C131" s="95" t="s">
        <v>73</v>
      </c>
      <c r="D131" s="95"/>
      <c r="E131" s="95"/>
      <c r="F131" s="95"/>
      <c r="G131" s="26"/>
      <c r="H131" s="61">
        <f>SUM(H128:H128)-SUM(H130:H130)</f>
        <v>0</v>
      </c>
      <c r="I131" s="28" t="s">
        <v>73</v>
      </c>
      <c r="J131" s="59">
        <f>SUM(H$175:H$175)</f>
        <v>0</v>
      </c>
      <c r="K131" s="28" t="str">
        <f>IF((H$175:H$175)&lt;=SUM(I$99:I$99),"More needs to be distributed.","Too much has been distributed.")</f>
        <v>More needs to be distributed.</v>
      </c>
      <c r="L131" s="28"/>
      <c r="M131" s="28"/>
      <c r="N131" s="28"/>
      <c r="O131" s="28"/>
      <c r="P131" s="28"/>
    </row>
    <row r="132" spans="1:16" ht="12.75" customHeight="1">
      <c r="A132" s="28"/>
      <c r="B132" s="28"/>
      <c r="C132" s="91" t="s">
        <v>110</v>
      </c>
      <c r="D132" s="91"/>
      <c r="E132" s="91"/>
      <c r="F132" s="91"/>
      <c r="G132" s="63" t="s">
        <v>145</v>
      </c>
      <c r="H132" s="2" t="s">
        <v>73</v>
      </c>
      <c r="I132" s="28">
        <f>IF(SUM(H132:H132)&lt;&gt;ROUND(SUM(H132:H132),0),"WHOLE DOLLARS","")</f>
      </c>
      <c r="J132" s="28"/>
      <c r="K132" s="28"/>
      <c r="L132" s="28"/>
      <c r="M132" s="28"/>
      <c r="N132" s="28"/>
      <c r="O132" s="28"/>
      <c r="P132" s="28"/>
    </row>
    <row r="133" spans="1:16" ht="12.75">
      <c r="A133" s="28"/>
      <c r="B133" s="28"/>
      <c r="C133" s="95"/>
      <c r="D133" s="95"/>
      <c r="E133" s="95"/>
      <c r="F133" s="95"/>
      <c r="G133" s="26"/>
      <c r="H133" s="35"/>
      <c r="I133" s="28"/>
      <c r="J133" s="28"/>
      <c r="K133" s="28"/>
      <c r="L133" s="28"/>
      <c r="M133" s="28"/>
      <c r="N133" s="28"/>
      <c r="O133" s="28"/>
      <c r="P133" s="28"/>
    </row>
    <row r="134" spans="1:16" ht="12.75" customHeight="1">
      <c r="A134" s="28"/>
      <c r="B134" s="28"/>
      <c r="C134" s="91" t="s">
        <v>112</v>
      </c>
      <c r="D134" s="91"/>
      <c r="E134" s="91"/>
      <c r="F134" s="91"/>
      <c r="G134" s="26"/>
      <c r="H134" s="61">
        <f>SUM(H131:H131)-SUM(H132:H132)</f>
        <v>0</v>
      </c>
      <c r="I134" s="28" t="s">
        <v>73</v>
      </c>
      <c r="J134" s="59">
        <f>SUM(H$175:H$175)</f>
        <v>0</v>
      </c>
      <c r="K134" s="28" t="str">
        <f>IF((H$175:H$175)&lt;=SUM(I$99:I$99),"More needs to be distributed.","Too much has been distributed.")</f>
        <v>More needs to be distributed.</v>
      </c>
      <c r="L134" s="28"/>
      <c r="M134" s="28"/>
      <c r="N134" s="28"/>
      <c r="O134" s="28"/>
      <c r="P134" s="28"/>
    </row>
    <row r="135" spans="1:16" ht="12.75">
      <c r="A135" s="28"/>
      <c r="B135" s="28"/>
      <c r="C135" s="91"/>
      <c r="D135" s="91"/>
      <c r="E135" s="91"/>
      <c r="F135" s="91"/>
      <c r="G135" s="26" t="s">
        <v>146</v>
      </c>
      <c r="H135" s="2" t="s">
        <v>73</v>
      </c>
      <c r="I135" s="28">
        <f>IF(SUM(H135:H135)&lt;&gt;ROUND(SUM(H135:H135),0),"WHOLE DOLLARS","")</f>
      </c>
      <c r="J135" s="28"/>
      <c r="K135" s="28"/>
      <c r="L135" s="28"/>
      <c r="M135" s="28"/>
      <c r="N135" s="28"/>
      <c r="O135" s="28"/>
      <c r="P135" s="28"/>
    </row>
    <row r="136" spans="1:16" ht="12.75">
      <c r="A136" s="28"/>
      <c r="B136" s="28"/>
      <c r="C136" s="62" t="s">
        <v>73</v>
      </c>
      <c r="D136" s="62"/>
      <c r="E136" s="62"/>
      <c r="F136" s="62"/>
      <c r="G136" s="26"/>
      <c r="H136" s="28"/>
      <c r="I136" s="28"/>
      <c r="J136" s="28"/>
      <c r="K136" s="28"/>
      <c r="L136" s="28"/>
      <c r="M136" s="28"/>
      <c r="N136" s="28"/>
      <c r="O136" s="28"/>
      <c r="P136" s="28"/>
    </row>
    <row r="137" spans="1:16" ht="12.75" customHeight="1">
      <c r="A137" s="28"/>
      <c r="B137" s="28"/>
      <c r="C137" s="91" t="s">
        <v>147</v>
      </c>
      <c r="D137" s="91"/>
      <c r="E137" s="91"/>
      <c r="F137" s="91"/>
      <c r="G137" s="26"/>
      <c r="H137" s="61">
        <f>SUM(H134:H134)-SUM(H135:H135)</f>
        <v>0</v>
      </c>
      <c r="I137" s="28" t="s">
        <v>73</v>
      </c>
      <c r="J137" s="59">
        <f>SUM(H$175:H$175)</f>
        <v>0</v>
      </c>
      <c r="K137" s="28" t="str">
        <f>IF((H$175:H$175)&lt;=SUM(I$99:I$99),"More needs to be distributed.","Too much has been distributed.")</f>
        <v>More needs to be distributed.</v>
      </c>
      <c r="L137" s="28"/>
      <c r="M137" s="28"/>
      <c r="N137" s="28"/>
      <c r="O137" s="28"/>
      <c r="P137" s="28"/>
    </row>
    <row r="138" spans="1:16" ht="12.75">
      <c r="A138" s="28"/>
      <c r="B138" s="28"/>
      <c r="C138" s="91"/>
      <c r="D138" s="91"/>
      <c r="E138" s="91"/>
      <c r="F138" s="91"/>
      <c r="G138" s="26" t="s">
        <v>148</v>
      </c>
      <c r="H138" s="2" t="s">
        <v>73</v>
      </c>
      <c r="I138" s="28">
        <f>IF(SUM(H138:H138)&lt;&gt;ROUND(SUM(H138:H138),0),"WHOLE DOLLARS","")</f>
      </c>
      <c r="J138" s="28"/>
      <c r="K138" s="28"/>
      <c r="L138" s="28"/>
      <c r="M138" s="28"/>
      <c r="N138" s="28"/>
      <c r="O138" s="28"/>
      <c r="P138" s="28"/>
    </row>
    <row r="139" spans="1:16" ht="12.75">
      <c r="A139" s="28"/>
      <c r="B139" s="28"/>
      <c r="C139" s="62"/>
      <c r="D139" s="62"/>
      <c r="E139" s="62"/>
      <c r="F139" s="62"/>
      <c r="G139" s="26"/>
      <c r="H139" s="28"/>
      <c r="I139" s="28"/>
      <c r="J139" s="28"/>
      <c r="K139" s="28"/>
      <c r="L139" s="28"/>
      <c r="M139" s="28"/>
      <c r="N139" s="28"/>
      <c r="O139" s="28"/>
      <c r="P139" s="28"/>
    </row>
    <row r="140" spans="1:16" ht="12.75" customHeight="1">
      <c r="A140" s="28"/>
      <c r="B140" s="28"/>
      <c r="C140" s="91" t="s">
        <v>149</v>
      </c>
      <c r="D140" s="91"/>
      <c r="E140" s="91"/>
      <c r="F140" s="91"/>
      <c r="G140" s="26"/>
      <c r="H140" s="61">
        <f>SUM(H137:H137)-SUM(H138:H138)</f>
        <v>0</v>
      </c>
      <c r="I140" s="28" t="s">
        <v>73</v>
      </c>
      <c r="J140" s="59">
        <f>SUM(H$175:H$175)</f>
        <v>0</v>
      </c>
      <c r="K140" s="28" t="str">
        <f>IF((H$175:H$175)&lt;=SUM(I$99:I$99),"More needs to be distributed.","Too much has been distributed.")</f>
        <v>More needs to be distributed.</v>
      </c>
      <c r="L140" s="28"/>
      <c r="M140" s="28"/>
      <c r="N140" s="28"/>
      <c r="O140" s="28"/>
      <c r="P140" s="28"/>
    </row>
    <row r="141" spans="1:16" ht="12.75">
      <c r="A141" s="28"/>
      <c r="B141" s="28"/>
      <c r="C141" s="91"/>
      <c r="D141" s="91"/>
      <c r="E141" s="91"/>
      <c r="F141" s="91"/>
      <c r="G141" s="26" t="s">
        <v>150</v>
      </c>
      <c r="H141" s="2" t="s">
        <v>73</v>
      </c>
      <c r="I141" s="28">
        <f>IF(SUM(H141:H141)&lt;&gt;ROUND(SUM(H141:H141),0),"WHOLE DOLLARS","")</f>
      </c>
      <c r="J141" s="28"/>
      <c r="K141" s="28"/>
      <c r="L141" s="28"/>
      <c r="M141" s="28"/>
      <c r="N141" s="28"/>
      <c r="O141" s="28"/>
      <c r="P141" s="28"/>
    </row>
    <row r="142" spans="1:16" ht="12.75">
      <c r="A142" s="28"/>
      <c r="B142" s="28"/>
      <c r="C142" s="62"/>
      <c r="D142" s="62"/>
      <c r="E142" s="62"/>
      <c r="F142" s="62"/>
      <c r="G142" s="26"/>
      <c r="H142" s="28"/>
      <c r="I142" s="28"/>
      <c r="J142" s="28"/>
      <c r="K142" s="28"/>
      <c r="L142" s="28"/>
      <c r="M142" s="28"/>
      <c r="N142" s="28"/>
      <c r="O142" s="28"/>
      <c r="P142" s="28"/>
    </row>
    <row r="143" spans="1:16" ht="12.75" customHeight="1">
      <c r="A143" s="28"/>
      <c r="B143" s="28"/>
      <c r="C143" s="91" t="s">
        <v>151</v>
      </c>
      <c r="D143" s="91"/>
      <c r="E143" s="91"/>
      <c r="F143" s="91"/>
      <c r="G143" s="26"/>
      <c r="H143" s="61">
        <f>SUM(H140:H140)-SUM(H141:H141)</f>
        <v>0</v>
      </c>
      <c r="I143" s="28" t="s">
        <v>73</v>
      </c>
      <c r="J143" s="59">
        <f>SUM(H$175:H$175)</f>
        <v>0</v>
      </c>
      <c r="K143" s="28" t="str">
        <f>IF((H$175:H$175)&lt;=SUM(I$99:I$99),"More needs to be distributed.","Too much has been distributed.")</f>
        <v>More needs to be distributed.</v>
      </c>
      <c r="L143" s="28"/>
      <c r="M143" s="28"/>
      <c r="N143" s="28"/>
      <c r="O143" s="28"/>
      <c r="P143" s="28"/>
    </row>
    <row r="144" spans="1:16" ht="12.75">
      <c r="A144" s="28"/>
      <c r="B144" s="28"/>
      <c r="C144" s="91"/>
      <c r="D144" s="91"/>
      <c r="E144" s="91"/>
      <c r="F144" s="91"/>
      <c r="G144" s="26"/>
      <c r="H144" s="28"/>
      <c r="I144" s="28"/>
      <c r="J144" s="28"/>
      <c r="K144" s="28"/>
      <c r="L144" s="28"/>
      <c r="M144" s="28"/>
      <c r="N144" s="28"/>
      <c r="O144" s="28"/>
      <c r="P144" s="28"/>
    </row>
    <row r="145" spans="1:16" ht="12.75">
      <c r="A145" s="28"/>
      <c r="B145" s="28"/>
      <c r="C145" s="91"/>
      <c r="D145" s="91"/>
      <c r="E145" s="91"/>
      <c r="F145" s="91"/>
      <c r="G145" s="26" t="s">
        <v>152</v>
      </c>
      <c r="H145" s="2" t="s">
        <v>73</v>
      </c>
      <c r="I145" s="28">
        <f>IF(SUM(H145:H145)&lt;&gt;ROUND(SUM(H145:H145),0),"WHOLE DOLLARS","")</f>
      </c>
      <c r="J145" s="28"/>
      <c r="K145" s="28"/>
      <c r="L145" s="28"/>
      <c r="M145" s="28"/>
      <c r="N145" s="28"/>
      <c r="O145" s="28"/>
      <c r="P145" s="28"/>
    </row>
    <row r="146" spans="1:16" ht="12.75">
      <c r="A146" s="28"/>
      <c r="B146" s="28"/>
      <c r="C146" s="62"/>
      <c r="D146" s="62"/>
      <c r="E146" s="62"/>
      <c r="F146" s="62"/>
      <c r="G146" s="26"/>
      <c r="H146" s="28"/>
      <c r="I146" s="28"/>
      <c r="J146" s="28"/>
      <c r="K146" s="28"/>
      <c r="L146" s="28"/>
      <c r="M146" s="28"/>
      <c r="N146" s="28"/>
      <c r="O146" s="28"/>
      <c r="P146" s="28"/>
    </row>
    <row r="147" spans="1:16" ht="12.75" customHeight="1">
      <c r="A147" s="28"/>
      <c r="B147" s="28"/>
      <c r="C147" s="91" t="s">
        <v>153</v>
      </c>
      <c r="D147" s="91"/>
      <c r="E147" s="91"/>
      <c r="F147" s="91"/>
      <c r="G147" s="26"/>
      <c r="H147" s="61">
        <f>SUM(H143:H143)-SUM(H145:H145)</f>
        <v>0</v>
      </c>
      <c r="I147" s="28" t="s">
        <v>73</v>
      </c>
      <c r="J147" s="59">
        <f>SUM(H$175:H$175)</f>
        <v>0</v>
      </c>
      <c r="K147" s="28" t="str">
        <f>IF((H$175:H$175)&lt;=SUM(I$99:I$99),"More needs to be distributed.","Too much has been distributed.")</f>
        <v>More needs to be distributed.</v>
      </c>
      <c r="L147" s="28"/>
      <c r="M147" s="28"/>
      <c r="N147" s="28"/>
      <c r="O147" s="28"/>
      <c r="P147" s="28"/>
    </row>
    <row r="148" spans="1:16" ht="12.75">
      <c r="A148" s="28"/>
      <c r="B148" s="28"/>
      <c r="C148" s="91"/>
      <c r="D148" s="91"/>
      <c r="E148" s="91"/>
      <c r="F148" s="91"/>
      <c r="G148" s="26"/>
      <c r="H148" s="28"/>
      <c r="I148" s="28"/>
      <c r="J148" s="28"/>
      <c r="K148" s="28"/>
      <c r="L148" s="28"/>
      <c r="M148" s="28"/>
      <c r="N148" s="28"/>
      <c r="O148" s="28"/>
      <c r="P148" s="28"/>
    </row>
    <row r="149" spans="1:16" ht="12.75">
      <c r="A149" s="28"/>
      <c r="B149" s="28"/>
      <c r="C149" s="91"/>
      <c r="D149" s="91"/>
      <c r="E149" s="91"/>
      <c r="F149" s="91"/>
      <c r="G149" s="26" t="s">
        <v>154</v>
      </c>
      <c r="H149" s="2" t="s">
        <v>73</v>
      </c>
      <c r="I149" s="28">
        <f>IF(SUM(H149:H149)&lt;&gt;ROUND(SUM(H149:H149),0),"WHOLE DOLLARS","")</f>
      </c>
      <c r="J149" s="28"/>
      <c r="K149" s="28"/>
      <c r="L149" s="28"/>
      <c r="M149" s="28"/>
      <c r="N149" s="28"/>
      <c r="O149" s="28"/>
      <c r="P149" s="28"/>
    </row>
    <row r="150" spans="1:16" ht="12.75">
      <c r="A150" s="28"/>
      <c r="B150" s="28"/>
      <c r="C150" s="62"/>
      <c r="D150" s="62"/>
      <c r="E150" s="62"/>
      <c r="F150" s="62"/>
      <c r="G150" s="26"/>
      <c r="H150" s="28"/>
      <c r="I150" s="28"/>
      <c r="J150" s="28"/>
      <c r="K150" s="28"/>
      <c r="L150" s="28"/>
      <c r="M150" s="28"/>
      <c r="N150" s="28"/>
      <c r="O150" s="28"/>
      <c r="P150" s="28"/>
    </row>
    <row r="151" spans="1:16" ht="12.75" customHeight="1">
      <c r="A151" s="28"/>
      <c r="B151" s="28"/>
      <c r="C151" s="91" t="s">
        <v>155</v>
      </c>
      <c r="D151" s="91"/>
      <c r="E151" s="91"/>
      <c r="F151" s="91"/>
      <c r="G151" s="26"/>
      <c r="H151" s="28"/>
      <c r="I151" s="28"/>
      <c r="J151" s="28"/>
      <c r="K151" s="28"/>
      <c r="L151" s="28"/>
      <c r="M151" s="28"/>
      <c r="N151" s="28"/>
      <c r="O151" s="28"/>
      <c r="P151" s="28"/>
    </row>
    <row r="152" spans="1:16" ht="12.75">
      <c r="A152" s="28"/>
      <c r="B152" s="28"/>
      <c r="C152" s="91"/>
      <c r="D152" s="91"/>
      <c r="E152" s="91"/>
      <c r="F152" s="91"/>
      <c r="G152" s="26"/>
      <c r="H152" s="61">
        <f>SUM(H147:H147)-SUM(H149:H149)</f>
        <v>0</v>
      </c>
      <c r="I152" s="28" t="s">
        <v>73</v>
      </c>
      <c r="J152" s="59">
        <f>SUM(H$175:H$175)</f>
        <v>0</v>
      </c>
      <c r="K152" s="28" t="str">
        <f>IF((H$175:H$175)&lt;=SUM(I$99:I$99),"More needs to be distributed.","Too much has been distributed.")</f>
        <v>More needs to be distributed.</v>
      </c>
      <c r="L152" s="28"/>
      <c r="M152" s="28"/>
      <c r="N152" s="28"/>
      <c r="O152" s="28"/>
      <c r="P152" s="28"/>
    </row>
    <row r="153" spans="1:16" ht="12.75">
      <c r="A153" s="28"/>
      <c r="B153" s="28"/>
      <c r="C153" s="91"/>
      <c r="D153" s="91"/>
      <c r="E153" s="91"/>
      <c r="F153" s="91"/>
      <c r="G153" s="26"/>
      <c r="H153" s="28"/>
      <c r="I153" s="28"/>
      <c r="J153" s="28"/>
      <c r="K153" s="28"/>
      <c r="L153" s="28"/>
      <c r="M153" s="28"/>
      <c r="N153" s="28"/>
      <c r="O153" s="28"/>
      <c r="P153" s="28"/>
    </row>
    <row r="154" spans="1:16" ht="12.75">
      <c r="A154" s="28"/>
      <c r="B154" s="28"/>
      <c r="C154" s="91"/>
      <c r="D154" s="91"/>
      <c r="E154" s="91"/>
      <c r="F154" s="91"/>
      <c r="G154" s="26" t="s">
        <v>156</v>
      </c>
      <c r="H154" s="2" t="s">
        <v>73</v>
      </c>
      <c r="I154" s="28">
        <f>IF(SUM(H154:H154)&lt;&gt;ROUND(SUM(H154:H154),0),"WHOLE DOLLARS","")</f>
      </c>
      <c r="J154" s="28"/>
      <c r="K154" s="28"/>
      <c r="L154" s="28"/>
      <c r="M154" s="28"/>
      <c r="N154" s="28"/>
      <c r="O154" s="28"/>
      <c r="P154" s="28"/>
    </row>
    <row r="155" spans="1:16" ht="12.75">
      <c r="A155" s="28"/>
      <c r="B155" s="28"/>
      <c r="C155" s="62"/>
      <c r="D155" s="62"/>
      <c r="E155" s="62"/>
      <c r="F155" s="62"/>
      <c r="G155" s="26"/>
      <c r="H155" s="28"/>
      <c r="I155" s="28"/>
      <c r="J155" s="28"/>
      <c r="K155" s="28"/>
      <c r="L155" s="28"/>
      <c r="M155" s="28"/>
      <c r="N155" s="28"/>
      <c r="O155" s="28"/>
      <c r="P155" s="28"/>
    </row>
    <row r="156" spans="1:16" ht="12.75" customHeight="1">
      <c r="A156" s="28"/>
      <c r="B156" s="28"/>
      <c r="C156" s="91" t="s">
        <v>157</v>
      </c>
      <c r="D156" s="91"/>
      <c r="E156" s="91"/>
      <c r="F156" s="91"/>
      <c r="G156" s="26"/>
      <c r="H156" s="28"/>
      <c r="I156" s="28"/>
      <c r="J156" s="28"/>
      <c r="K156" s="28"/>
      <c r="L156" s="28"/>
      <c r="M156" s="28"/>
      <c r="N156" s="28"/>
      <c r="O156" s="28"/>
      <c r="P156" s="28"/>
    </row>
    <row r="157" spans="1:16" ht="12.75">
      <c r="A157" s="28"/>
      <c r="B157" s="28"/>
      <c r="C157" s="91"/>
      <c r="D157" s="91"/>
      <c r="E157" s="91"/>
      <c r="F157" s="91"/>
      <c r="G157" s="26"/>
      <c r="H157" s="61">
        <f>SUM(H152:H152)-SUM(H154:H154)</f>
        <v>0</v>
      </c>
      <c r="I157" s="28" t="s">
        <v>73</v>
      </c>
      <c r="J157" s="59">
        <f>SUM(H$175:H$175)</f>
        <v>0</v>
      </c>
      <c r="K157" s="28" t="str">
        <f>IF((H$175:H$175)&lt;=SUM(I$99:I$99),"More needs to be distributed.","Too much has been distributed.")</f>
        <v>More needs to be distributed.</v>
      </c>
      <c r="L157" s="28"/>
      <c r="M157" s="28"/>
      <c r="N157" s="28"/>
      <c r="O157" s="28"/>
      <c r="P157" s="28"/>
    </row>
    <row r="158" spans="1:16" ht="12.75">
      <c r="A158" s="28"/>
      <c r="B158" s="28"/>
      <c r="C158" s="91"/>
      <c r="D158" s="91"/>
      <c r="E158" s="91"/>
      <c r="F158" s="91"/>
      <c r="G158" s="26"/>
      <c r="H158" s="28"/>
      <c r="I158" s="28"/>
      <c r="J158" s="28"/>
      <c r="K158" s="28"/>
      <c r="L158" s="28"/>
      <c r="M158" s="28"/>
      <c r="N158" s="28"/>
      <c r="O158" s="28"/>
      <c r="P158" s="28"/>
    </row>
    <row r="159" spans="1:16" ht="12.75">
      <c r="A159" s="28"/>
      <c r="B159" s="28"/>
      <c r="C159" s="91"/>
      <c r="D159" s="91"/>
      <c r="E159" s="91"/>
      <c r="F159" s="91"/>
      <c r="G159" s="26"/>
      <c r="H159" s="28"/>
      <c r="I159" s="28"/>
      <c r="J159" s="28"/>
      <c r="K159" s="28"/>
      <c r="L159" s="28"/>
      <c r="M159" s="28"/>
      <c r="N159" s="28"/>
      <c r="O159" s="28"/>
      <c r="P159" s="28"/>
    </row>
    <row r="160" spans="1:16" ht="12.75">
      <c r="A160" s="28"/>
      <c r="B160" s="28"/>
      <c r="C160" s="91"/>
      <c r="D160" s="91"/>
      <c r="E160" s="91"/>
      <c r="F160" s="91"/>
      <c r="G160" s="26" t="s">
        <v>158</v>
      </c>
      <c r="H160" s="2" t="s">
        <v>73</v>
      </c>
      <c r="I160" s="28">
        <f>IF(SUM(H160:H160)&lt;&gt;ROUND(SUM(H160:H160),0),"WHOLE DOLLARS","")</f>
      </c>
      <c r="J160" s="28"/>
      <c r="K160" s="28"/>
      <c r="L160" s="28"/>
      <c r="M160" s="28"/>
      <c r="N160" s="28"/>
      <c r="O160" s="28"/>
      <c r="P160" s="28"/>
    </row>
    <row r="161" spans="1:16" ht="12.75">
      <c r="A161" s="28"/>
      <c r="B161" s="28"/>
      <c r="C161" s="62"/>
      <c r="D161" s="62"/>
      <c r="E161" s="62"/>
      <c r="F161" s="62"/>
      <c r="G161" s="26"/>
      <c r="H161" s="28"/>
      <c r="I161" s="28"/>
      <c r="J161" s="28"/>
      <c r="K161" s="28"/>
      <c r="L161" s="28"/>
      <c r="M161" s="28"/>
      <c r="N161" s="28"/>
      <c r="O161" s="28"/>
      <c r="P161" s="28"/>
    </row>
    <row r="162" spans="1:16" ht="12.75" customHeight="1">
      <c r="A162" s="28"/>
      <c r="B162" s="28"/>
      <c r="C162" s="91" t="s">
        <v>159</v>
      </c>
      <c r="D162" s="91"/>
      <c r="E162" s="91"/>
      <c r="F162" s="91"/>
      <c r="G162" s="26"/>
      <c r="H162" s="28"/>
      <c r="I162" s="28"/>
      <c r="J162" s="28"/>
      <c r="K162" s="28"/>
      <c r="L162" s="28"/>
      <c r="M162" s="28"/>
      <c r="N162" s="28"/>
      <c r="O162" s="28"/>
      <c r="P162" s="28"/>
    </row>
    <row r="163" spans="1:16" ht="12.75">
      <c r="A163" s="28"/>
      <c r="B163" s="28"/>
      <c r="C163" s="91"/>
      <c r="D163" s="91"/>
      <c r="E163" s="91"/>
      <c r="F163" s="91"/>
      <c r="G163" s="26"/>
      <c r="H163" s="28"/>
      <c r="I163" s="28"/>
      <c r="J163" s="28"/>
      <c r="K163" s="28"/>
      <c r="L163" s="28"/>
      <c r="M163" s="28"/>
      <c r="N163" s="28"/>
      <c r="O163" s="28"/>
      <c r="P163" s="28"/>
    </row>
    <row r="164" spans="1:16" ht="12.75">
      <c r="A164" s="28"/>
      <c r="B164" s="28"/>
      <c r="C164" s="91"/>
      <c r="D164" s="91"/>
      <c r="E164" s="91"/>
      <c r="F164" s="91"/>
      <c r="G164" s="26"/>
      <c r="H164" s="28"/>
      <c r="I164" s="28"/>
      <c r="J164" s="28"/>
      <c r="K164" s="28"/>
      <c r="L164" s="28"/>
      <c r="M164" s="28"/>
      <c r="N164" s="28"/>
      <c r="O164" s="28"/>
      <c r="P164" s="28"/>
    </row>
    <row r="165" spans="1:16" ht="12.75">
      <c r="A165" s="28"/>
      <c r="B165" s="28"/>
      <c r="C165" s="91"/>
      <c r="D165" s="91"/>
      <c r="E165" s="91"/>
      <c r="F165" s="91"/>
      <c r="G165" s="26"/>
      <c r="H165" s="28"/>
      <c r="I165" s="28"/>
      <c r="J165" s="28"/>
      <c r="K165" s="28"/>
      <c r="L165" s="28"/>
      <c r="M165" s="28"/>
      <c r="N165" s="28"/>
      <c r="O165" s="28"/>
      <c r="P165" s="28"/>
    </row>
    <row r="166" spans="1:16" ht="12.75">
      <c r="A166" s="28"/>
      <c r="B166" s="28"/>
      <c r="C166" s="91"/>
      <c r="D166" s="91"/>
      <c r="E166" s="91"/>
      <c r="F166" s="91"/>
      <c r="G166" s="26"/>
      <c r="H166" s="61">
        <f>SUM(H157:H157)-SUM(H160:H160)</f>
        <v>0</v>
      </c>
      <c r="I166" s="28" t="s">
        <v>73</v>
      </c>
      <c r="J166" s="59">
        <f>SUM(H$175:H$175)</f>
        <v>0</v>
      </c>
      <c r="K166" s="28" t="str">
        <f>IF((H$175:H$175)&lt;=SUM(I$99:I$99),"More needs to be distributed.","Too much has been distributed.")</f>
        <v>More needs to be distributed.</v>
      </c>
      <c r="L166" s="28"/>
      <c r="M166" s="28"/>
      <c r="N166" s="28"/>
      <c r="O166" s="28"/>
      <c r="P166" s="28"/>
    </row>
    <row r="167" spans="1:16" ht="12.75">
      <c r="A167" s="28"/>
      <c r="B167" s="28"/>
      <c r="C167" s="91"/>
      <c r="D167" s="91"/>
      <c r="E167" s="91"/>
      <c r="F167" s="91"/>
      <c r="G167" s="26"/>
      <c r="H167" s="28"/>
      <c r="I167" s="28"/>
      <c r="J167" s="28"/>
      <c r="K167" s="28"/>
      <c r="L167" s="28"/>
      <c r="M167" s="28"/>
      <c r="N167" s="28"/>
      <c r="O167" s="28"/>
      <c r="P167" s="28"/>
    </row>
    <row r="168" spans="1:16" ht="12.75">
      <c r="A168" s="28"/>
      <c r="B168" s="28"/>
      <c r="C168" s="91"/>
      <c r="D168" s="91"/>
      <c r="E168" s="91"/>
      <c r="F168" s="91"/>
      <c r="G168" s="26"/>
      <c r="H168" s="28"/>
      <c r="I168" s="28"/>
      <c r="J168" s="28"/>
      <c r="K168" s="28"/>
      <c r="L168" s="28"/>
      <c r="M168" s="28"/>
      <c r="N168" s="28"/>
      <c r="O168" s="28"/>
      <c r="P168" s="28"/>
    </row>
    <row r="169" spans="1:16" ht="12.75">
      <c r="A169" s="28"/>
      <c r="B169" s="28"/>
      <c r="C169" s="91"/>
      <c r="D169" s="91"/>
      <c r="E169" s="91"/>
      <c r="F169" s="91"/>
      <c r="G169" s="26"/>
      <c r="H169" s="28"/>
      <c r="I169" s="28"/>
      <c r="J169" s="28"/>
      <c r="K169" s="28"/>
      <c r="L169" s="28"/>
      <c r="M169" s="28"/>
      <c r="N169" s="28"/>
      <c r="O169" s="28"/>
      <c r="P169" s="28"/>
    </row>
    <row r="170" spans="1:16" ht="12.75">
      <c r="A170" s="28"/>
      <c r="B170" s="28"/>
      <c r="C170" s="91"/>
      <c r="D170" s="91"/>
      <c r="E170" s="91"/>
      <c r="F170" s="91"/>
      <c r="G170" s="26"/>
      <c r="H170" s="28"/>
      <c r="I170" s="28"/>
      <c r="J170" s="28"/>
      <c r="K170" s="28"/>
      <c r="L170" s="28"/>
      <c r="M170" s="28"/>
      <c r="N170" s="28"/>
      <c r="O170" s="28"/>
      <c r="P170" s="28"/>
    </row>
    <row r="171" spans="1:16" ht="12.75">
      <c r="A171" s="28"/>
      <c r="B171" s="28"/>
      <c r="C171" s="91"/>
      <c r="D171" s="91"/>
      <c r="E171" s="91"/>
      <c r="F171" s="91"/>
      <c r="G171" s="26"/>
      <c r="H171" s="28"/>
      <c r="I171" s="28"/>
      <c r="J171" s="28"/>
      <c r="K171" s="28"/>
      <c r="L171" s="28"/>
      <c r="M171" s="28"/>
      <c r="N171" s="28"/>
      <c r="O171" s="28"/>
      <c r="P171" s="28"/>
    </row>
    <row r="172" spans="1:16" ht="12.75">
      <c r="A172" s="28"/>
      <c r="B172" s="28"/>
      <c r="C172" s="91"/>
      <c r="D172" s="91"/>
      <c r="E172" s="91"/>
      <c r="F172" s="91"/>
      <c r="G172" s="26"/>
      <c r="H172" s="28"/>
      <c r="I172" s="28"/>
      <c r="J172" s="28"/>
      <c r="K172" s="28"/>
      <c r="L172" s="28"/>
      <c r="M172" s="28"/>
      <c r="N172" s="28"/>
      <c r="O172" s="28"/>
      <c r="P172" s="28"/>
    </row>
    <row r="173" spans="1:16" ht="12.75">
      <c r="A173" s="28"/>
      <c r="B173" s="28"/>
      <c r="C173" s="91"/>
      <c r="D173" s="91"/>
      <c r="E173" s="91"/>
      <c r="F173" s="91"/>
      <c r="G173" s="26" t="s">
        <v>160</v>
      </c>
      <c r="H173" s="2" t="s">
        <v>73</v>
      </c>
      <c r="I173" s="28">
        <f>IF(SUM(H173:H173)&lt;&gt;ROUND(SUM(H173:H173),0),"WHOLE DOLLARS","")</f>
      </c>
      <c r="J173" s="28"/>
      <c r="K173" s="28"/>
      <c r="L173" s="28"/>
      <c r="M173" s="28"/>
      <c r="N173" s="28"/>
      <c r="O173" s="28"/>
      <c r="P173" s="28"/>
    </row>
    <row r="174" spans="1:16" ht="12.75">
      <c r="A174" s="28"/>
      <c r="B174" s="28"/>
      <c r="C174" s="62"/>
      <c r="D174" s="62"/>
      <c r="E174" s="62"/>
      <c r="F174" s="62"/>
      <c r="G174" s="26"/>
      <c r="H174" s="28"/>
      <c r="I174" s="28"/>
      <c r="J174" s="28"/>
      <c r="K174" s="28"/>
      <c r="L174" s="28"/>
      <c r="M174" s="28"/>
      <c r="N174" s="28"/>
      <c r="O174" s="28"/>
      <c r="P174" s="28"/>
    </row>
    <row r="175" spans="1:16" ht="12.75">
      <c r="A175" s="28"/>
      <c r="B175" s="28"/>
      <c r="C175" s="62"/>
      <c r="D175" s="62"/>
      <c r="E175" s="62"/>
      <c r="F175" s="62"/>
      <c r="G175" s="26"/>
      <c r="H175" s="61">
        <f>SUM(H166:H166)-SUM(H173:H173)</f>
        <v>0</v>
      </c>
      <c r="I175" s="28" t="s">
        <v>73</v>
      </c>
      <c r="J175" s="28"/>
      <c r="K175" s="28"/>
      <c r="L175" s="28"/>
      <c r="M175" s="28"/>
      <c r="N175" s="28"/>
      <c r="O175" s="28"/>
      <c r="P175" s="28"/>
    </row>
    <row r="176" spans="1:21" ht="12.75">
      <c r="A176" s="28"/>
      <c r="B176" s="28"/>
      <c r="C176" s="35"/>
      <c r="D176" s="35"/>
      <c r="E176" s="35"/>
      <c r="F176" s="35"/>
      <c r="G176" s="26"/>
      <c r="H176" s="28"/>
      <c r="I176" s="28"/>
      <c r="J176" s="28"/>
      <c r="K176" s="28"/>
      <c r="L176" s="28"/>
      <c r="M176" s="28"/>
      <c r="N176" s="28"/>
      <c r="O176" s="28"/>
      <c r="P176" s="28"/>
      <c r="U176" s="75" t="s">
        <v>73</v>
      </c>
    </row>
    <row r="177" spans="1:21" ht="12.75">
      <c r="A177" s="28"/>
      <c r="B177" s="28"/>
      <c r="C177" s="46"/>
      <c r="D177" s="49" t="s">
        <v>161</v>
      </c>
      <c r="E177" s="46"/>
      <c r="F177" s="46"/>
      <c r="G177" s="64"/>
      <c r="H177" s="47"/>
      <c r="I177" s="65">
        <f>SUM(I99:I99)-SUM(H175:H175)</f>
        <v>11993083</v>
      </c>
      <c r="J177" s="93" t="str">
        <f>IF(I177&gt;SUM(I99:I99),"PROBLEM - You have distributed more than you said you want to set aside for Other State-Level Activities.",(IF(I177&lt;SUM(I99:I99),"PROBLEM - You have not distributed as much as you said you wanted to set aside for Other State-Level Activities.","OK")))</f>
        <v>OK</v>
      </c>
      <c r="K177" s="93"/>
      <c r="L177" s="93"/>
      <c r="M177" s="93"/>
      <c r="N177" s="93"/>
      <c r="O177" s="93"/>
      <c r="P177" s="93"/>
      <c r="U177" s="75"/>
    </row>
    <row r="178" spans="1:16" ht="12.75">
      <c r="A178" s="28"/>
      <c r="B178" s="28"/>
      <c r="C178" s="46"/>
      <c r="D178" s="49"/>
      <c r="E178" s="46"/>
      <c r="F178" s="46"/>
      <c r="G178" s="64"/>
      <c r="H178" s="47"/>
      <c r="I178" s="47"/>
      <c r="J178" s="93"/>
      <c r="K178" s="93"/>
      <c r="L178" s="93"/>
      <c r="M178" s="93"/>
      <c r="N178" s="93"/>
      <c r="O178" s="93"/>
      <c r="P178" s="93"/>
    </row>
    <row r="179" spans="1:16" ht="12.75">
      <c r="A179" s="28"/>
      <c r="B179" s="28"/>
      <c r="C179" s="46"/>
      <c r="D179" s="46"/>
      <c r="E179" s="46"/>
      <c r="F179" s="46"/>
      <c r="G179" s="64"/>
      <c r="H179" s="47"/>
      <c r="I179" s="47"/>
      <c r="J179" s="93">
        <f>IF(J177&lt;&gt;"OK","The difference between what you said you wanted to set aside and the details of what you have set aside is","")</f>
      </c>
      <c r="K179" s="93"/>
      <c r="L179" s="93"/>
      <c r="M179" s="93"/>
      <c r="N179" s="93"/>
      <c r="O179" s="93"/>
      <c r="P179" s="93"/>
    </row>
    <row r="180" spans="1:16" ht="12.75">
      <c r="A180" s="28"/>
      <c r="B180" s="28"/>
      <c r="C180" s="46"/>
      <c r="D180" s="46"/>
      <c r="E180" s="46"/>
      <c r="F180" s="46"/>
      <c r="G180" s="64"/>
      <c r="H180" s="47"/>
      <c r="I180" s="47"/>
      <c r="J180" s="93"/>
      <c r="K180" s="93"/>
      <c r="L180" s="93"/>
      <c r="M180" s="93"/>
      <c r="N180" s="93"/>
      <c r="O180" s="93"/>
      <c r="P180" s="93"/>
    </row>
    <row r="181" spans="1:16" ht="12.75">
      <c r="A181" s="28" t="s">
        <v>162</v>
      </c>
      <c r="B181" s="28"/>
      <c r="C181" s="28"/>
      <c r="D181" s="28"/>
      <c r="E181" s="28"/>
      <c r="F181" s="28"/>
      <c r="G181" s="26"/>
      <c r="H181" s="28"/>
      <c r="I181" s="28"/>
      <c r="J181" s="66">
        <f>IF(SUM(I177:I177)&gt;SUM(I99:I99),SUM(I177:I177)-SUM(I99:I99),(IF(SUM(I177:I177)&lt;SUM(I99:I99),SUM(I99:I99)-SUM(I177:I177),"")))</f>
      </c>
      <c r="K181" s="28"/>
      <c r="L181" s="28"/>
      <c r="M181" s="28"/>
      <c r="N181" s="28"/>
      <c r="O181" s="28"/>
      <c r="P181" s="28"/>
    </row>
    <row r="182" spans="1:16" ht="12.75">
      <c r="A182" s="28" t="s">
        <v>163</v>
      </c>
      <c r="B182" s="28"/>
      <c r="C182" s="28"/>
      <c r="D182" s="28"/>
      <c r="E182" s="28"/>
      <c r="F182" s="28"/>
      <c r="G182" s="26"/>
      <c r="H182" s="28"/>
      <c r="I182" s="28"/>
      <c r="J182" s="28"/>
      <c r="K182" s="28"/>
      <c r="L182" s="28"/>
      <c r="M182" s="28"/>
      <c r="N182" s="28"/>
      <c r="O182" s="28"/>
      <c r="P182" s="28"/>
    </row>
    <row r="183" spans="1:16" ht="12.75">
      <c r="A183" s="28" t="s">
        <v>164</v>
      </c>
      <c r="B183" s="28"/>
      <c r="C183" s="28"/>
      <c r="D183" s="28"/>
      <c r="E183" s="28"/>
      <c r="F183" s="28"/>
      <c r="G183" s="26"/>
      <c r="H183" s="28"/>
      <c r="I183" s="28"/>
      <c r="J183" s="28"/>
      <c r="K183" s="28"/>
      <c r="L183" s="28"/>
      <c r="M183" s="28"/>
      <c r="N183" s="28"/>
      <c r="O183" s="28"/>
      <c r="P183" s="28"/>
    </row>
    <row r="184" spans="1:16" ht="12.75">
      <c r="A184" s="94">
        <f>(H111)</f>
        <v>0</v>
      </c>
      <c r="B184" s="94"/>
      <c r="C184" s="94"/>
      <c r="D184" s="28"/>
      <c r="E184" s="28"/>
      <c r="F184" s="28"/>
      <c r="G184" s="26"/>
      <c r="H184" s="28"/>
      <c r="I184" s="28"/>
      <c r="J184" s="28"/>
      <c r="K184" s="28"/>
      <c r="L184" s="28"/>
      <c r="M184" s="28"/>
      <c r="N184" s="28"/>
      <c r="O184" s="28"/>
      <c r="P184" s="28"/>
    </row>
    <row r="185" spans="1:16" ht="12.75">
      <c r="A185" s="28"/>
      <c r="B185" s="28"/>
      <c r="C185" s="28"/>
      <c r="D185" s="28"/>
      <c r="E185" s="28"/>
      <c r="F185" s="28"/>
      <c r="G185" s="26"/>
      <c r="H185" s="28"/>
      <c r="I185" s="28"/>
      <c r="J185" s="28"/>
      <c r="K185" s="28"/>
      <c r="L185" s="28"/>
      <c r="M185" s="28"/>
      <c r="N185" s="28"/>
      <c r="O185" s="28"/>
      <c r="P185" s="28"/>
    </row>
    <row r="186" spans="1:16" ht="12.75" customHeight="1">
      <c r="A186" s="28"/>
      <c r="B186" s="28"/>
      <c r="C186" s="91" t="s">
        <v>165</v>
      </c>
      <c r="D186" s="91"/>
      <c r="E186" s="91"/>
      <c r="F186" s="91"/>
      <c r="G186" s="26"/>
      <c r="H186" s="28"/>
      <c r="I186" s="28"/>
      <c r="J186" s="28"/>
      <c r="K186" s="28"/>
      <c r="L186" s="28"/>
      <c r="M186" s="28"/>
      <c r="N186" s="28"/>
      <c r="O186" s="28"/>
      <c r="P186" s="28"/>
    </row>
    <row r="187" spans="1:16" ht="12.75">
      <c r="A187" s="28"/>
      <c r="B187" s="28"/>
      <c r="C187" s="91"/>
      <c r="D187" s="91"/>
      <c r="E187" s="91"/>
      <c r="F187" s="91"/>
      <c r="G187" s="26"/>
      <c r="H187" s="28"/>
      <c r="I187" s="28"/>
      <c r="J187" s="28"/>
      <c r="K187" s="28"/>
      <c r="L187" s="28"/>
      <c r="M187" s="28"/>
      <c r="N187" s="28"/>
      <c r="O187" s="28"/>
      <c r="P187" s="28"/>
    </row>
    <row r="188" spans="1:16" ht="12.75">
      <c r="A188" s="28"/>
      <c r="B188" s="28"/>
      <c r="C188" s="91"/>
      <c r="D188" s="91"/>
      <c r="E188" s="91"/>
      <c r="F188" s="91"/>
      <c r="G188" s="26" t="s">
        <v>166</v>
      </c>
      <c r="H188" s="2" t="s">
        <v>73</v>
      </c>
      <c r="I188" s="28">
        <f>IF(SUM(H188:H188)&lt;&gt;ROUND(SUM(H188:H188),0),"WHOLE DOLLARS","")</f>
      </c>
      <c r="J188" s="28"/>
      <c r="K188" s="28"/>
      <c r="L188" s="28"/>
      <c r="M188" s="28"/>
      <c r="N188" s="28"/>
      <c r="O188" s="28"/>
      <c r="P188" s="28"/>
    </row>
    <row r="189" spans="1:16" ht="12.75">
      <c r="A189" s="28"/>
      <c r="B189" s="28"/>
      <c r="C189" s="62"/>
      <c r="D189" s="62"/>
      <c r="E189" s="62"/>
      <c r="F189" s="62"/>
      <c r="G189" s="26"/>
      <c r="H189" s="28"/>
      <c r="I189" s="28"/>
      <c r="J189" s="28"/>
      <c r="K189" s="28"/>
      <c r="L189" s="28"/>
      <c r="M189" s="28"/>
      <c r="N189" s="28"/>
      <c r="O189" s="28"/>
      <c r="P189" s="28"/>
    </row>
    <row r="190" spans="1:16" ht="12.75" customHeight="1">
      <c r="A190" s="28"/>
      <c r="B190" s="28"/>
      <c r="C190" s="91" t="s">
        <v>167</v>
      </c>
      <c r="D190" s="91"/>
      <c r="E190" s="91"/>
      <c r="F190" s="91"/>
      <c r="G190" s="26"/>
      <c r="H190" s="28"/>
      <c r="I190" s="28"/>
      <c r="J190" s="28"/>
      <c r="K190" s="28"/>
      <c r="L190" s="28"/>
      <c r="M190" s="28"/>
      <c r="N190" s="28"/>
      <c r="O190" s="28"/>
      <c r="P190" s="28"/>
    </row>
    <row r="191" spans="1:16" ht="12.75">
      <c r="A191" s="28"/>
      <c r="B191" s="28"/>
      <c r="C191" s="91"/>
      <c r="D191" s="91"/>
      <c r="E191" s="91"/>
      <c r="F191" s="91"/>
      <c r="G191" s="26"/>
      <c r="H191" s="28"/>
      <c r="I191" s="28"/>
      <c r="J191" s="28"/>
      <c r="K191" s="28"/>
      <c r="L191" s="28"/>
      <c r="M191" s="28"/>
      <c r="N191" s="28"/>
      <c r="O191" s="28"/>
      <c r="P191" s="28"/>
    </row>
    <row r="192" spans="1:16" ht="12.75">
      <c r="A192" s="28"/>
      <c r="B192" s="28"/>
      <c r="C192" s="91"/>
      <c r="D192" s="91"/>
      <c r="E192" s="91"/>
      <c r="F192" s="91"/>
      <c r="G192" s="26"/>
      <c r="H192" s="28"/>
      <c r="I192" s="28"/>
      <c r="J192" s="28"/>
      <c r="K192" s="28"/>
      <c r="L192" s="28"/>
      <c r="M192" s="28"/>
      <c r="N192" s="28"/>
      <c r="O192" s="28"/>
      <c r="P192" s="28"/>
    </row>
    <row r="193" spans="1:16" ht="12.75">
      <c r="A193" s="28"/>
      <c r="B193" s="28"/>
      <c r="C193" s="91"/>
      <c r="D193" s="91"/>
      <c r="E193" s="91"/>
      <c r="F193" s="91"/>
      <c r="G193" s="26"/>
      <c r="H193" s="28"/>
      <c r="I193" s="28"/>
      <c r="J193" s="28"/>
      <c r="K193" s="28"/>
      <c r="L193" s="28"/>
      <c r="M193" s="28"/>
      <c r="N193" s="28"/>
      <c r="O193" s="28"/>
      <c r="P193" s="28"/>
    </row>
    <row r="194" spans="1:16" ht="12.75">
      <c r="A194" s="28"/>
      <c r="B194" s="28"/>
      <c r="C194" s="91"/>
      <c r="D194" s="91"/>
      <c r="E194" s="91"/>
      <c r="F194" s="91"/>
      <c r="G194" s="26" t="s">
        <v>168</v>
      </c>
      <c r="H194" s="2" t="s">
        <v>73</v>
      </c>
      <c r="I194" s="28">
        <f>IF(SUM(H194:H194)&lt;&gt;ROUND(SUM(H194:H194),0),"WHOLE DOLLARS","")</f>
      </c>
      <c r="J194" s="50">
        <f>IF(SUM(H194:H194)&gt;(ROUND(SUM(H111:H111)*0.05,0)),"PROBLEM - This is more than 5% of the High Cost Fund.  5% is","")</f>
      </c>
      <c r="K194" s="28"/>
      <c r="L194" s="28"/>
      <c r="M194" s="28"/>
      <c r="N194" s="28"/>
      <c r="O194" s="28"/>
      <c r="P194" s="28"/>
    </row>
    <row r="195" spans="1:16" ht="12.75">
      <c r="A195" s="28"/>
      <c r="B195" s="28"/>
      <c r="C195" s="39"/>
      <c r="D195" s="39"/>
      <c r="E195" s="39"/>
      <c r="F195" s="39"/>
      <c r="G195" s="26"/>
      <c r="H195" s="43"/>
      <c r="I195" s="28"/>
      <c r="J195" s="48">
        <f>IF(SUM(H194:H194)&gt;ROUND(SUM(H111:H111)*0.05,0),ROUND(H111*0.05,0),"")</f>
      </c>
      <c r="K195" s="28"/>
      <c r="L195" s="28"/>
      <c r="M195" s="28"/>
      <c r="N195" s="28"/>
      <c r="O195" s="28"/>
      <c r="P195" s="28"/>
    </row>
    <row r="196" spans="1:16" ht="12.75">
      <c r="A196" s="28"/>
      <c r="B196" s="28"/>
      <c r="C196" s="62"/>
      <c r="D196" s="62"/>
      <c r="E196" s="62"/>
      <c r="F196" s="62"/>
      <c r="G196" s="26"/>
      <c r="H196" s="28"/>
      <c r="I196" s="28"/>
      <c r="J196" s="28"/>
      <c r="K196" s="28"/>
      <c r="L196" s="28"/>
      <c r="M196" s="28"/>
      <c r="N196" s="28"/>
      <c r="O196" s="28"/>
      <c r="P196" s="28"/>
    </row>
    <row r="197" spans="1:16" ht="12.75" customHeight="1">
      <c r="A197" s="28"/>
      <c r="B197" s="28"/>
      <c r="C197" s="91" t="s">
        <v>169</v>
      </c>
      <c r="D197" s="91"/>
      <c r="E197" s="91"/>
      <c r="F197" s="91"/>
      <c r="G197" s="26"/>
      <c r="H197" s="28"/>
      <c r="I197" s="28"/>
      <c r="J197" s="28"/>
      <c r="K197" s="28"/>
      <c r="L197" s="28"/>
      <c r="M197" s="28"/>
      <c r="N197" s="28"/>
      <c r="O197" s="28"/>
      <c r="P197" s="28"/>
    </row>
    <row r="198" spans="1:16" ht="12.75">
      <c r="A198" s="28"/>
      <c r="B198" s="28"/>
      <c r="C198" s="91"/>
      <c r="D198" s="91"/>
      <c r="E198" s="91"/>
      <c r="F198" s="91"/>
      <c r="G198" s="26"/>
      <c r="H198" s="28"/>
      <c r="I198" s="28"/>
      <c r="J198" s="28"/>
      <c r="K198" s="28"/>
      <c r="L198" s="28"/>
      <c r="M198" s="28"/>
      <c r="N198" s="28"/>
      <c r="O198" s="28"/>
      <c r="P198" s="28"/>
    </row>
    <row r="199" spans="1:16" ht="12.75">
      <c r="A199" s="28"/>
      <c r="B199" s="28"/>
      <c r="C199" s="91"/>
      <c r="D199" s="91"/>
      <c r="E199" s="91"/>
      <c r="F199" s="91"/>
      <c r="G199" s="26"/>
      <c r="H199" s="28"/>
      <c r="I199" s="28"/>
      <c r="J199" s="28"/>
      <c r="K199" s="28"/>
      <c r="L199" s="28"/>
      <c r="M199" s="28"/>
      <c r="N199" s="28"/>
      <c r="O199" s="28"/>
      <c r="P199" s="28"/>
    </row>
    <row r="200" spans="1:16" ht="12.75">
      <c r="A200" s="28"/>
      <c r="B200" s="28"/>
      <c r="C200" s="91"/>
      <c r="D200" s="91"/>
      <c r="E200" s="91"/>
      <c r="F200" s="91"/>
      <c r="G200" s="40"/>
      <c r="H200" s="28"/>
      <c r="I200" s="28"/>
      <c r="J200" s="28"/>
      <c r="K200" s="28"/>
      <c r="L200" s="28"/>
      <c r="M200" s="28"/>
      <c r="N200" s="28"/>
      <c r="O200" s="28"/>
      <c r="P200" s="28"/>
    </row>
    <row r="201" spans="1:16" ht="12.75">
      <c r="A201" s="28"/>
      <c r="B201" s="28"/>
      <c r="C201" s="39"/>
      <c r="D201" s="39"/>
      <c r="E201" s="39"/>
      <c r="F201" s="39"/>
      <c r="G201" s="40"/>
      <c r="H201" s="28"/>
      <c r="I201" s="28"/>
      <c r="J201" s="28"/>
      <c r="K201" s="28"/>
      <c r="L201" s="28"/>
      <c r="M201" s="28"/>
      <c r="N201" s="28"/>
      <c r="O201" s="28"/>
      <c r="P201" s="28"/>
    </row>
    <row r="202" spans="1:16" ht="29.25" customHeight="1">
      <c r="A202" s="28"/>
      <c r="B202" s="28"/>
      <c r="C202" s="46"/>
      <c r="D202" s="92" t="s">
        <v>170</v>
      </c>
      <c r="E202" s="92"/>
      <c r="F202" s="92"/>
      <c r="G202" s="42"/>
      <c r="H202" s="67">
        <f>SUM(H188:H194)</f>
        <v>0</v>
      </c>
      <c r="I202" s="47" t="s">
        <v>73</v>
      </c>
      <c r="J202" s="93" t="str">
        <f>IF(SUM(H111:H111)&lt;&gt;H202,"PROBLEM - The sum of these 2 activities must equal what you proposed to use for the High Cost Fund.  The difference is","OK")</f>
        <v>OK</v>
      </c>
      <c r="K202" s="93"/>
      <c r="L202" s="93"/>
      <c r="M202" s="93"/>
      <c r="N202" s="93"/>
      <c r="O202" s="93"/>
      <c r="P202" s="93"/>
    </row>
    <row r="203" ht="12.75">
      <c r="J203" s="11">
        <f>IF(J202&lt;&gt;"OK",MAX(SUM(H202:H202)-SUM(H111:H111),SUM(H111:H111)-H202),"")</f>
      </c>
    </row>
    <row r="204" ht="12.75">
      <c r="J204" s="6" t="s">
        <v>73</v>
      </c>
    </row>
    <row r="205" ht="12.75">
      <c r="U205" s="76"/>
    </row>
    <row r="206" spans="17:26" ht="18">
      <c r="Q206" s="13" t="s">
        <v>171</v>
      </c>
      <c r="R206" s="8"/>
      <c r="S206" s="8"/>
      <c r="T206" s="8"/>
      <c r="V206" s="8"/>
      <c r="W206" s="8"/>
      <c r="X206" s="8"/>
      <c r="Y206" s="8"/>
      <c r="Z206" s="8"/>
    </row>
    <row r="207" spans="17:26" ht="12.75">
      <c r="Q207" s="8"/>
      <c r="R207" s="8"/>
      <c r="S207" s="8"/>
      <c r="T207" s="8"/>
      <c r="U207" s="76"/>
      <c r="V207" s="8"/>
      <c r="W207" s="8"/>
      <c r="X207" s="8"/>
      <c r="Y207" s="8"/>
      <c r="Z207" s="8" t="s">
        <v>172</v>
      </c>
    </row>
    <row r="208" spans="17:26" ht="12.75">
      <c r="Q208" s="14" t="str">
        <f>A1</f>
        <v>Connecticut</v>
      </c>
      <c r="R208" s="15"/>
      <c r="S208" s="15"/>
      <c r="T208" s="15"/>
      <c r="U208" s="77"/>
      <c r="V208" s="15"/>
      <c r="W208" s="15"/>
      <c r="X208" s="8"/>
      <c r="Y208" s="8"/>
      <c r="Z208" s="8" t="s">
        <v>73</v>
      </c>
    </row>
    <row r="209" spans="17:26" ht="12.75">
      <c r="Q209" s="8"/>
      <c r="R209" s="8"/>
      <c r="S209" s="8"/>
      <c r="T209" s="8"/>
      <c r="U209" s="77"/>
      <c r="V209" s="8"/>
      <c r="W209" s="8"/>
      <c r="X209" s="8"/>
      <c r="Y209" s="8"/>
      <c r="Z209" s="8"/>
    </row>
    <row r="210" spans="17:26" ht="12.75">
      <c r="Q210" s="14" t="s">
        <v>173</v>
      </c>
      <c r="R210" s="15"/>
      <c r="S210" s="15"/>
      <c r="T210" s="15"/>
      <c r="U210" s="78">
        <f>ROUND((I12*0.1),0)*-1</f>
        <v>-275655</v>
      </c>
      <c r="V210" s="8"/>
      <c r="W210" s="8"/>
      <c r="X210" s="8"/>
      <c r="Y210" s="8"/>
      <c r="Z210" s="8"/>
    </row>
    <row r="211" spans="17:26" ht="12.75">
      <c r="Q211" s="16"/>
      <c r="R211" s="16"/>
      <c r="S211" s="16"/>
      <c r="T211" s="16"/>
      <c r="U211" s="76"/>
      <c r="V211" s="16"/>
      <c r="W211" s="16"/>
      <c r="X211" s="16"/>
      <c r="Y211" s="16"/>
      <c r="Z211" s="16"/>
    </row>
    <row r="212" spans="17:26" ht="12.75">
      <c r="Q212" s="16"/>
      <c r="R212" s="16" t="s">
        <v>174</v>
      </c>
      <c r="S212" s="16"/>
      <c r="T212" s="16"/>
      <c r="U212" s="77"/>
      <c r="V212" s="16"/>
      <c r="W212" s="16"/>
      <c r="X212" s="16"/>
      <c r="Y212" s="16"/>
      <c r="Z212" s="16"/>
    </row>
    <row r="213" spans="17:26" ht="12.75">
      <c r="Q213" s="16"/>
      <c r="R213" s="8" t="s">
        <v>175</v>
      </c>
      <c r="S213" s="8"/>
      <c r="T213" s="8"/>
      <c r="U213" s="79"/>
      <c r="V213" s="90" t="s">
        <v>176</v>
      </c>
      <c r="W213" s="90"/>
      <c r="X213" s="90"/>
      <c r="Y213" s="90"/>
      <c r="Z213" s="90"/>
    </row>
    <row r="214" spans="17:26" ht="12.75">
      <c r="Q214" s="16"/>
      <c r="R214" s="15" t="s">
        <v>177</v>
      </c>
      <c r="S214" s="15"/>
      <c r="T214" s="15"/>
      <c r="U214" s="79"/>
      <c r="V214" s="15"/>
      <c r="W214" s="15"/>
      <c r="X214" s="15"/>
      <c r="Y214" s="15"/>
      <c r="Z214" s="8"/>
    </row>
    <row r="215" spans="17:26" ht="12.75">
      <c r="Q215" s="16"/>
      <c r="R215" s="16"/>
      <c r="S215" s="16"/>
      <c r="T215" s="16"/>
      <c r="U215" s="79"/>
      <c r="V215" s="16"/>
      <c r="W215" s="16"/>
      <c r="X215" s="16"/>
      <c r="Y215" s="16"/>
      <c r="Z215" s="16"/>
    </row>
    <row r="216" spans="17:26" ht="12.75">
      <c r="Q216" s="16"/>
      <c r="R216" s="16"/>
      <c r="S216" s="17" t="s">
        <v>178</v>
      </c>
      <c r="T216" s="17"/>
      <c r="U216" s="79"/>
      <c r="V216" s="17"/>
      <c r="W216" s="17"/>
      <c r="X216" s="17"/>
      <c r="Y216" s="17"/>
      <c r="Z216" s="18">
        <f>I12</f>
        <v>2756547</v>
      </c>
    </row>
    <row r="217" spans="17:26" ht="12.75">
      <c r="Q217" s="16"/>
      <c r="R217" s="16"/>
      <c r="S217" s="17" t="s">
        <v>179</v>
      </c>
      <c r="T217" s="17"/>
      <c r="U217" s="79"/>
      <c r="V217" s="17"/>
      <c r="W217" s="17"/>
      <c r="X217" s="17"/>
      <c r="Y217" s="17"/>
      <c r="Z217" s="18">
        <f>I10</f>
        <v>2756547</v>
      </c>
    </row>
    <row r="218" spans="17:26" ht="12.75">
      <c r="Q218" s="16"/>
      <c r="R218" s="16"/>
      <c r="S218" s="17"/>
      <c r="T218" s="17"/>
      <c r="U218" s="79"/>
      <c r="V218" s="17"/>
      <c r="W218" s="17"/>
      <c r="X218" s="17"/>
      <c r="Y218" s="17"/>
      <c r="Z218" s="18"/>
    </row>
    <row r="219" spans="17:26" ht="12.75">
      <c r="Q219" s="16"/>
      <c r="R219" s="16"/>
      <c r="S219" s="17" t="s">
        <v>180</v>
      </c>
      <c r="T219" s="17"/>
      <c r="U219" s="77"/>
      <c r="V219" s="17"/>
      <c r="W219" s="17"/>
      <c r="X219" s="17"/>
      <c r="Y219" s="17"/>
      <c r="Z219" s="18"/>
    </row>
    <row r="220" spans="17:26" ht="12.75">
      <c r="Q220" s="16"/>
      <c r="R220" s="16"/>
      <c r="S220" s="17" t="s">
        <v>181</v>
      </c>
      <c r="T220" s="17"/>
      <c r="U220" s="79"/>
      <c r="V220" s="17"/>
      <c r="W220" s="17"/>
      <c r="X220" s="17"/>
      <c r="Y220" s="17"/>
      <c r="Z220" s="18"/>
    </row>
    <row r="221" spans="17:26" ht="12.75">
      <c r="Q221" s="16"/>
      <c r="R221" s="16"/>
      <c r="S221" s="17" t="s">
        <v>182</v>
      </c>
      <c r="T221" s="17"/>
      <c r="U221" s="79"/>
      <c r="V221" s="17"/>
      <c r="W221" s="17"/>
      <c r="X221" s="17"/>
      <c r="Y221" s="17"/>
      <c r="Z221" s="18"/>
    </row>
    <row r="222" spans="17:26" ht="12.75">
      <c r="Q222" s="16"/>
      <c r="R222" s="16"/>
      <c r="S222" s="16"/>
      <c r="T222" s="16"/>
      <c r="U222" s="79"/>
      <c r="V222" s="16"/>
      <c r="W222" s="16"/>
      <c r="X222" s="16"/>
      <c r="Y222" s="16"/>
      <c r="Z222" s="16"/>
    </row>
    <row r="223" spans="17:26" ht="12.75">
      <c r="Q223" s="16"/>
      <c r="R223" s="16"/>
      <c r="S223" s="17" t="s">
        <v>183</v>
      </c>
      <c r="T223" s="17"/>
      <c r="U223" s="79"/>
      <c r="V223" s="17"/>
      <c r="W223" s="17"/>
      <c r="X223" s="17"/>
      <c r="Y223" s="16"/>
      <c r="Z223" s="16"/>
    </row>
    <row r="224" spans="17:26" ht="12.75">
      <c r="Q224" s="16"/>
      <c r="R224" s="16"/>
      <c r="S224" s="17" t="s">
        <v>184</v>
      </c>
      <c r="T224" s="17"/>
      <c r="U224" s="77"/>
      <c r="V224" s="17"/>
      <c r="W224" s="17"/>
      <c r="X224" s="17"/>
      <c r="Y224" s="16"/>
      <c r="Z224" s="16"/>
    </row>
    <row r="225" spans="17:26" ht="12.75">
      <c r="Q225" s="16"/>
      <c r="R225" s="16"/>
      <c r="S225" s="17" t="s">
        <v>185</v>
      </c>
      <c r="T225" s="17"/>
      <c r="U225" s="77"/>
      <c r="V225" s="17"/>
      <c r="W225" s="17"/>
      <c r="X225" s="17"/>
      <c r="Y225" s="16"/>
      <c r="Z225" s="16"/>
    </row>
    <row r="226" spans="17:26" ht="12.75">
      <c r="Q226" s="16"/>
      <c r="R226" s="16"/>
      <c r="S226" s="17" t="s">
        <v>186</v>
      </c>
      <c r="T226" s="17"/>
      <c r="U226" s="77"/>
      <c r="V226" s="17"/>
      <c r="W226" s="17"/>
      <c r="X226" s="17"/>
      <c r="Y226" s="19">
        <f>(H48)</f>
        <v>0</v>
      </c>
      <c r="Z226" s="16"/>
    </row>
    <row r="227" spans="17:26" ht="12.75">
      <c r="Q227" s="16"/>
      <c r="R227" s="16"/>
      <c r="S227" s="16"/>
      <c r="T227" s="16"/>
      <c r="U227" s="77"/>
      <c r="V227" s="16"/>
      <c r="W227" s="16"/>
      <c r="X227" s="16"/>
      <c r="Y227" s="19"/>
      <c r="Z227" s="16"/>
    </row>
    <row r="228" spans="17:26" ht="12.75">
      <c r="Q228" s="16"/>
      <c r="R228" s="16"/>
      <c r="S228" s="17" t="s">
        <v>187</v>
      </c>
      <c r="T228" s="16"/>
      <c r="U228" s="77"/>
      <c r="V228" s="20">
        <f>(D2)</f>
        <v>2756547</v>
      </c>
      <c r="W228" s="21" t="s">
        <v>188</v>
      </c>
      <c r="X228" s="22">
        <f>Z217</f>
        <v>2756547</v>
      </c>
      <c r="Y228" s="16"/>
      <c r="Z228" s="16"/>
    </row>
    <row r="229" spans="17:26" ht="12.75">
      <c r="Q229" s="16"/>
      <c r="R229" s="16"/>
      <c r="S229" s="17" t="s">
        <v>189</v>
      </c>
      <c r="T229" s="16"/>
      <c r="U229" s="77"/>
      <c r="V229" s="16"/>
      <c r="W229" s="16"/>
      <c r="X229" s="16"/>
      <c r="Y229" s="16"/>
      <c r="Z229" s="16"/>
    </row>
    <row r="230" spans="17:26" ht="12.75">
      <c r="Q230" s="16"/>
      <c r="R230" s="16"/>
      <c r="S230" s="12" t="s">
        <v>190</v>
      </c>
      <c r="T230" s="16"/>
      <c r="U230" s="79"/>
      <c r="V230" s="16"/>
      <c r="W230" s="16"/>
      <c r="X230" s="19"/>
      <c r="Y230" s="16"/>
      <c r="Z230" s="16"/>
    </row>
    <row r="231" spans="17:26" ht="12.75">
      <c r="Q231" s="16"/>
      <c r="R231" s="16"/>
      <c r="S231" s="12" t="s">
        <v>191</v>
      </c>
      <c r="T231" s="16"/>
      <c r="U231" s="80">
        <f>B33</f>
        <v>401862</v>
      </c>
      <c r="V231" s="16"/>
      <c r="W231" s="16"/>
      <c r="X231" s="19"/>
      <c r="Y231" s="16"/>
      <c r="Z231" s="16"/>
    </row>
    <row r="232" spans="17:26" ht="12.75">
      <c r="Q232" s="16"/>
      <c r="R232" s="16"/>
      <c r="S232" s="16"/>
      <c r="T232" s="16"/>
      <c r="U232" s="80"/>
      <c r="V232" s="16"/>
      <c r="W232" s="16"/>
      <c r="X232" s="16"/>
      <c r="Y232" s="16"/>
      <c r="Z232" s="16"/>
    </row>
    <row r="233" spans="17:26" ht="12.75">
      <c r="Q233" s="16"/>
      <c r="R233" s="16"/>
      <c r="S233" s="17" t="s">
        <v>192</v>
      </c>
      <c r="T233" s="17"/>
      <c r="U233" s="79"/>
      <c r="V233" s="17"/>
      <c r="W233" s="17"/>
      <c r="X233" s="16"/>
      <c r="Y233" s="16"/>
      <c r="Z233" s="16"/>
    </row>
    <row r="234" spans="17:26" ht="12.75">
      <c r="Q234" s="16"/>
      <c r="R234" s="16"/>
      <c r="S234" s="88" t="s">
        <v>193</v>
      </c>
      <c r="T234" s="88"/>
      <c r="U234" s="79"/>
      <c r="V234" s="17" t="s">
        <v>194</v>
      </c>
      <c r="W234" s="17"/>
      <c r="X234" s="23"/>
      <c r="Y234" s="16"/>
      <c r="Z234" s="16"/>
    </row>
    <row r="235" spans="17:26" ht="12.75">
      <c r="Q235" s="16"/>
      <c r="R235" s="16"/>
      <c r="S235" s="17" t="s">
        <v>195</v>
      </c>
      <c r="T235" s="17"/>
      <c r="U235" s="77"/>
      <c r="V235" s="17"/>
      <c r="W235" s="17"/>
      <c r="X235" s="23"/>
      <c r="Y235" s="16"/>
      <c r="Z235" s="16"/>
    </row>
    <row r="236" spans="17:26" ht="12.75">
      <c r="Q236" s="16"/>
      <c r="R236" s="16"/>
      <c r="S236" s="17"/>
      <c r="T236" s="17"/>
      <c r="U236" s="77"/>
      <c r="V236" s="17"/>
      <c r="W236" s="17"/>
      <c r="X236" s="17"/>
      <c r="Y236" s="19"/>
      <c r="Z236" s="16"/>
    </row>
    <row r="237" spans="17:26" ht="12.75">
      <c r="Q237" s="16"/>
      <c r="R237" s="16"/>
      <c r="S237" s="17" t="s">
        <v>196</v>
      </c>
      <c r="T237" s="17"/>
      <c r="U237" s="77"/>
      <c r="V237" s="17"/>
      <c r="W237" s="17"/>
      <c r="X237" s="17"/>
      <c r="Y237" s="19"/>
      <c r="Z237" s="16"/>
    </row>
    <row r="238" spans="17:26" ht="12.75">
      <c r="Q238" s="16"/>
      <c r="R238" s="16"/>
      <c r="S238" s="16" t="s">
        <v>73</v>
      </c>
      <c r="T238" s="16"/>
      <c r="U238" s="77"/>
      <c r="V238" s="16"/>
      <c r="W238" s="16"/>
      <c r="X238" s="16"/>
      <c r="Y238" s="19"/>
      <c r="Z238" s="16"/>
    </row>
    <row r="239" spans="17:26" ht="12.75">
      <c r="Q239" s="16"/>
      <c r="R239" s="16"/>
      <c r="S239" s="16"/>
      <c r="T239" s="16" t="s">
        <v>197</v>
      </c>
      <c r="U239" s="77"/>
      <c r="V239" s="16"/>
      <c r="W239" s="16"/>
      <c r="X239" s="16"/>
      <c r="Y239" s="16"/>
      <c r="Z239" s="16"/>
    </row>
    <row r="240" spans="17:26" ht="12.75">
      <c r="Q240" s="16"/>
      <c r="R240" s="16"/>
      <c r="S240" s="16"/>
      <c r="T240" s="16" t="s">
        <v>198</v>
      </c>
      <c r="U240" s="77"/>
      <c r="V240" s="16"/>
      <c r="W240" s="16"/>
      <c r="X240" s="16"/>
      <c r="Y240" s="19" t="s">
        <v>73</v>
      </c>
      <c r="Z240" s="16"/>
    </row>
    <row r="241" spans="17:26" ht="12.75">
      <c r="Q241" s="16"/>
      <c r="R241" s="16"/>
      <c r="S241" s="16"/>
      <c r="T241" s="16"/>
      <c r="U241" s="77"/>
      <c r="V241" s="16"/>
      <c r="W241" s="16"/>
      <c r="X241" s="16"/>
      <c r="Y241" s="19"/>
      <c r="Z241" s="16"/>
    </row>
    <row r="242" spans="17:26" ht="12.75">
      <c r="Q242" s="16" t="s">
        <v>80</v>
      </c>
      <c r="R242" s="16" t="s">
        <v>73</v>
      </c>
      <c r="S242" s="16"/>
      <c r="T242" s="16" t="s">
        <v>199</v>
      </c>
      <c r="U242" s="77"/>
      <c r="V242" s="16"/>
      <c r="W242" s="16"/>
      <c r="X242" s="16"/>
      <c r="Y242" s="8"/>
      <c r="Z242" s="16"/>
    </row>
    <row r="243" spans="17:26" ht="12.75">
      <c r="Q243" s="16"/>
      <c r="R243" s="16"/>
      <c r="S243" s="16"/>
      <c r="T243" s="16" t="s">
        <v>200</v>
      </c>
      <c r="U243" s="77"/>
      <c r="V243" s="16"/>
      <c r="W243" s="16"/>
      <c r="X243" s="16"/>
      <c r="Y243" s="19" t="s">
        <v>73</v>
      </c>
      <c r="Z243" s="16"/>
    </row>
    <row r="244" spans="17:26" ht="12.75">
      <c r="Q244" s="16"/>
      <c r="R244" s="16"/>
      <c r="S244" s="16"/>
      <c r="T244" s="16"/>
      <c r="U244" s="77"/>
      <c r="V244" s="16"/>
      <c r="W244" s="16"/>
      <c r="X244" s="16"/>
      <c r="Y244" s="19"/>
      <c r="Z244" s="16"/>
    </row>
    <row r="245" spans="17:26" ht="12.75">
      <c r="Q245" s="16"/>
      <c r="R245" s="16"/>
      <c r="S245" s="16"/>
      <c r="T245" s="16" t="s">
        <v>201</v>
      </c>
      <c r="U245" s="77"/>
      <c r="V245" s="16"/>
      <c r="W245" s="16"/>
      <c r="X245" s="16"/>
      <c r="Y245" s="19" t="s">
        <v>73</v>
      </c>
      <c r="Z245" s="16"/>
    </row>
    <row r="246" spans="17:26" ht="12.75">
      <c r="Q246" s="16"/>
      <c r="R246" s="16"/>
      <c r="S246" s="16"/>
      <c r="T246" s="16"/>
      <c r="U246" s="77"/>
      <c r="V246" s="16"/>
      <c r="W246" s="16"/>
      <c r="X246" s="16"/>
      <c r="Y246" s="19"/>
      <c r="Z246" s="16"/>
    </row>
    <row r="247" spans="17:26" ht="12.75">
      <c r="Q247" s="16"/>
      <c r="R247" s="16"/>
      <c r="S247" s="16"/>
      <c r="T247" s="16" t="s">
        <v>202</v>
      </c>
      <c r="U247" s="77"/>
      <c r="V247" s="16"/>
      <c r="W247" s="16"/>
      <c r="X247" s="16"/>
      <c r="Y247" s="8"/>
      <c r="Z247" s="16"/>
    </row>
    <row r="248" spans="17:26" ht="12.75">
      <c r="Q248" s="16"/>
      <c r="R248" s="16"/>
      <c r="S248" s="16"/>
      <c r="T248" s="16" t="s">
        <v>203</v>
      </c>
      <c r="U248" s="77"/>
      <c r="V248" s="16"/>
      <c r="W248" s="16"/>
      <c r="X248" s="16"/>
      <c r="Y248" s="19" t="s">
        <v>73</v>
      </c>
      <c r="Z248" s="16"/>
    </row>
    <row r="249" spans="17:26" ht="12.75">
      <c r="Q249" s="16"/>
      <c r="R249" s="16"/>
      <c r="S249" s="16"/>
      <c r="T249" s="16"/>
      <c r="U249" s="77"/>
      <c r="V249" s="16"/>
      <c r="W249" s="16"/>
      <c r="X249" s="16"/>
      <c r="Y249" s="19"/>
      <c r="Z249" s="16"/>
    </row>
    <row r="250" spans="17:26" ht="12.75">
      <c r="Q250" s="17" t="s">
        <v>204</v>
      </c>
      <c r="R250" s="16"/>
      <c r="S250" s="16"/>
      <c r="T250" s="16"/>
      <c r="U250" s="76"/>
      <c r="V250" s="16"/>
      <c r="W250" s="16"/>
      <c r="X250" s="16"/>
      <c r="Y250" s="16"/>
      <c r="Z250" s="16"/>
    </row>
    <row r="251" spans="17:26" ht="12.75">
      <c r="Q251" s="16"/>
      <c r="R251" s="16" t="s">
        <v>73</v>
      </c>
      <c r="S251" s="16"/>
      <c r="T251" s="16"/>
      <c r="U251" s="76"/>
      <c r="V251" s="16"/>
      <c r="W251" s="16"/>
      <c r="X251" s="16"/>
      <c r="Y251" s="16"/>
      <c r="Z251" s="16"/>
    </row>
    <row r="252" spans="17:26" ht="12.75">
      <c r="Q252" s="16"/>
      <c r="R252" s="16" t="s">
        <v>205</v>
      </c>
      <c r="S252" s="16"/>
      <c r="T252" s="16"/>
      <c r="U252" s="76"/>
      <c r="V252" s="16"/>
      <c r="W252" s="16"/>
      <c r="X252" s="16"/>
      <c r="Y252" s="16"/>
      <c r="Z252" s="16"/>
    </row>
    <row r="253" spans="17:26" ht="12.75">
      <c r="Q253" s="16"/>
      <c r="R253" s="15" t="s">
        <v>206</v>
      </c>
      <c r="S253" s="15"/>
      <c r="T253" s="15"/>
      <c r="U253" s="79"/>
      <c r="V253" s="15"/>
      <c r="W253" s="15"/>
      <c r="X253" s="24">
        <f>ROUND((I99*0.1),0)*-1</f>
        <v>-1199308</v>
      </c>
      <c r="Y253" s="8"/>
      <c r="Z253" s="16"/>
    </row>
    <row r="254" spans="17:26" ht="12.75">
      <c r="Q254" s="16"/>
      <c r="R254" s="15" t="s">
        <v>207</v>
      </c>
      <c r="S254" s="15"/>
      <c r="T254" s="15"/>
      <c r="U254" s="79"/>
      <c r="V254" s="15"/>
      <c r="W254" s="15"/>
      <c r="X254" s="15"/>
      <c r="Y254" s="15"/>
      <c r="Z254" s="8"/>
    </row>
    <row r="255" spans="17:26" ht="12.75">
      <c r="Q255" s="16"/>
      <c r="R255" s="15"/>
      <c r="S255" s="15"/>
      <c r="T255" s="15"/>
      <c r="U255" s="77"/>
      <c r="V255" s="15"/>
      <c r="W255" s="15"/>
      <c r="X255" s="15"/>
      <c r="Y255" s="8"/>
      <c r="Z255" s="8"/>
    </row>
    <row r="256" spans="17:26" ht="12.75">
      <c r="Q256" s="16"/>
      <c r="R256" s="16"/>
      <c r="S256" s="17" t="s">
        <v>208</v>
      </c>
      <c r="T256" s="17"/>
      <c r="U256" s="77"/>
      <c r="V256" s="17"/>
      <c r="W256" s="17"/>
      <c r="X256" s="17"/>
      <c r="Y256" s="17"/>
      <c r="Z256" s="23">
        <f>I99</f>
        <v>11993083</v>
      </c>
    </row>
    <row r="257" spans="17:26" ht="12.75">
      <c r="Q257" s="16"/>
      <c r="R257" s="16"/>
      <c r="S257" s="17" t="s">
        <v>209</v>
      </c>
      <c r="T257" s="17"/>
      <c r="U257" s="77"/>
      <c r="V257" s="17"/>
      <c r="W257" s="17"/>
      <c r="X257" s="17"/>
      <c r="Y257" s="17"/>
      <c r="Z257" s="23"/>
    </row>
    <row r="258" spans="17:26" ht="12.75">
      <c r="Q258" s="16"/>
      <c r="R258" s="16"/>
      <c r="S258" s="17" t="s">
        <v>210</v>
      </c>
      <c r="T258" s="16"/>
      <c r="U258" s="77"/>
      <c r="V258" s="16"/>
      <c r="W258" s="16"/>
      <c r="X258" s="16"/>
      <c r="Y258" s="16"/>
      <c r="Z258" s="23">
        <f>H97</f>
        <v>11993083</v>
      </c>
    </row>
    <row r="259" spans="17:26" ht="12.75">
      <c r="Q259" s="16"/>
      <c r="R259" s="16"/>
      <c r="S259" s="17"/>
      <c r="T259" s="16"/>
      <c r="U259" s="77"/>
      <c r="V259" s="16"/>
      <c r="W259" s="16"/>
      <c r="X259" s="16"/>
      <c r="Y259" s="16"/>
      <c r="Z259" s="23"/>
    </row>
    <row r="260" spans="17:26" ht="12.75">
      <c r="Q260" s="16"/>
      <c r="R260" s="16"/>
      <c r="S260" s="17" t="s">
        <v>211</v>
      </c>
      <c r="T260" s="16"/>
      <c r="U260" s="77"/>
      <c r="V260" s="16"/>
      <c r="W260" s="16"/>
      <c r="X260" s="16"/>
      <c r="Y260" s="16"/>
      <c r="Z260" s="23"/>
    </row>
    <row r="261" spans="17:26" ht="12.75">
      <c r="Q261" s="16"/>
      <c r="R261" s="16"/>
      <c r="S261" s="17" t="s">
        <v>212</v>
      </c>
      <c r="T261" s="16"/>
      <c r="U261" s="77"/>
      <c r="V261" s="16"/>
      <c r="W261" s="16"/>
      <c r="X261" s="16"/>
      <c r="Y261" s="16"/>
      <c r="Z261" s="23"/>
    </row>
    <row r="262" spans="17:26" ht="12.75">
      <c r="Q262" s="16"/>
      <c r="R262" s="16"/>
      <c r="S262" s="17"/>
      <c r="T262" s="16"/>
      <c r="U262" s="77"/>
      <c r="V262" s="16"/>
      <c r="W262" s="16"/>
      <c r="X262" s="16"/>
      <c r="Y262" s="16"/>
      <c r="Z262" s="23"/>
    </row>
    <row r="263" spans="17:26" ht="12.75">
      <c r="Q263" s="16"/>
      <c r="R263" s="16"/>
      <c r="S263" s="17" t="s">
        <v>213</v>
      </c>
      <c r="T263" s="16"/>
      <c r="U263" s="77"/>
      <c r="V263" s="16"/>
      <c r="W263" s="16"/>
      <c r="X263" s="16"/>
      <c r="Y263" s="16"/>
      <c r="Z263" s="23"/>
    </row>
    <row r="264" spans="17:26" ht="12.75">
      <c r="Q264" s="16"/>
      <c r="R264" s="16"/>
      <c r="S264" s="17" t="s">
        <v>214</v>
      </c>
      <c r="T264" s="16"/>
      <c r="U264" s="77"/>
      <c r="V264" s="16"/>
      <c r="W264" s="16"/>
      <c r="X264" s="16"/>
      <c r="Y264" s="16"/>
      <c r="Z264" s="23"/>
    </row>
    <row r="265" spans="17:26" ht="12.75">
      <c r="Q265" s="16"/>
      <c r="R265" s="16"/>
      <c r="S265" s="17" t="s">
        <v>215</v>
      </c>
      <c r="T265" s="16"/>
      <c r="U265" s="77"/>
      <c r="V265" s="16"/>
      <c r="W265" s="16"/>
      <c r="X265" s="16"/>
      <c r="Y265" s="16"/>
      <c r="Z265" s="23"/>
    </row>
    <row r="266" spans="17:26" ht="12.75">
      <c r="Q266" s="16"/>
      <c r="R266" s="16"/>
      <c r="S266" s="17" t="s">
        <v>216</v>
      </c>
      <c r="T266" s="16"/>
      <c r="U266" s="77"/>
      <c r="V266" s="16"/>
      <c r="W266" s="16"/>
      <c r="X266" s="16"/>
      <c r="Y266" s="16"/>
      <c r="Z266" s="23"/>
    </row>
    <row r="267" spans="17:26" ht="12.75">
      <c r="Q267" s="16"/>
      <c r="R267" s="16"/>
      <c r="S267" s="17"/>
      <c r="T267" s="16"/>
      <c r="U267" s="77"/>
      <c r="V267" s="16"/>
      <c r="W267" s="16"/>
      <c r="X267" s="16"/>
      <c r="Y267" s="16"/>
      <c r="Z267" s="23"/>
    </row>
    <row r="268" spans="17:26" ht="12.75">
      <c r="Q268" s="16"/>
      <c r="R268" s="16"/>
      <c r="S268" s="17" t="str">
        <f>IF(B96="NOT TO","You indicated that you do not intend to use Other State-Level Activities funds for","")</f>
        <v>You indicated that you do not intend to use Other State-Level Activities funds for</v>
      </c>
      <c r="T268" s="16"/>
      <c r="U268" s="77"/>
      <c r="V268" s="16"/>
      <c r="W268" s="16"/>
      <c r="X268" s="16"/>
      <c r="Y268" s="16"/>
      <c r="Z268" s="23"/>
    </row>
    <row r="269" spans="17:26" ht="12.75">
      <c r="Q269" s="16"/>
      <c r="R269" s="16"/>
      <c r="S269" s="17" t="str">
        <f>IF(B96="NOT TO","a High Cost Fund.  If you decide that you want to use Other State-Level Activities ","")</f>
        <v>a High Cost Fund.  If you decide that you want to use Other State-Level Activities </v>
      </c>
      <c r="T269" s="16"/>
      <c r="U269" s="79"/>
      <c r="V269" s="16"/>
      <c r="W269" s="16"/>
      <c r="X269" s="16"/>
      <c r="Y269" s="16"/>
      <c r="Z269" s="23"/>
    </row>
    <row r="270" spans="17:26" ht="12.75">
      <c r="Q270" s="16"/>
      <c r="R270" s="16"/>
      <c r="S270" s="17" t="str">
        <f>IF(B96="NOT TO","for a High Cost Fund, you must obtain approval from the Office of","")</f>
        <v>for a High Cost Fund, you must obtain approval from the Office of</v>
      </c>
      <c r="T270" s="16"/>
      <c r="U270" s="81">
        <f>IF(B96="TO",(H111/I99)*100,"")</f>
      </c>
      <c r="V270" s="16"/>
      <c r="W270" s="16"/>
      <c r="X270" s="16"/>
      <c r="Y270" s="16"/>
      <c r="Z270" s="23"/>
    </row>
    <row r="271" spans="17:26" ht="12.75">
      <c r="Q271" s="16"/>
      <c r="R271" s="16"/>
      <c r="S271" s="17" t="str">
        <f>IF(B96="NOT TO","Special Education Programs.","")</f>
        <v>Special Education Programs.</v>
      </c>
      <c r="T271" s="16"/>
      <c r="U271" s="81"/>
      <c r="V271" s="16"/>
      <c r="W271" s="16"/>
      <c r="X271" s="16"/>
      <c r="Y271" s="16"/>
      <c r="Z271" s="23"/>
    </row>
    <row r="272" spans="17:26" ht="12.75">
      <c r="Q272" s="16"/>
      <c r="R272" s="16"/>
      <c r="S272" s="17" t="str">
        <f>IF(B96="TO","For the High Cost Fund, you reported that you would use a total of…………………………………………………..…………..."," ")</f>
        <v> </v>
      </c>
      <c r="T272" s="17"/>
      <c r="U272" s="81"/>
      <c r="V272" s="17"/>
      <c r="W272" s="17"/>
      <c r="X272" s="17"/>
      <c r="Y272" s="17"/>
      <c r="Z272" s="23">
        <f>IF(B96="TO",H202,"")</f>
      </c>
    </row>
    <row r="273" spans="17:26" ht="12.75">
      <c r="Q273" s="16"/>
      <c r="R273" s="16"/>
      <c r="S273" s="88">
        <f>IF(B96="TO","This amount is","")</f>
      </c>
      <c r="T273" s="88"/>
      <c r="U273" s="77"/>
      <c r="V273" s="88">
        <f>IF(B96="TO","percent of the total amount you proposed for Other","")</f>
      </c>
      <c r="W273" s="89"/>
      <c r="X273" s="89"/>
      <c r="Y273" s="89"/>
      <c r="Z273" s="16"/>
    </row>
    <row r="274" spans="17:26" ht="12.75">
      <c r="Q274" s="16"/>
      <c r="R274" s="16"/>
      <c r="S274" s="17">
        <f>IF(B96="TO","State-Level Activities.","")</f>
      </c>
      <c r="T274" s="17"/>
      <c r="U274" s="77"/>
      <c r="V274" s="17"/>
      <c r="W274" s="14"/>
      <c r="X274" s="14"/>
      <c r="Y274" s="14"/>
      <c r="Z274" s="16"/>
    </row>
    <row r="275" spans="17:26" ht="12.75">
      <c r="Q275" s="16"/>
      <c r="R275" s="16"/>
      <c r="S275" s="17"/>
      <c r="T275" s="17"/>
      <c r="V275" s="17"/>
      <c r="W275" s="14"/>
      <c r="X275" s="14"/>
      <c r="Y275" s="14"/>
      <c r="Z275" s="16"/>
    </row>
    <row r="276" spans="17:26" ht="12.75">
      <c r="Q276" s="16"/>
      <c r="R276" s="16"/>
      <c r="S276" s="17">
        <f>IF(B96="TO","You must ensure that at least 10 percent of the funds set aside for Other ","")</f>
      </c>
      <c r="T276" s="16"/>
      <c r="V276" s="16"/>
      <c r="W276" s="16"/>
      <c r="X276" s="16"/>
      <c r="Y276" s="16"/>
      <c r="Z276" s="16"/>
    </row>
    <row r="277" spans="17:26" ht="12.75">
      <c r="Q277" s="16"/>
      <c r="R277" s="16"/>
      <c r="S277" s="17">
        <f>IF(B96="TO","State-Level Activities are used for the High Cost Fund.  No more than 5 percent ","")</f>
      </c>
      <c r="T277" s="16"/>
      <c r="V277" s="16"/>
      <c r="W277" s="16"/>
      <c r="X277" s="16"/>
      <c r="Y277" s="16"/>
      <c r="Z277" s="16"/>
    </row>
    <row r="278" spans="17:26" ht="12.75">
      <c r="Q278" s="8"/>
      <c r="R278" s="8"/>
      <c r="S278" s="12">
        <f>IF(B96="TO","of the funds used for the High Cost Fund may be used to support innovative","")</f>
      </c>
      <c r="T278" s="8"/>
      <c r="V278" s="8"/>
      <c r="W278" s="8"/>
      <c r="X278" s="8"/>
      <c r="Y278" s="8"/>
      <c r="Z278" s="8"/>
    </row>
    <row r="279" spans="17:26" ht="12.75">
      <c r="Q279" s="8"/>
      <c r="R279" s="8"/>
      <c r="S279" s="12">
        <f>IF(B96="TO","and effective ways for cost sharing.","")</f>
      </c>
      <c r="T279" s="8"/>
      <c r="V279" s="8"/>
      <c r="W279" s="8"/>
      <c r="X279" s="8"/>
      <c r="Y279" s="8"/>
      <c r="Z279" s="8"/>
    </row>
  </sheetData>
  <sheetProtection password="87AF" sheet="1" objects="1" scenarios="1" selectLockedCells="1"/>
  <mergeCells count="66">
    <mergeCell ref="A1:E1"/>
    <mergeCell ref="A3:F3"/>
    <mergeCell ref="A10:F10"/>
    <mergeCell ref="A12:F12"/>
    <mergeCell ref="A4:F4"/>
    <mergeCell ref="A6:F6"/>
    <mergeCell ref="J12:P13"/>
    <mergeCell ref="H14:P14"/>
    <mergeCell ref="A15:F15"/>
    <mergeCell ref="A16:F16"/>
    <mergeCell ref="B18:F22"/>
    <mergeCell ref="B24:F25"/>
    <mergeCell ref="B28:F32"/>
    <mergeCell ref="B33:F33"/>
    <mergeCell ref="C35:F36"/>
    <mergeCell ref="C38:F40"/>
    <mergeCell ref="C42:F42"/>
    <mergeCell ref="C44:F46"/>
    <mergeCell ref="D48:F48"/>
    <mergeCell ref="B51:F59"/>
    <mergeCell ref="J63:P64"/>
    <mergeCell ref="J65:P66"/>
    <mergeCell ref="A71:F73"/>
    <mergeCell ref="A74:F75"/>
    <mergeCell ref="A77:F79"/>
    <mergeCell ref="A81:F83"/>
    <mergeCell ref="A84:F85"/>
    <mergeCell ref="A87:F89"/>
    <mergeCell ref="A92:F92"/>
    <mergeCell ref="B94:F94"/>
    <mergeCell ref="B95:F95"/>
    <mergeCell ref="B96:C96"/>
    <mergeCell ref="B97:F97"/>
    <mergeCell ref="A99:F99"/>
    <mergeCell ref="A106:F106"/>
    <mergeCell ref="A107:F107"/>
    <mergeCell ref="E112:G112"/>
    <mergeCell ref="B114:F114"/>
    <mergeCell ref="C116:F117"/>
    <mergeCell ref="C119:F121"/>
    <mergeCell ref="C122:F122"/>
    <mergeCell ref="C125:F126"/>
    <mergeCell ref="C128:F130"/>
    <mergeCell ref="C131:F131"/>
    <mergeCell ref="C132:F132"/>
    <mergeCell ref="C133:F133"/>
    <mergeCell ref="C134:F135"/>
    <mergeCell ref="C137:F138"/>
    <mergeCell ref="C140:F141"/>
    <mergeCell ref="C143:F145"/>
    <mergeCell ref="C147:F149"/>
    <mergeCell ref="C151:F154"/>
    <mergeCell ref="C156:F160"/>
    <mergeCell ref="C162:F173"/>
    <mergeCell ref="J177:P178"/>
    <mergeCell ref="J179:P180"/>
    <mergeCell ref="A184:C184"/>
    <mergeCell ref="C186:F188"/>
    <mergeCell ref="C190:F194"/>
    <mergeCell ref="C197:F200"/>
    <mergeCell ref="D202:F202"/>
    <mergeCell ref="J202:P202"/>
    <mergeCell ref="S273:T273"/>
    <mergeCell ref="V273:Y273"/>
    <mergeCell ref="S234:T234"/>
    <mergeCell ref="V213:Z213"/>
  </mergeCells>
  <dataValidations count="2">
    <dataValidation type="list" allowBlank="1" showInputMessage="1" showErrorMessage="1" error="You must select &quot;Yes&quot; or &quot;No&quot; from the pull down menue." sqref="H92">
      <formula1>$J$93:$J$95</formula1>
    </dataValidation>
    <dataValidation type="list" allowBlank="1" showInputMessage="1" showErrorMessage="1" sqref="A1:E1">
      <formula1>$U$1:$U$53</formula1>
    </dataValidation>
  </dataValidations>
  <printOptions/>
  <pageMargins left="0.75" right="0.7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codeName="Sheet17">
    <pageSetUpPr fitToPage="1"/>
  </sheetPr>
  <dimension ref="A1:D63"/>
  <sheetViews>
    <sheetView zoomScaleSheetLayoutView="85" workbookViewId="0" topLeftCell="A1">
      <selection activeCell="B7" sqref="B7"/>
    </sheetView>
  </sheetViews>
  <sheetFormatPr defaultColWidth="9.140625" defaultRowHeight="12.75"/>
  <cols>
    <col min="1" max="16384" width="20.28125" style="85" customWidth="1"/>
  </cols>
  <sheetData>
    <row r="1" ht="12.75">
      <c r="A1" s="85" t="s">
        <v>247</v>
      </c>
    </row>
    <row r="2" spans="2:4" ht="12.75">
      <c r="B2" s="85" t="s">
        <v>242</v>
      </c>
      <c r="C2" s="85" t="s">
        <v>243</v>
      </c>
      <c r="D2" s="85" t="s">
        <v>244</v>
      </c>
    </row>
    <row r="3" spans="1:4" ht="12.75">
      <c r="A3" s="85" t="s">
        <v>60</v>
      </c>
      <c r="B3" s="85" t="s">
        <v>240</v>
      </c>
      <c r="C3" s="85" t="s">
        <v>85</v>
      </c>
      <c r="D3" s="85" t="s">
        <v>241</v>
      </c>
    </row>
    <row r="4" spans="1:4" ht="12.75">
      <c r="A4" s="85" t="s">
        <v>84</v>
      </c>
      <c r="B4" s="85">
        <f>SUM(B5:B63)</f>
        <v>11505211000</v>
      </c>
      <c r="C4" s="85">
        <f>SUM(C5:C63)</f>
        <v>22805211000</v>
      </c>
      <c r="D4" s="85">
        <f>SUM(D5:D63)</f>
        <v>11300000000</v>
      </c>
    </row>
    <row r="5" spans="1:4" ht="12.75">
      <c r="A5" s="85" t="s">
        <v>1</v>
      </c>
      <c r="B5" s="85">
        <v>180751150</v>
      </c>
      <c r="C5" s="85">
        <v>362615933</v>
      </c>
      <c r="D5" s="85">
        <f>C5-B5</f>
        <v>181864783</v>
      </c>
    </row>
    <row r="6" spans="1:4" ht="12.75">
      <c r="A6" s="85" t="s">
        <v>2</v>
      </c>
      <c r="B6" s="85">
        <v>36229060</v>
      </c>
      <c r="C6" s="85">
        <v>69185479</v>
      </c>
      <c r="D6" s="85">
        <f aca="true" t="shared" si="0" ref="D6:D63">C6-B6</f>
        <v>32956419</v>
      </c>
    </row>
    <row r="7" spans="1:4" ht="12.75">
      <c r="A7" s="85" t="s">
        <v>3</v>
      </c>
      <c r="B7" s="85">
        <v>184310869</v>
      </c>
      <c r="C7" s="85">
        <v>362786933</v>
      </c>
      <c r="D7" s="85">
        <f t="shared" si="0"/>
        <v>178476064</v>
      </c>
    </row>
    <row r="8" spans="1:4" ht="12.75">
      <c r="A8" s="85" t="s">
        <v>4</v>
      </c>
      <c r="B8" s="85">
        <v>111491018</v>
      </c>
      <c r="C8" s="85">
        <v>223668947</v>
      </c>
      <c r="D8" s="85">
        <f t="shared" si="0"/>
        <v>112177929</v>
      </c>
    </row>
    <row r="9" spans="1:4" ht="12.75">
      <c r="A9" s="85" t="s">
        <v>5</v>
      </c>
      <c r="B9" s="85">
        <v>1219430973</v>
      </c>
      <c r="C9" s="85">
        <v>2446375025</v>
      </c>
      <c r="D9" s="85">
        <f t="shared" si="0"/>
        <v>1226944052</v>
      </c>
    </row>
    <row r="10" spans="1:4" ht="12.75">
      <c r="A10" s="85" t="s">
        <v>6</v>
      </c>
      <c r="B10" s="85">
        <v>153592924</v>
      </c>
      <c r="C10" s="85">
        <v>302323495</v>
      </c>
      <c r="D10" s="85">
        <f t="shared" si="0"/>
        <v>148730571</v>
      </c>
    </row>
    <row r="11" spans="1:4" ht="12.75">
      <c r="A11" s="85" t="s">
        <v>7</v>
      </c>
      <c r="B11" s="85">
        <v>132157229</v>
      </c>
      <c r="C11" s="85">
        <v>265128697</v>
      </c>
      <c r="D11" s="85">
        <f t="shared" si="0"/>
        <v>132971468</v>
      </c>
    </row>
    <row r="12" spans="1:4" ht="12.75">
      <c r="A12" s="85" t="s">
        <v>8</v>
      </c>
      <c r="B12" s="85">
        <v>33769589</v>
      </c>
      <c r="C12" s="85">
        <v>66470120</v>
      </c>
      <c r="D12" s="85">
        <f t="shared" si="0"/>
        <v>32700531</v>
      </c>
    </row>
    <row r="13" spans="1:4" ht="12.75">
      <c r="A13" s="85" t="s">
        <v>9</v>
      </c>
      <c r="B13" s="85">
        <v>16979449</v>
      </c>
      <c r="C13" s="85">
        <v>33421373</v>
      </c>
      <c r="D13" s="85">
        <f t="shared" si="0"/>
        <v>16441924</v>
      </c>
    </row>
    <row r="14" spans="1:4" ht="12.75">
      <c r="A14" s="85" t="s">
        <v>10</v>
      </c>
      <c r="B14" s="85">
        <v>628343023</v>
      </c>
      <c r="C14" s="85">
        <v>1255605688</v>
      </c>
      <c r="D14" s="85">
        <f t="shared" si="0"/>
        <v>627262665</v>
      </c>
    </row>
    <row r="15" spans="1:4" ht="12.75">
      <c r="A15" s="85" t="s">
        <v>11</v>
      </c>
      <c r="B15" s="85">
        <v>324015838</v>
      </c>
      <c r="C15" s="85">
        <v>637774174</v>
      </c>
      <c r="D15" s="85">
        <f t="shared" si="0"/>
        <v>313758336</v>
      </c>
    </row>
    <row r="16" spans="1:4" ht="12.75">
      <c r="A16" s="85" t="s">
        <v>12</v>
      </c>
      <c r="B16" s="85">
        <v>39680790</v>
      </c>
      <c r="C16" s="85">
        <v>79606059</v>
      </c>
      <c r="D16" s="85">
        <f t="shared" si="0"/>
        <v>39925269</v>
      </c>
    </row>
    <row r="17" spans="1:4" ht="12.75">
      <c r="A17" s="85" t="s">
        <v>13</v>
      </c>
      <c r="B17" s="85">
        <v>54988157</v>
      </c>
      <c r="C17" s="85">
        <v>108235532</v>
      </c>
      <c r="D17" s="85">
        <f t="shared" si="0"/>
        <v>53247375</v>
      </c>
    </row>
    <row r="18" spans="1:4" ht="12.75">
      <c r="A18" s="85" t="s">
        <v>14</v>
      </c>
      <c r="B18" s="85">
        <v>503378371</v>
      </c>
      <c r="C18" s="85">
        <v>1009858124</v>
      </c>
      <c r="D18" s="85">
        <f t="shared" si="0"/>
        <v>506479753</v>
      </c>
    </row>
    <row r="19" spans="1:4" ht="12.75">
      <c r="A19" s="85" t="s">
        <v>15</v>
      </c>
      <c r="B19" s="85">
        <v>256402295</v>
      </c>
      <c r="C19" s="85">
        <v>509937160</v>
      </c>
      <c r="D19" s="85">
        <f t="shared" si="0"/>
        <v>253534865</v>
      </c>
    </row>
    <row r="20" spans="1:4" ht="12.75">
      <c r="A20" s="85" t="s">
        <v>16</v>
      </c>
      <c r="B20" s="85">
        <v>121347496</v>
      </c>
      <c r="C20" s="85">
        <v>243442630</v>
      </c>
      <c r="D20" s="85">
        <f t="shared" si="0"/>
        <v>122095134</v>
      </c>
    </row>
    <row r="21" spans="1:4" ht="12.75">
      <c r="A21" s="85" t="s">
        <v>17</v>
      </c>
      <c r="B21" s="85">
        <v>106217350</v>
      </c>
      <c r="C21" s="85">
        <v>213089119</v>
      </c>
      <c r="D21" s="85">
        <f t="shared" si="0"/>
        <v>106871769</v>
      </c>
    </row>
    <row r="22" spans="1:4" ht="12.75">
      <c r="A22" s="85" t="s">
        <v>18</v>
      </c>
      <c r="B22" s="85">
        <v>157177501</v>
      </c>
      <c r="C22" s="85">
        <v>314747476</v>
      </c>
      <c r="D22" s="85">
        <f t="shared" si="0"/>
        <v>157569975</v>
      </c>
    </row>
    <row r="23" spans="1:4" ht="12.75">
      <c r="A23" s="85" t="s">
        <v>19</v>
      </c>
      <c r="B23" s="85">
        <v>188160303</v>
      </c>
      <c r="C23" s="85">
        <v>376909828</v>
      </c>
      <c r="D23" s="85">
        <f t="shared" si="0"/>
        <v>188749525</v>
      </c>
    </row>
    <row r="24" spans="1:4" ht="12.75">
      <c r="A24" s="85" t="s">
        <v>20</v>
      </c>
      <c r="B24" s="85">
        <v>54389016</v>
      </c>
      <c r="C24" s="85">
        <v>107552990</v>
      </c>
      <c r="D24" s="85">
        <f t="shared" si="0"/>
        <v>53163974</v>
      </c>
    </row>
    <row r="25" spans="1:4" ht="12.75">
      <c r="A25" s="85" t="s">
        <v>21</v>
      </c>
      <c r="B25" s="85">
        <v>199015639</v>
      </c>
      <c r="C25" s="85">
        <v>399257441</v>
      </c>
      <c r="D25" s="85">
        <f t="shared" si="0"/>
        <v>200241802</v>
      </c>
    </row>
    <row r="26" spans="1:4" ht="12.75">
      <c r="A26" s="85" t="s">
        <v>22</v>
      </c>
      <c r="B26" s="85">
        <v>282156276</v>
      </c>
      <c r="C26" s="85">
        <v>562707835</v>
      </c>
      <c r="D26" s="85">
        <f t="shared" si="0"/>
        <v>280551559</v>
      </c>
    </row>
    <row r="27" spans="1:4" ht="12.75">
      <c r="A27" s="85" t="s">
        <v>23</v>
      </c>
      <c r="B27" s="85">
        <v>398154750</v>
      </c>
      <c r="C27" s="85">
        <v>798762586</v>
      </c>
      <c r="D27" s="85">
        <f t="shared" si="0"/>
        <v>400607836</v>
      </c>
    </row>
    <row r="28" spans="1:4" ht="12.75">
      <c r="A28" s="85" t="s">
        <v>24</v>
      </c>
      <c r="B28" s="85">
        <v>188676766</v>
      </c>
      <c r="C28" s="85">
        <v>378515994</v>
      </c>
      <c r="D28" s="85">
        <f t="shared" si="0"/>
        <v>189839228</v>
      </c>
    </row>
    <row r="29" spans="1:4" ht="12.75">
      <c r="A29" s="85" t="s">
        <v>25</v>
      </c>
      <c r="B29" s="85">
        <v>119464792</v>
      </c>
      <c r="C29" s="85">
        <v>237301274</v>
      </c>
      <c r="D29" s="85">
        <f t="shared" si="0"/>
        <v>117836482</v>
      </c>
    </row>
    <row r="30" spans="1:4" ht="12.75">
      <c r="A30" s="85" t="s">
        <v>26</v>
      </c>
      <c r="B30" s="85">
        <v>225784186</v>
      </c>
      <c r="C30" s="85">
        <v>452959460</v>
      </c>
      <c r="D30" s="85">
        <f t="shared" si="0"/>
        <v>227175274</v>
      </c>
    </row>
    <row r="31" spans="1:4" ht="12.75">
      <c r="A31" s="85" t="s">
        <v>27</v>
      </c>
      <c r="B31" s="85">
        <v>36979307</v>
      </c>
      <c r="C31" s="85">
        <v>73687363</v>
      </c>
      <c r="D31" s="85">
        <f t="shared" si="0"/>
        <v>36708056</v>
      </c>
    </row>
    <row r="32" spans="1:4" ht="12.75">
      <c r="A32" s="85" t="s">
        <v>28</v>
      </c>
      <c r="B32" s="85">
        <v>74219699</v>
      </c>
      <c r="C32" s="85">
        <v>148896675</v>
      </c>
      <c r="D32" s="85">
        <f t="shared" si="0"/>
        <v>74676976</v>
      </c>
    </row>
    <row r="33" spans="1:4" ht="12.75">
      <c r="A33" s="85" t="s">
        <v>29</v>
      </c>
      <c r="B33" s="85">
        <v>69313688</v>
      </c>
      <c r="C33" s="85">
        <v>136433084</v>
      </c>
      <c r="D33" s="85">
        <f t="shared" si="0"/>
        <v>67119396</v>
      </c>
    </row>
    <row r="34" spans="1:4" ht="12.75">
      <c r="A34" s="85" t="s">
        <v>30</v>
      </c>
      <c r="B34" s="85">
        <v>47170640</v>
      </c>
      <c r="C34" s="85">
        <v>94631905</v>
      </c>
      <c r="D34" s="85">
        <f t="shared" si="0"/>
        <v>47461265</v>
      </c>
    </row>
    <row r="35" spans="1:4" ht="12.75">
      <c r="A35" s="85" t="s">
        <v>31</v>
      </c>
      <c r="B35" s="85">
        <v>359278067</v>
      </c>
      <c r="C35" s="85">
        <v>719969500</v>
      </c>
      <c r="D35" s="85">
        <f t="shared" si="0"/>
        <v>360691433</v>
      </c>
    </row>
    <row r="36" spans="1:4" ht="12.75">
      <c r="A36" s="85" t="s">
        <v>32</v>
      </c>
      <c r="B36" s="85">
        <v>90589360</v>
      </c>
      <c r="C36" s="85">
        <v>181736853</v>
      </c>
      <c r="D36" s="85">
        <f t="shared" si="0"/>
        <v>91147493</v>
      </c>
    </row>
    <row r="37" spans="1:4" ht="12.75">
      <c r="A37" s="85" t="s">
        <v>33</v>
      </c>
      <c r="B37" s="85">
        <v>754544472</v>
      </c>
      <c r="C37" s="85">
        <v>1513737796</v>
      </c>
      <c r="D37" s="85">
        <f t="shared" si="0"/>
        <v>759193324</v>
      </c>
    </row>
    <row r="38" spans="1:4" ht="12.75">
      <c r="A38" s="85" t="s">
        <v>34</v>
      </c>
      <c r="B38" s="85">
        <v>324688845</v>
      </c>
      <c r="C38" s="85">
        <v>639098884</v>
      </c>
      <c r="D38" s="85">
        <f t="shared" si="0"/>
        <v>314410039</v>
      </c>
    </row>
    <row r="39" spans="1:4" ht="12.75">
      <c r="A39" s="85" t="s">
        <v>35</v>
      </c>
      <c r="B39" s="85">
        <v>27420501</v>
      </c>
      <c r="C39" s="85">
        <v>53972940</v>
      </c>
      <c r="D39" s="85">
        <f t="shared" si="0"/>
        <v>26552439</v>
      </c>
    </row>
    <row r="40" spans="1:4" ht="12.75">
      <c r="A40" s="85" t="s">
        <v>36</v>
      </c>
      <c r="B40" s="85">
        <v>435055616</v>
      </c>
      <c r="C40" s="85">
        <v>872791668</v>
      </c>
      <c r="D40" s="85">
        <f t="shared" si="0"/>
        <v>437736052</v>
      </c>
    </row>
    <row r="41" spans="1:4" ht="12.75">
      <c r="A41" s="85" t="s">
        <v>37</v>
      </c>
      <c r="B41" s="85">
        <v>147019100</v>
      </c>
      <c r="C41" s="85">
        <v>294944006</v>
      </c>
      <c r="D41" s="85">
        <f t="shared" si="0"/>
        <v>147924906</v>
      </c>
    </row>
    <row r="42" spans="1:4" ht="12.75">
      <c r="A42" s="85" t="s">
        <v>38</v>
      </c>
      <c r="B42" s="85">
        <v>128189642</v>
      </c>
      <c r="C42" s="85">
        <v>257169078</v>
      </c>
      <c r="D42" s="85">
        <f t="shared" si="0"/>
        <v>128979436</v>
      </c>
    </row>
    <row r="43" spans="1:4" ht="12.75">
      <c r="A43" s="85" t="s">
        <v>39</v>
      </c>
      <c r="B43" s="85">
        <v>424562436</v>
      </c>
      <c r="C43" s="85">
        <v>851740658</v>
      </c>
      <c r="D43" s="85">
        <f t="shared" si="0"/>
        <v>427178222</v>
      </c>
    </row>
    <row r="44" spans="1:4" ht="12.75">
      <c r="A44" s="85" t="s">
        <v>40</v>
      </c>
      <c r="B44" s="85">
        <v>43466408</v>
      </c>
      <c r="C44" s="85">
        <v>87200619</v>
      </c>
      <c r="D44" s="85">
        <f t="shared" si="0"/>
        <v>43734211</v>
      </c>
    </row>
    <row r="45" spans="1:4" ht="12.75">
      <c r="A45" s="85" t="s">
        <v>41</v>
      </c>
      <c r="B45" s="85">
        <v>176030072</v>
      </c>
      <c r="C45" s="85">
        <v>349269817</v>
      </c>
      <c r="D45" s="85">
        <f t="shared" si="0"/>
        <v>173239745</v>
      </c>
    </row>
    <row r="46" spans="1:4" ht="12.75">
      <c r="A46" s="85" t="s">
        <v>42</v>
      </c>
      <c r="B46" s="85">
        <v>32664950</v>
      </c>
      <c r="C46" s="85">
        <v>64295813</v>
      </c>
      <c r="D46" s="85">
        <f t="shared" si="0"/>
        <v>31630863</v>
      </c>
    </row>
    <row r="47" spans="1:4" ht="12.75">
      <c r="A47" s="85" t="s">
        <v>43</v>
      </c>
      <c r="B47" s="85">
        <v>235422260</v>
      </c>
      <c r="C47" s="85">
        <v>465035678</v>
      </c>
      <c r="D47" s="85">
        <f t="shared" si="0"/>
        <v>229613418</v>
      </c>
    </row>
    <row r="48" spans="1:4" ht="12.75">
      <c r="A48" s="85" t="s">
        <v>44</v>
      </c>
      <c r="B48" s="85">
        <v>976551412</v>
      </c>
      <c r="C48" s="85">
        <v>1922187740</v>
      </c>
      <c r="D48" s="85">
        <f t="shared" si="0"/>
        <v>945636328</v>
      </c>
    </row>
    <row r="49" spans="1:4" ht="12.75">
      <c r="A49" s="85" t="s">
        <v>45</v>
      </c>
      <c r="B49" s="85">
        <v>108991236</v>
      </c>
      <c r="C49" s="85">
        <v>214532092</v>
      </c>
      <c r="D49" s="85">
        <f t="shared" si="0"/>
        <v>105540856</v>
      </c>
    </row>
    <row r="50" spans="1:4" ht="12.75">
      <c r="A50" s="85" t="s">
        <v>46</v>
      </c>
      <c r="B50" s="85">
        <v>26438599</v>
      </c>
      <c r="C50" s="85">
        <v>52040220</v>
      </c>
      <c r="D50" s="85">
        <f t="shared" si="0"/>
        <v>25601621</v>
      </c>
    </row>
    <row r="51" spans="1:4" ht="12.75">
      <c r="A51" s="85" t="s">
        <v>47</v>
      </c>
      <c r="B51" s="85">
        <v>280223978</v>
      </c>
      <c r="C51" s="85">
        <v>561639011</v>
      </c>
      <c r="D51" s="85">
        <f t="shared" si="0"/>
        <v>281415033</v>
      </c>
    </row>
    <row r="52" spans="1:4" ht="12.75">
      <c r="A52" s="85" t="s">
        <v>48</v>
      </c>
      <c r="B52" s="85">
        <v>220001998</v>
      </c>
      <c r="C52" s="85">
        <v>441359459</v>
      </c>
      <c r="D52" s="85">
        <f t="shared" si="0"/>
        <v>221357461</v>
      </c>
    </row>
    <row r="53" spans="1:4" ht="12.75">
      <c r="A53" s="85" t="s">
        <v>49</v>
      </c>
      <c r="B53" s="85">
        <v>75486907</v>
      </c>
      <c r="C53" s="85">
        <v>151438898</v>
      </c>
      <c r="D53" s="85">
        <f t="shared" si="0"/>
        <v>75951991</v>
      </c>
    </row>
    <row r="54" spans="1:4" ht="12.75">
      <c r="A54" s="85" t="s">
        <v>50</v>
      </c>
      <c r="B54" s="85">
        <v>206925213</v>
      </c>
      <c r="C54" s="85">
        <v>415125321</v>
      </c>
      <c r="D54" s="85">
        <f t="shared" si="0"/>
        <v>208200108</v>
      </c>
    </row>
    <row r="55" spans="1:4" ht="12.75">
      <c r="A55" s="85" t="s">
        <v>51</v>
      </c>
      <c r="B55" s="85">
        <v>27736710</v>
      </c>
      <c r="C55" s="85">
        <v>53523206</v>
      </c>
      <c r="D55" s="85">
        <f t="shared" si="0"/>
        <v>25786496</v>
      </c>
    </row>
    <row r="56" spans="1:4" ht="12.75">
      <c r="A56" s="85" t="s">
        <v>52</v>
      </c>
      <c r="B56" s="85">
        <v>6297058</v>
      </c>
      <c r="C56" s="85">
        <v>6527227</v>
      </c>
      <c r="D56" s="85">
        <f t="shared" si="0"/>
        <v>230169</v>
      </c>
    </row>
    <row r="57" spans="1:4" ht="12.75">
      <c r="A57" s="85" t="s">
        <v>53</v>
      </c>
      <c r="B57" s="85">
        <v>13962402</v>
      </c>
      <c r="C57" s="85">
        <v>14472754</v>
      </c>
      <c r="D57" s="85">
        <f t="shared" si="0"/>
        <v>510352</v>
      </c>
    </row>
    <row r="58" spans="1:4" ht="12.75">
      <c r="A58" s="85" t="s">
        <v>54</v>
      </c>
      <c r="B58" s="85">
        <v>4785135</v>
      </c>
      <c r="C58" s="85">
        <v>4960041</v>
      </c>
      <c r="D58" s="85">
        <f t="shared" si="0"/>
        <v>174906</v>
      </c>
    </row>
    <row r="59" spans="1:4" ht="12.75">
      <c r="A59" s="85" t="s">
        <v>55</v>
      </c>
      <c r="B59" s="85">
        <v>112665159</v>
      </c>
      <c r="C59" s="85">
        <v>221763631</v>
      </c>
      <c r="D59" s="85">
        <f t="shared" si="0"/>
        <v>109098472</v>
      </c>
    </row>
    <row r="60" spans="1:4" ht="12.75">
      <c r="A60" s="85" t="s">
        <v>56</v>
      </c>
      <c r="B60" s="85">
        <v>8874264</v>
      </c>
      <c r="C60" s="85">
        <v>9198635</v>
      </c>
      <c r="D60" s="85">
        <f t="shared" si="0"/>
        <v>324371</v>
      </c>
    </row>
    <row r="61" spans="1:4" ht="12.75">
      <c r="A61" s="85" t="s">
        <v>57</v>
      </c>
      <c r="B61" s="85">
        <v>6579306</v>
      </c>
      <c r="C61" s="85">
        <v>6579306</v>
      </c>
      <c r="D61" s="85">
        <f t="shared" si="0"/>
        <v>0</v>
      </c>
    </row>
    <row r="62" spans="1:4" ht="12.75">
      <c r="A62" s="85" t="s">
        <v>92</v>
      </c>
      <c r="B62" s="85">
        <v>92011750</v>
      </c>
      <c r="C62" s="85">
        <v>92011750</v>
      </c>
      <c r="D62" s="85">
        <f t="shared" si="0"/>
        <v>0</v>
      </c>
    </row>
    <row r="63" spans="1:4" ht="12.75">
      <c r="A63" s="85" t="s">
        <v>58</v>
      </c>
      <c r="B63" s="85">
        <v>15000000</v>
      </c>
      <c r="C63" s="85">
        <v>15000000</v>
      </c>
      <c r="D63" s="85">
        <f t="shared" si="0"/>
        <v>0</v>
      </c>
    </row>
  </sheetData>
  <sheetProtection password="87AF" sheet="1" objects="1" scenarios="1" selectLockedCells="1" selectUnlockedCells="1"/>
  <printOptions/>
  <pageMargins left="0.75" right="0.75" top="1" bottom="1" header="0.5" footer="0.5"/>
  <pageSetup fitToHeight="1" fitToWidth="1" horizontalDpi="600" verticalDpi="600" orientation="portrait" scale="83" r:id="rId1"/>
</worksheet>
</file>

<file path=xl/worksheets/sheet3.xml><?xml version="1.0" encoding="utf-8"?>
<worksheet xmlns="http://schemas.openxmlformats.org/spreadsheetml/2006/main" xmlns:r="http://schemas.openxmlformats.org/officeDocument/2006/relationships">
  <sheetPr codeName="Sheet6"/>
  <dimension ref="A1:V65"/>
  <sheetViews>
    <sheetView workbookViewId="0" topLeftCell="A1">
      <selection activeCell="A1" sqref="A1"/>
    </sheetView>
  </sheetViews>
  <sheetFormatPr defaultColWidth="9.140625" defaultRowHeight="12.75"/>
  <cols>
    <col min="1" max="16384" width="16.57421875" style="86" customWidth="1"/>
  </cols>
  <sheetData>
    <row r="1" spans="1:22" ht="12.75">
      <c r="A1" s="86" t="s">
        <v>0</v>
      </c>
      <c r="B1" s="86">
        <v>1999</v>
      </c>
      <c r="C1" s="86">
        <v>2001</v>
      </c>
      <c r="D1" s="86">
        <v>2002</v>
      </c>
      <c r="E1" s="86">
        <v>2003</v>
      </c>
      <c r="F1" s="86">
        <v>2004</v>
      </c>
      <c r="G1" s="86">
        <v>2005</v>
      </c>
      <c r="H1" s="86">
        <v>2006</v>
      </c>
      <c r="I1" s="86">
        <v>2007</v>
      </c>
      <c r="J1" s="86">
        <v>2008</v>
      </c>
      <c r="K1" s="86">
        <v>2009</v>
      </c>
      <c r="L1" s="86">
        <v>2010</v>
      </c>
      <c r="M1" s="86">
        <v>2011</v>
      </c>
      <c r="N1" s="86">
        <v>2012</v>
      </c>
      <c r="O1" s="86">
        <v>2013</v>
      </c>
      <c r="P1" s="86">
        <v>2014</v>
      </c>
      <c r="Q1" s="86">
        <v>2015</v>
      </c>
      <c r="R1" s="86">
        <v>2016</v>
      </c>
      <c r="S1" s="86">
        <v>2017</v>
      </c>
      <c r="T1" s="86">
        <v>2018</v>
      </c>
      <c r="U1" s="86">
        <v>2019</v>
      </c>
      <c r="V1" s="86">
        <v>2020</v>
      </c>
    </row>
    <row r="2" spans="1:11" ht="12.75">
      <c r="A2" s="86" t="s">
        <v>1</v>
      </c>
      <c r="B2" s="86">
        <v>69017922</v>
      </c>
      <c r="C2" s="86">
        <v>100426123</v>
      </c>
      <c r="D2" s="86">
        <v>119960334</v>
      </c>
      <c r="E2" s="86">
        <v>143066181</v>
      </c>
      <c r="F2" s="86">
        <v>160385829</v>
      </c>
      <c r="G2" s="86">
        <v>167864614</v>
      </c>
      <c r="H2" s="86">
        <v>167634539</v>
      </c>
      <c r="I2" s="86">
        <v>170485753</v>
      </c>
      <c r="J2" s="86">
        <v>172827241</v>
      </c>
      <c r="K2" s="86">
        <v>362615933</v>
      </c>
    </row>
    <row r="3" spans="1:11" ht="12.75">
      <c r="A3" s="86" t="s">
        <v>2</v>
      </c>
      <c r="B3" s="86">
        <v>12247357</v>
      </c>
      <c r="C3" s="86">
        <v>18460830</v>
      </c>
      <c r="D3" s="86">
        <v>22199605</v>
      </c>
      <c r="E3" s="86">
        <v>26501189</v>
      </c>
      <c r="F3" s="86">
        <v>30463423</v>
      </c>
      <c r="G3" s="86">
        <v>32498717</v>
      </c>
      <c r="H3" s="86">
        <v>32451580</v>
      </c>
      <c r="I3" s="86">
        <v>33551635</v>
      </c>
      <c r="J3" s="86">
        <v>34370062</v>
      </c>
      <c r="K3" s="86">
        <v>69185479</v>
      </c>
    </row>
    <row r="4" spans="1:11" ht="12.75">
      <c r="A4" s="86" t="s">
        <v>3</v>
      </c>
      <c r="B4" s="86">
        <v>61263060</v>
      </c>
      <c r="C4" s="86">
        <v>92343757</v>
      </c>
      <c r="D4" s="86">
        <v>111045656</v>
      </c>
      <c r="E4" s="86">
        <v>132562806</v>
      </c>
      <c r="F4" s="86">
        <v>152382476</v>
      </c>
      <c r="G4" s="86">
        <v>162563312</v>
      </c>
      <c r="H4" s="86">
        <v>162327526</v>
      </c>
      <c r="I4" s="86">
        <v>167830161</v>
      </c>
      <c r="J4" s="86">
        <v>172908742</v>
      </c>
      <c r="K4" s="86">
        <v>362786933</v>
      </c>
    </row>
    <row r="5" spans="1:11" ht="12.75">
      <c r="A5" s="86" t="s">
        <v>4</v>
      </c>
      <c r="B5" s="86">
        <v>40872926</v>
      </c>
      <c r="C5" s="86">
        <v>59842674</v>
      </c>
      <c r="D5" s="86">
        <v>71962298</v>
      </c>
      <c r="E5" s="86">
        <v>85906324</v>
      </c>
      <c r="F5" s="86">
        <v>98750311</v>
      </c>
      <c r="G5" s="86">
        <v>103546301</v>
      </c>
      <c r="H5" s="86">
        <v>103400423</v>
      </c>
      <c r="I5" s="86">
        <v>105159110</v>
      </c>
      <c r="J5" s="86">
        <v>106603388</v>
      </c>
      <c r="K5" s="86">
        <v>223668947</v>
      </c>
    </row>
    <row r="6" spans="1:11" ht="12.75">
      <c r="A6" s="86" t="s">
        <v>5</v>
      </c>
      <c r="B6" s="86">
        <v>431237374</v>
      </c>
      <c r="C6" s="86">
        <v>650017799</v>
      </c>
      <c r="D6" s="86">
        <v>781662507</v>
      </c>
      <c r="E6" s="86">
        <v>933124077</v>
      </c>
      <c r="F6" s="86">
        <v>1072636899</v>
      </c>
      <c r="G6" s="86">
        <v>1132572659</v>
      </c>
      <c r="H6" s="86">
        <v>1130940237</v>
      </c>
      <c r="I6" s="86">
        <v>1150175848</v>
      </c>
      <c r="J6" s="86">
        <v>1165972611</v>
      </c>
      <c r="K6" s="86">
        <v>2446375025</v>
      </c>
    </row>
    <row r="7" spans="1:11" ht="12.75">
      <c r="A7" s="86" t="s">
        <v>6</v>
      </c>
      <c r="B7" s="86">
        <v>51886005</v>
      </c>
      <c r="C7" s="86">
        <v>78209425</v>
      </c>
      <c r="D7" s="86">
        <v>94048771</v>
      </c>
      <c r="E7" s="86">
        <v>112272460</v>
      </c>
      <c r="F7" s="86">
        <v>129058489</v>
      </c>
      <c r="G7" s="86">
        <v>137681025</v>
      </c>
      <c r="H7" s="86">
        <v>137481329</v>
      </c>
      <c r="I7" s="86">
        <v>141994060</v>
      </c>
      <c r="J7" s="86">
        <v>144091119</v>
      </c>
      <c r="K7" s="86">
        <v>302323495</v>
      </c>
    </row>
    <row r="8" spans="1:11" ht="12.75">
      <c r="A8" s="86" t="s">
        <v>7</v>
      </c>
      <c r="B8" s="86">
        <v>53060125</v>
      </c>
      <c r="C8" s="86">
        <v>76114202</v>
      </c>
      <c r="D8" s="86">
        <v>89245788</v>
      </c>
      <c r="E8" s="86">
        <v>103861437</v>
      </c>
      <c r="F8" s="86">
        <v>117261220</v>
      </c>
      <c r="G8" s="86">
        <v>122729106</v>
      </c>
      <c r="H8" s="86">
        <v>122566945</v>
      </c>
      <c r="I8" s="86">
        <v>124651626</v>
      </c>
      <c r="J8" s="86">
        <v>126363618</v>
      </c>
      <c r="K8" s="86">
        <v>265128697</v>
      </c>
    </row>
    <row r="9" spans="1:11" ht="12.75">
      <c r="A9" s="86" t="s">
        <v>8</v>
      </c>
      <c r="B9" s="86">
        <v>11224669</v>
      </c>
      <c r="C9" s="86">
        <v>16919300</v>
      </c>
      <c r="D9" s="86">
        <v>20345877</v>
      </c>
      <c r="E9" s="86">
        <v>24288267</v>
      </c>
      <c r="F9" s="86">
        <v>27919643</v>
      </c>
      <c r="G9" s="86">
        <v>29784984</v>
      </c>
      <c r="H9" s="86">
        <v>29741783</v>
      </c>
      <c r="I9" s="86">
        <v>30749980</v>
      </c>
      <c r="J9" s="86">
        <v>31680482</v>
      </c>
      <c r="K9" s="86">
        <v>66470120</v>
      </c>
    </row>
    <row r="10" spans="1:11" ht="12.75">
      <c r="A10" s="86" t="s">
        <v>9</v>
      </c>
      <c r="B10" s="86">
        <v>5643797</v>
      </c>
      <c r="C10" s="86">
        <v>8507074</v>
      </c>
      <c r="D10" s="86">
        <v>10229967</v>
      </c>
      <c r="E10" s="86">
        <v>12212212</v>
      </c>
      <c r="F10" s="86">
        <v>14038079</v>
      </c>
      <c r="G10" s="86">
        <v>14975978</v>
      </c>
      <c r="H10" s="86">
        <v>14954256</v>
      </c>
      <c r="I10" s="86">
        <v>15461181</v>
      </c>
      <c r="J10" s="86">
        <v>15929040</v>
      </c>
      <c r="K10" s="86">
        <v>33421373</v>
      </c>
    </row>
    <row r="11" spans="1:11" ht="12.75">
      <c r="A11" s="86" t="s">
        <v>10</v>
      </c>
      <c r="B11" s="86">
        <v>238676175</v>
      </c>
      <c r="C11" s="86">
        <v>344413144</v>
      </c>
      <c r="D11" s="86">
        <v>405878306</v>
      </c>
      <c r="E11" s="86">
        <v>479524885</v>
      </c>
      <c r="F11" s="86">
        <v>551219391</v>
      </c>
      <c r="G11" s="86">
        <v>581254171</v>
      </c>
      <c r="H11" s="86">
        <v>580456790</v>
      </c>
      <c r="I11" s="86">
        <v>590329496</v>
      </c>
      <c r="J11" s="86">
        <v>598437209</v>
      </c>
      <c r="K11" s="86">
        <v>1255605688</v>
      </c>
    </row>
    <row r="12" spans="1:11" ht="12.75">
      <c r="A12" s="86" t="s">
        <v>11</v>
      </c>
      <c r="B12" s="86">
        <v>107699572</v>
      </c>
      <c r="C12" s="86">
        <v>162338988</v>
      </c>
      <c r="D12" s="86">
        <v>195216655</v>
      </c>
      <c r="E12" s="86">
        <v>233043493</v>
      </c>
      <c r="F12" s="86">
        <v>267886185</v>
      </c>
      <c r="G12" s="86">
        <v>285783948</v>
      </c>
      <c r="H12" s="86">
        <v>285369440</v>
      </c>
      <c r="I12" s="86">
        <v>295042992</v>
      </c>
      <c r="J12" s="86">
        <v>303971064</v>
      </c>
      <c r="K12" s="86">
        <v>637774174</v>
      </c>
    </row>
    <row r="13" spans="1:11" ht="12.75">
      <c r="A13" s="86" t="s">
        <v>12</v>
      </c>
      <c r="B13" s="86">
        <v>14156512</v>
      </c>
      <c r="C13" s="86">
        <v>21338561</v>
      </c>
      <c r="D13" s="86">
        <v>25660148</v>
      </c>
      <c r="E13" s="86">
        <v>30632276</v>
      </c>
      <c r="F13" s="86">
        <v>35212155</v>
      </c>
      <c r="G13" s="86">
        <v>36854096</v>
      </c>
      <c r="H13" s="86">
        <v>36801265</v>
      </c>
      <c r="I13" s="86">
        <v>37427200</v>
      </c>
      <c r="J13" s="86">
        <v>37941233</v>
      </c>
      <c r="K13" s="86">
        <v>79606059</v>
      </c>
    </row>
    <row r="14" spans="1:11" ht="12.75">
      <c r="A14" s="86" t="s">
        <v>13</v>
      </c>
      <c r="B14" s="86">
        <v>19052135</v>
      </c>
      <c r="C14" s="86">
        <v>28717888</v>
      </c>
      <c r="D14" s="86">
        <v>34533972</v>
      </c>
      <c r="E14" s="86">
        <v>41225568</v>
      </c>
      <c r="F14" s="86">
        <v>47389266</v>
      </c>
      <c r="G14" s="86">
        <v>50108735</v>
      </c>
      <c r="H14" s="86">
        <v>50036448</v>
      </c>
      <c r="I14" s="86">
        <v>50887494</v>
      </c>
      <c r="J14" s="86">
        <v>51586394</v>
      </c>
      <c r="K14" s="86">
        <v>108235532</v>
      </c>
    </row>
    <row r="15" spans="1:11" ht="12.75">
      <c r="A15" s="86" t="s">
        <v>14</v>
      </c>
      <c r="B15" s="86">
        <v>194398440</v>
      </c>
      <c r="C15" s="86">
        <v>283066424</v>
      </c>
      <c r="D15" s="86">
        <v>336446325</v>
      </c>
      <c r="E15" s="86">
        <v>393133924</v>
      </c>
      <c r="F15" s="86">
        <v>446657600</v>
      </c>
      <c r="G15" s="86">
        <v>467485228</v>
      </c>
      <c r="H15" s="86">
        <v>466849594</v>
      </c>
      <c r="I15" s="86">
        <v>474790011</v>
      </c>
      <c r="J15" s="86">
        <v>481310879</v>
      </c>
      <c r="K15" s="86">
        <v>1009858124</v>
      </c>
    </row>
    <row r="16" spans="1:11" ht="12.75">
      <c r="A16" s="86" t="s">
        <v>15</v>
      </c>
      <c r="B16" s="86">
        <v>101341485</v>
      </c>
      <c r="C16" s="86">
        <v>145373315</v>
      </c>
      <c r="D16" s="86">
        <v>170853119</v>
      </c>
      <c r="E16" s="86">
        <v>200791461</v>
      </c>
      <c r="F16" s="86">
        <v>225536784</v>
      </c>
      <c r="G16" s="86">
        <v>236053556</v>
      </c>
      <c r="H16" s="86">
        <v>235740001</v>
      </c>
      <c r="I16" s="86">
        <v>239749588</v>
      </c>
      <c r="J16" s="86">
        <v>243042361</v>
      </c>
      <c r="K16" s="86">
        <v>509937160</v>
      </c>
    </row>
    <row r="17" spans="1:11" ht="12.75">
      <c r="A17" s="86" t="s">
        <v>16</v>
      </c>
      <c r="B17" s="86">
        <v>49065489</v>
      </c>
      <c r="C17" s="86">
        <v>70383938</v>
      </c>
      <c r="D17" s="86">
        <v>82526911</v>
      </c>
      <c r="E17" s="86">
        <v>96042219</v>
      </c>
      <c r="F17" s="86">
        <v>107669127</v>
      </c>
      <c r="G17" s="86">
        <v>112689734</v>
      </c>
      <c r="H17" s="86">
        <v>112541643</v>
      </c>
      <c r="I17" s="86">
        <v>114455809</v>
      </c>
      <c r="J17" s="86">
        <v>116027770</v>
      </c>
      <c r="K17" s="86">
        <v>243442630</v>
      </c>
    </row>
    <row r="18" spans="1:11" ht="12.75">
      <c r="A18" s="86" t="s">
        <v>17</v>
      </c>
      <c r="B18" s="86">
        <v>40399267</v>
      </c>
      <c r="C18" s="86">
        <v>60170732</v>
      </c>
      <c r="D18" s="86">
        <v>70893325</v>
      </c>
      <c r="E18" s="86">
        <v>84072314</v>
      </c>
      <c r="F18" s="86">
        <v>94250141</v>
      </c>
      <c r="G18" s="86">
        <v>98645022</v>
      </c>
      <c r="H18" s="86">
        <v>98509450</v>
      </c>
      <c r="I18" s="86">
        <v>100184949</v>
      </c>
      <c r="J18" s="86">
        <v>101560911</v>
      </c>
      <c r="K18" s="86">
        <v>213089119</v>
      </c>
    </row>
    <row r="19" spans="1:11" ht="12.75">
      <c r="A19" s="86" t="s">
        <v>18</v>
      </c>
      <c r="B19" s="86">
        <v>60830890</v>
      </c>
      <c r="C19" s="86">
        <v>88537364</v>
      </c>
      <c r="D19" s="86">
        <v>104503321</v>
      </c>
      <c r="E19" s="86">
        <v>122827410</v>
      </c>
      <c r="F19" s="86">
        <v>137696944</v>
      </c>
      <c r="G19" s="86">
        <v>145702869</v>
      </c>
      <c r="H19" s="86">
        <v>145505322</v>
      </c>
      <c r="I19" s="86">
        <v>147980151</v>
      </c>
      <c r="J19" s="86">
        <v>150012542</v>
      </c>
      <c r="K19" s="86">
        <v>314747476</v>
      </c>
    </row>
    <row r="20" spans="1:11" ht="12.75">
      <c r="A20" s="86" t="s">
        <v>19</v>
      </c>
      <c r="B20" s="86">
        <v>65859276</v>
      </c>
      <c r="C20" s="86">
        <v>99271780</v>
      </c>
      <c r="D20" s="86">
        <v>119376775</v>
      </c>
      <c r="E20" s="86">
        <v>142508233</v>
      </c>
      <c r="F20" s="86">
        <v>163814859</v>
      </c>
      <c r="G20" s="86">
        <v>174759505</v>
      </c>
      <c r="H20" s="86">
        <v>174506030</v>
      </c>
      <c r="I20" s="86">
        <v>177474118</v>
      </c>
      <c r="J20" s="86">
        <v>179911586</v>
      </c>
      <c r="K20" s="86">
        <v>376909828</v>
      </c>
    </row>
    <row r="21" spans="1:11" ht="12.75">
      <c r="A21" s="86" t="s">
        <v>20</v>
      </c>
      <c r="B21" s="86">
        <v>21991584</v>
      </c>
      <c r="C21" s="86">
        <v>31546701</v>
      </c>
      <c r="D21" s="86">
        <v>36989288</v>
      </c>
      <c r="E21" s="86">
        <v>43046968</v>
      </c>
      <c r="F21" s="86">
        <v>48258251</v>
      </c>
      <c r="G21" s="86">
        <v>50508531</v>
      </c>
      <c r="H21" s="86">
        <v>50442155</v>
      </c>
      <c r="I21" s="86">
        <v>51300101</v>
      </c>
      <c r="J21" s="86">
        <v>52004668</v>
      </c>
      <c r="K21" s="86">
        <v>107552990</v>
      </c>
    </row>
    <row r="22" spans="1:11" ht="12.75">
      <c r="A22" s="86" t="s">
        <v>21</v>
      </c>
      <c r="B22" s="86">
        <v>77229155</v>
      </c>
      <c r="C22" s="86">
        <v>111365477</v>
      </c>
      <c r="D22" s="86">
        <v>131443233</v>
      </c>
      <c r="E22" s="86">
        <v>153621502</v>
      </c>
      <c r="F22" s="86">
        <v>176589690</v>
      </c>
      <c r="G22" s="86">
        <v>184824061</v>
      </c>
      <c r="H22" s="86">
        <v>184573624</v>
      </c>
      <c r="I22" s="86">
        <v>187712947</v>
      </c>
      <c r="J22" s="86">
        <v>190291037</v>
      </c>
      <c r="K22" s="86">
        <v>399257441</v>
      </c>
    </row>
    <row r="23" spans="1:11" ht="12.75">
      <c r="A23" s="86" t="s">
        <v>22</v>
      </c>
      <c r="B23" s="86">
        <v>114086702</v>
      </c>
      <c r="C23" s="86">
        <v>163656198</v>
      </c>
      <c r="D23" s="86">
        <v>191890947</v>
      </c>
      <c r="E23" s="86">
        <v>223316639</v>
      </c>
      <c r="F23" s="86">
        <v>250351438</v>
      </c>
      <c r="G23" s="86">
        <v>262025316</v>
      </c>
      <c r="H23" s="86">
        <v>261680975</v>
      </c>
      <c r="I23" s="86">
        <v>266131779</v>
      </c>
      <c r="J23" s="86">
        <v>269786890</v>
      </c>
      <c r="K23" s="86">
        <v>562707835</v>
      </c>
    </row>
    <row r="24" spans="1:11" ht="12.75">
      <c r="A24" s="86" t="s">
        <v>23</v>
      </c>
      <c r="B24" s="86">
        <v>143898146</v>
      </c>
      <c r="C24" s="86">
        <v>216776390</v>
      </c>
      <c r="D24" s="86">
        <v>260135764</v>
      </c>
      <c r="E24" s="86">
        <v>308119146</v>
      </c>
      <c r="F24" s="86">
        <v>353312585</v>
      </c>
      <c r="G24" s="86">
        <v>369787538</v>
      </c>
      <c r="H24" s="86">
        <v>369261760</v>
      </c>
      <c r="I24" s="86">
        <v>375542353</v>
      </c>
      <c r="J24" s="86">
        <v>380700133</v>
      </c>
      <c r="K24" s="86">
        <v>798762586</v>
      </c>
    </row>
    <row r="25" spans="1:11" ht="12.75">
      <c r="A25" s="86" t="s">
        <v>24</v>
      </c>
      <c r="B25" s="86">
        <v>73409463</v>
      </c>
      <c r="C25" s="86">
        <v>109440436</v>
      </c>
      <c r="D25" s="86">
        <v>128321623</v>
      </c>
      <c r="E25" s="86">
        <v>149336662</v>
      </c>
      <c r="F25" s="86">
        <v>167415417</v>
      </c>
      <c r="G25" s="86">
        <v>175221992</v>
      </c>
      <c r="H25" s="86">
        <v>174985014</v>
      </c>
      <c r="I25" s="86">
        <v>177961249</v>
      </c>
      <c r="J25" s="86">
        <v>180405407</v>
      </c>
      <c r="K25" s="86">
        <v>378515994</v>
      </c>
    </row>
    <row r="26" spans="1:11" ht="12.75">
      <c r="A26" s="86" t="s">
        <v>25</v>
      </c>
      <c r="B26" s="86">
        <v>42676977</v>
      </c>
      <c r="C26" s="86">
        <v>64197563</v>
      </c>
      <c r="D26" s="86">
        <v>77199160</v>
      </c>
      <c r="E26" s="86">
        <v>92157925</v>
      </c>
      <c r="F26" s="86">
        <v>104964427</v>
      </c>
      <c r="G26" s="86">
        <v>109858914</v>
      </c>
      <c r="H26" s="86">
        <v>109702542</v>
      </c>
      <c r="I26" s="86">
        <v>111568419</v>
      </c>
      <c r="J26" s="86">
        <v>113100724</v>
      </c>
      <c r="K26" s="86">
        <v>237301274</v>
      </c>
    </row>
    <row r="27" spans="1:11" ht="12.75">
      <c r="A27" s="86" t="s">
        <v>26</v>
      </c>
      <c r="B27" s="86">
        <v>90973549</v>
      </c>
      <c r="C27" s="86">
        <v>130959742</v>
      </c>
      <c r="D27" s="86">
        <v>153553541</v>
      </c>
      <c r="E27" s="86">
        <v>178700774</v>
      </c>
      <c r="F27" s="86">
        <v>200334359</v>
      </c>
      <c r="G27" s="86">
        <v>209675943</v>
      </c>
      <c r="H27" s="86">
        <v>209399652</v>
      </c>
      <c r="I27" s="86">
        <v>212961229</v>
      </c>
      <c r="J27" s="86">
        <v>215886084</v>
      </c>
      <c r="K27" s="86">
        <v>452959460</v>
      </c>
    </row>
    <row r="28" spans="1:11" ht="12.75">
      <c r="A28" s="86" t="s">
        <v>27</v>
      </c>
      <c r="B28" s="86">
        <v>12997604</v>
      </c>
      <c r="C28" s="86">
        <v>19591702</v>
      </c>
      <c r="D28" s="86">
        <v>23559507</v>
      </c>
      <c r="E28" s="86">
        <v>28124597</v>
      </c>
      <c r="F28" s="86">
        <v>32188959</v>
      </c>
      <c r="G28" s="86">
        <v>33927757</v>
      </c>
      <c r="H28" s="86">
        <v>33879040</v>
      </c>
      <c r="I28" s="86">
        <v>34571807</v>
      </c>
      <c r="J28" s="86">
        <v>35120309</v>
      </c>
      <c r="K28" s="86">
        <v>73687363</v>
      </c>
    </row>
    <row r="29" spans="1:11" ht="12.75">
      <c r="A29" s="86" t="s">
        <v>28</v>
      </c>
      <c r="B29" s="86">
        <v>30009897</v>
      </c>
      <c r="C29" s="86">
        <v>43048888</v>
      </c>
      <c r="D29" s="86">
        <v>50475888</v>
      </c>
      <c r="E29" s="86">
        <v>58742248</v>
      </c>
      <c r="F29" s="86">
        <v>65853607</v>
      </c>
      <c r="G29" s="86">
        <v>68924358</v>
      </c>
      <c r="H29" s="86">
        <v>68833781</v>
      </c>
      <c r="I29" s="86">
        <v>70004541</v>
      </c>
      <c r="J29" s="86">
        <v>70965998</v>
      </c>
      <c r="K29" s="86">
        <v>148896675</v>
      </c>
    </row>
    <row r="30" spans="1:11" ht="12.75">
      <c r="A30" s="86" t="s">
        <v>29</v>
      </c>
      <c r="B30" s="86">
        <v>23039165</v>
      </c>
      <c r="C30" s="86">
        <v>34727666</v>
      </c>
      <c r="D30" s="86">
        <v>41760879</v>
      </c>
      <c r="E30" s="86">
        <v>49852822</v>
      </c>
      <c r="F30" s="86">
        <v>57306394</v>
      </c>
      <c r="G30" s="86">
        <v>61135096</v>
      </c>
      <c r="H30" s="86">
        <v>61046424</v>
      </c>
      <c r="I30" s="86">
        <v>63115797</v>
      </c>
      <c r="J30" s="86">
        <v>65025696</v>
      </c>
      <c r="K30" s="86">
        <v>136433084</v>
      </c>
    </row>
    <row r="31" spans="1:11" ht="12.75">
      <c r="A31" s="86" t="s">
        <v>30</v>
      </c>
      <c r="B31" s="86">
        <v>19016870</v>
      </c>
      <c r="C31" s="86">
        <v>27359981</v>
      </c>
      <c r="D31" s="86">
        <v>32080256</v>
      </c>
      <c r="E31" s="86">
        <v>37333991</v>
      </c>
      <c r="F31" s="86">
        <v>41853659</v>
      </c>
      <c r="G31" s="86">
        <v>43805294</v>
      </c>
      <c r="H31" s="86">
        <v>43747597</v>
      </c>
      <c r="I31" s="86">
        <v>44491679</v>
      </c>
      <c r="J31" s="86">
        <v>45102737</v>
      </c>
      <c r="K31" s="86">
        <v>94631905</v>
      </c>
    </row>
    <row r="32" spans="1:11" ht="12.75">
      <c r="A32" s="86" t="s">
        <v>31</v>
      </c>
      <c r="B32" s="86">
        <v>145270027</v>
      </c>
      <c r="C32" s="86">
        <v>208388355</v>
      </c>
      <c r="D32" s="86">
        <v>244340509</v>
      </c>
      <c r="E32" s="86">
        <v>284355787</v>
      </c>
      <c r="F32" s="86">
        <v>318780009</v>
      </c>
      <c r="G32" s="86">
        <v>333644709</v>
      </c>
      <c r="H32" s="86">
        <v>333206250</v>
      </c>
      <c r="I32" s="86">
        <v>338873593</v>
      </c>
      <c r="J32" s="86">
        <v>343527756</v>
      </c>
      <c r="K32" s="86">
        <v>719969500</v>
      </c>
    </row>
    <row r="33" spans="1:11" ht="12.75">
      <c r="A33" s="86" t="s">
        <v>32</v>
      </c>
      <c r="B33" s="86">
        <v>36034694</v>
      </c>
      <c r="C33" s="86">
        <v>52531899</v>
      </c>
      <c r="D33" s="86">
        <v>61594953</v>
      </c>
      <c r="E33" s="86">
        <v>71699432</v>
      </c>
      <c r="F33" s="86">
        <v>80379393</v>
      </c>
      <c r="G33" s="86">
        <v>84127481</v>
      </c>
      <c r="H33" s="86">
        <v>84015541</v>
      </c>
      <c r="I33" s="86">
        <v>85444520</v>
      </c>
      <c r="J33" s="86">
        <v>86618033</v>
      </c>
      <c r="K33" s="86">
        <v>181736853</v>
      </c>
    </row>
    <row r="34" spans="1:11" ht="12.75">
      <c r="A34" s="86" t="s">
        <v>33</v>
      </c>
      <c r="B34" s="86">
        <v>298798306</v>
      </c>
      <c r="C34" s="86">
        <v>429667970</v>
      </c>
      <c r="D34" s="86">
        <v>509305853</v>
      </c>
      <c r="E34" s="86">
        <v>597207574</v>
      </c>
      <c r="F34" s="86">
        <v>669505756</v>
      </c>
      <c r="G34" s="86">
        <v>700724785</v>
      </c>
      <c r="H34" s="86">
        <v>699789265</v>
      </c>
      <c r="I34" s="86">
        <v>711691639</v>
      </c>
      <c r="J34" s="86">
        <v>721466166</v>
      </c>
      <c r="K34" s="86">
        <v>1513737796</v>
      </c>
    </row>
    <row r="35" spans="1:11" ht="12.75">
      <c r="A35" s="86" t="s">
        <v>34</v>
      </c>
      <c r="B35" s="86">
        <v>114312121</v>
      </c>
      <c r="C35" s="86">
        <v>169440174</v>
      </c>
      <c r="D35" s="86">
        <v>202724229</v>
      </c>
      <c r="E35" s="86">
        <v>235924071</v>
      </c>
      <c r="F35" s="86">
        <v>271197443</v>
      </c>
      <c r="G35" s="86">
        <v>288837273</v>
      </c>
      <c r="H35" s="86">
        <v>288431050</v>
      </c>
      <c r="I35" s="86">
        <v>298208386</v>
      </c>
      <c r="J35" s="86">
        <v>304602437</v>
      </c>
      <c r="K35" s="86">
        <v>639098884</v>
      </c>
    </row>
    <row r="36" spans="1:11" ht="12.75">
      <c r="A36" s="86" t="s">
        <v>35</v>
      </c>
      <c r="B36" s="86">
        <v>9114296</v>
      </c>
      <c r="C36" s="86">
        <v>13738268</v>
      </c>
      <c r="D36" s="86">
        <v>16520608</v>
      </c>
      <c r="E36" s="86">
        <v>19721781</v>
      </c>
      <c r="F36" s="86">
        <v>22670415</v>
      </c>
      <c r="G36" s="86">
        <v>24185050</v>
      </c>
      <c r="H36" s="86">
        <v>24149971</v>
      </c>
      <c r="I36" s="86">
        <v>24968615</v>
      </c>
      <c r="J36" s="86">
        <v>25724171</v>
      </c>
      <c r="K36" s="86">
        <v>53972940</v>
      </c>
    </row>
    <row r="37" spans="1:11" ht="12.75">
      <c r="A37" s="86" t="s">
        <v>36</v>
      </c>
      <c r="B37" s="86">
        <v>159145801</v>
      </c>
      <c r="C37" s="86">
        <v>239885523</v>
      </c>
      <c r="D37" s="86">
        <v>288468284</v>
      </c>
      <c r="E37" s="86">
        <v>344364350</v>
      </c>
      <c r="F37" s="86">
        <v>386053232</v>
      </c>
      <c r="G37" s="86">
        <v>404054880</v>
      </c>
      <c r="H37" s="86">
        <v>403484832</v>
      </c>
      <c r="I37" s="86">
        <v>410347509</v>
      </c>
      <c r="J37" s="86">
        <v>415983310</v>
      </c>
      <c r="K37" s="86">
        <v>872791668</v>
      </c>
    </row>
    <row r="38" spans="1:11" ht="12.75">
      <c r="A38" s="86" t="s">
        <v>37</v>
      </c>
      <c r="B38" s="86">
        <v>55517617</v>
      </c>
      <c r="C38" s="86">
        <v>81913464</v>
      </c>
      <c r="D38" s="86">
        <v>98502970</v>
      </c>
      <c r="E38" s="86">
        <v>116368189</v>
      </c>
      <c r="F38" s="86">
        <v>130455767</v>
      </c>
      <c r="G38" s="86">
        <v>136538915</v>
      </c>
      <c r="H38" s="86">
        <v>136350331</v>
      </c>
      <c r="I38" s="86">
        <v>138669447</v>
      </c>
      <c r="J38" s="86">
        <v>140573963</v>
      </c>
      <c r="K38" s="86">
        <v>294944006</v>
      </c>
    </row>
    <row r="39" spans="1:11" ht="12.75">
      <c r="A39" s="86" t="s">
        <v>38</v>
      </c>
      <c r="B39" s="86">
        <v>48323540</v>
      </c>
      <c r="C39" s="86">
        <v>72297813</v>
      </c>
      <c r="D39" s="86">
        <v>86394113</v>
      </c>
      <c r="E39" s="86">
        <v>100990582</v>
      </c>
      <c r="F39" s="86">
        <v>113747843</v>
      </c>
      <c r="G39" s="86">
        <v>119051901</v>
      </c>
      <c r="H39" s="86">
        <v>118887274</v>
      </c>
      <c r="I39" s="86">
        <v>120909370</v>
      </c>
      <c r="J39" s="86">
        <v>122569965</v>
      </c>
      <c r="K39" s="86">
        <v>257169078</v>
      </c>
    </row>
    <row r="40" spans="1:11" ht="12.75">
      <c r="A40" s="86" t="s">
        <v>39</v>
      </c>
      <c r="B40" s="86">
        <v>156534110</v>
      </c>
      <c r="C40" s="86">
        <v>235280772</v>
      </c>
      <c r="D40" s="86">
        <v>281508625</v>
      </c>
      <c r="E40" s="86">
        <v>336056128</v>
      </c>
      <c r="F40" s="86">
        <v>376739214</v>
      </c>
      <c r="G40" s="86">
        <v>394306550</v>
      </c>
      <c r="H40" s="86">
        <v>393753113</v>
      </c>
      <c r="I40" s="86">
        <v>400450268</v>
      </c>
      <c r="J40" s="86">
        <v>405950138</v>
      </c>
      <c r="K40" s="86">
        <v>851740658</v>
      </c>
    </row>
    <row r="41" spans="1:11" ht="12.75">
      <c r="A41" s="86" t="s">
        <v>40</v>
      </c>
      <c r="B41" s="86">
        <v>17575151</v>
      </c>
      <c r="C41" s="86">
        <v>25211373</v>
      </c>
      <c r="D41" s="86">
        <v>29560959</v>
      </c>
      <c r="E41" s="86">
        <v>34402113</v>
      </c>
      <c r="F41" s="86">
        <v>38566846</v>
      </c>
      <c r="G41" s="86">
        <v>40365217</v>
      </c>
      <c r="H41" s="86">
        <v>40312171</v>
      </c>
      <c r="I41" s="86">
        <v>40997821</v>
      </c>
      <c r="J41" s="86">
        <v>41560894</v>
      </c>
      <c r="K41" s="86">
        <v>87200619</v>
      </c>
    </row>
    <row r="42" spans="1:11" ht="12.75">
      <c r="A42" s="86" t="s">
        <v>41</v>
      </c>
      <c r="B42" s="86">
        <v>68478573</v>
      </c>
      <c r="C42" s="86">
        <v>98231807</v>
      </c>
      <c r="D42" s="86">
        <v>115429949</v>
      </c>
      <c r="E42" s="86">
        <v>137796637</v>
      </c>
      <c r="F42" s="86">
        <v>154478352</v>
      </c>
      <c r="G42" s="86">
        <v>161681672</v>
      </c>
      <c r="H42" s="86">
        <v>161464733</v>
      </c>
      <c r="I42" s="86">
        <v>164211008</v>
      </c>
      <c r="J42" s="86">
        <v>166466317</v>
      </c>
      <c r="K42" s="86">
        <v>349269817</v>
      </c>
    </row>
    <row r="43" spans="1:11" ht="12.75">
      <c r="A43" s="86" t="s">
        <v>42</v>
      </c>
      <c r="B43" s="86">
        <v>10857498</v>
      </c>
      <c r="C43" s="86">
        <v>16365852</v>
      </c>
      <c r="D43" s="86">
        <v>19680342</v>
      </c>
      <c r="E43" s="86">
        <v>23493772</v>
      </c>
      <c r="F43" s="86">
        <v>27006362</v>
      </c>
      <c r="G43" s="86">
        <v>28810686</v>
      </c>
      <c r="H43" s="86">
        <v>28768898</v>
      </c>
      <c r="I43" s="86">
        <v>29744116</v>
      </c>
      <c r="J43" s="86">
        <v>30644180</v>
      </c>
      <c r="K43" s="86">
        <v>64295813</v>
      </c>
    </row>
    <row r="44" spans="1:11" ht="12.75">
      <c r="A44" s="86" t="s">
        <v>43</v>
      </c>
      <c r="B44" s="86">
        <v>88697223</v>
      </c>
      <c r="C44" s="86">
        <v>128733463</v>
      </c>
      <c r="D44" s="86">
        <v>154805179</v>
      </c>
      <c r="E44" s="86">
        <v>181996487</v>
      </c>
      <c r="F44" s="86">
        <v>205685894</v>
      </c>
      <c r="G44" s="86">
        <v>215277020</v>
      </c>
      <c r="H44" s="86">
        <v>214982394</v>
      </c>
      <c r="I44" s="86">
        <v>218638925</v>
      </c>
      <c r="J44" s="86">
        <v>221641759</v>
      </c>
      <c r="K44" s="86">
        <v>465035678</v>
      </c>
    </row>
    <row r="45" spans="1:11" ht="12.75">
      <c r="A45" s="86" t="s">
        <v>44</v>
      </c>
      <c r="B45" s="86">
        <v>336565139</v>
      </c>
      <c r="C45" s="86">
        <v>505688457</v>
      </c>
      <c r="D45" s="86">
        <v>608102898</v>
      </c>
      <c r="E45" s="86">
        <v>725934083</v>
      </c>
      <c r="F45" s="86">
        <v>834469609</v>
      </c>
      <c r="G45" s="86">
        <v>889556166</v>
      </c>
      <c r="H45" s="86">
        <v>888269029</v>
      </c>
      <c r="I45" s="86">
        <v>903726489</v>
      </c>
      <c r="J45" s="86">
        <v>916138464</v>
      </c>
      <c r="K45" s="86">
        <v>1922187740</v>
      </c>
    </row>
    <row r="46" spans="1:11" ht="12.75">
      <c r="A46" s="86" t="s">
        <v>45</v>
      </c>
      <c r="B46" s="86">
        <v>37843586</v>
      </c>
      <c r="C46" s="86">
        <v>57042839</v>
      </c>
      <c r="D46" s="86">
        <v>68595427</v>
      </c>
      <c r="E46" s="86">
        <v>81887060</v>
      </c>
      <c r="F46" s="86">
        <v>93688425</v>
      </c>
      <c r="G46" s="86">
        <v>98467773</v>
      </c>
      <c r="H46" s="86">
        <v>98326665</v>
      </c>
      <c r="I46" s="86">
        <v>100055068</v>
      </c>
      <c r="J46" s="86">
        <v>102248650</v>
      </c>
      <c r="K46" s="86">
        <v>214532092</v>
      </c>
    </row>
    <row r="47" spans="1:11" ht="12.75">
      <c r="A47" s="86" t="s">
        <v>46</v>
      </c>
      <c r="B47" s="86">
        <v>8787921</v>
      </c>
      <c r="C47" s="86">
        <v>13246313</v>
      </c>
      <c r="D47" s="86">
        <v>15929020</v>
      </c>
      <c r="E47" s="86">
        <v>19015562</v>
      </c>
      <c r="F47" s="86">
        <v>21858608</v>
      </c>
      <c r="G47" s="86">
        <v>23319005</v>
      </c>
      <c r="H47" s="86">
        <v>23285183</v>
      </c>
      <c r="I47" s="86">
        <v>24074512</v>
      </c>
      <c r="J47" s="86">
        <v>24803013</v>
      </c>
      <c r="K47" s="86">
        <v>52040220</v>
      </c>
    </row>
    <row r="48" spans="1:11" ht="12.75">
      <c r="A48" s="86" t="s">
        <v>47</v>
      </c>
      <c r="B48" s="86">
        <v>106290352</v>
      </c>
      <c r="C48" s="86">
        <v>153996278</v>
      </c>
      <c r="D48" s="86">
        <v>181253563</v>
      </c>
      <c r="E48" s="86">
        <v>214098545</v>
      </c>
      <c r="F48" s="86">
        <v>246108749</v>
      </c>
      <c r="G48" s="86">
        <v>259999139</v>
      </c>
      <c r="H48" s="86">
        <v>259641368</v>
      </c>
      <c r="I48" s="86">
        <v>264057481</v>
      </c>
      <c r="J48" s="86">
        <v>267684103</v>
      </c>
      <c r="K48" s="86">
        <v>561639011</v>
      </c>
    </row>
    <row r="49" spans="1:11" ht="12.75">
      <c r="A49" s="86" t="s">
        <v>48</v>
      </c>
      <c r="B49" s="86">
        <v>78927411</v>
      </c>
      <c r="C49" s="86">
        <v>118603146</v>
      </c>
      <c r="D49" s="86">
        <v>142623221</v>
      </c>
      <c r="E49" s="86">
        <v>170259108</v>
      </c>
      <c r="F49" s="86">
        <v>195225582</v>
      </c>
      <c r="G49" s="86">
        <v>204328944</v>
      </c>
      <c r="H49" s="86">
        <v>204037061</v>
      </c>
      <c r="I49" s="86">
        <v>207507428</v>
      </c>
      <c r="J49" s="86">
        <v>210357380</v>
      </c>
      <c r="K49" s="86">
        <v>441359459</v>
      </c>
    </row>
    <row r="50" spans="1:11" ht="12.75">
      <c r="A50" s="86" t="s">
        <v>49</v>
      </c>
      <c r="B50" s="86">
        <v>30522278</v>
      </c>
      <c r="C50" s="86">
        <v>43783893</v>
      </c>
      <c r="D50" s="86">
        <v>51337699</v>
      </c>
      <c r="E50" s="86">
        <v>59745197</v>
      </c>
      <c r="F50" s="86">
        <v>66977974</v>
      </c>
      <c r="G50" s="86">
        <v>70101154</v>
      </c>
      <c r="H50" s="86">
        <v>70009031</v>
      </c>
      <c r="I50" s="86">
        <v>71199780</v>
      </c>
      <c r="J50" s="86">
        <v>72177653</v>
      </c>
      <c r="K50" s="86">
        <v>151438898</v>
      </c>
    </row>
    <row r="51" spans="1:11" ht="12.75">
      <c r="A51" s="86" t="s">
        <v>50</v>
      </c>
      <c r="B51" s="86">
        <v>80406470</v>
      </c>
      <c r="C51" s="86">
        <v>117131369</v>
      </c>
      <c r="D51" s="86">
        <v>140599055</v>
      </c>
      <c r="E51" s="86">
        <v>163780418</v>
      </c>
      <c r="F51" s="86">
        <v>183607739</v>
      </c>
      <c r="G51" s="86">
        <v>192169361</v>
      </c>
      <c r="H51" s="86">
        <v>191909223</v>
      </c>
      <c r="I51" s="86">
        <v>195173313</v>
      </c>
      <c r="J51" s="86">
        <v>197853865</v>
      </c>
      <c r="K51" s="86">
        <v>415125321</v>
      </c>
    </row>
    <row r="52" spans="1:11" ht="12.75">
      <c r="A52" s="86" t="s">
        <v>51</v>
      </c>
      <c r="B52" s="86">
        <v>9219400</v>
      </c>
      <c r="C52" s="86">
        <v>13896695</v>
      </c>
      <c r="D52" s="86">
        <v>16711120</v>
      </c>
      <c r="E52" s="86">
        <v>19949209</v>
      </c>
      <c r="F52" s="86">
        <v>22931846</v>
      </c>
      <c r="G52" s="86">
        <v>24463947</v>
      </c>
      <c r="H52" s="86">
        <v>24428464</v>
      </c>
      <c r="I52" s="86">
        <v>25256549</v>
      </c>
      <c r="J52" s="86">
        <v>26020818</v>
      </c>
      <c r="K52" s="86">
        <v>53523206</v>
      </c>
    </row>
    <row r="53" spans="1:11" ht="12.75">
      <c r="A53" s="86" t="s">
        <v>52</v>
      </c>
      <c r="B53" s="86">
        <v>4832745</v>
      </c>
      <c r="C53" s="86">
        <v>5127424</v>
      </c>
      <c r="D53" s="86">
        <v>5705650</v>
      </c>
      <c r="E53" s="86">
        <v>5816515</v>
      </c>
      <c r="F53" s="86">
        <v>5935219</v>
      </c>
      <c r="G53" s="86">
        <v>6124504</v>
      </c>
      <c r="H53" s="86">
        <v>6122495</v>
      </c>
      <c r="I53" s="86">
        <v>6202408</v>
      </c>
      <c r="J53" s="86">
        <v>6297058</v>
      </c>
      <c r="K53" s="86">
        <v>6527227</v>
      </c>
    </row>
    <row r="54" spans="1:11" ht="12.75">
      <c r="A54" s="86" t="s">
        <v>53</v>
      </c>
      <c r="B54" s="86">
        <v>11675837</v>
      </c>
      <c r="C54" s="86">
        <v>12387778</v>
      </c>
      <c r="D54" s="86">
        <v>12629887</v>
      </c>
      <c r="E54" s="86">
        <v>12896899</v>
      </c>
      <c r="F54" s="86">
        <v>13160101</v>
      </c>
      <c r="G54" s="86">
        <v>13579801</v>
      </c>
      <c r="H54" s="86">
        <v>13575347</v>
      </c>
      <c r="I54" s="86">
        <v>13752535</v>
      </c>
      <c r="J54" s="86">
        <v>13962402</v>
      </c>
      <c r="K54" s="86">
        <v>14472754</v>
      </c>
    </row>
    <row r="55" spans="1:11" ht="12.75">
      <c r="A55" s="86" t="s">
        <v>54</v>
      </c>
      <c r="B55" s="86">
        <v>2980233</v>
      </c>
      <c r="C55" s="86">
        <v>3161954</v>
      </c>
      <c r="D55" s="86">
        <v>4372921</v>
      </c>
      <c r="E55" s="86">
        <v>4419970</v>
      </c>
      <c r="F55" s="86">
        <v>4510173</v>
      </c>
      <c r="G55" s="86">
        <v>4654011</v>
      </c>
      <c r="H55" s="86">
        <v>4652485</v>
      </c>
      <c r="I55" s="86">
        <v>4713210</v>
      </c>
      <c r="J55" s="86">
        <v>4785135</v>
      </c>
      <c r="K55" s="86">
        <v>4960041</v>
      </c>
    </row>
    <row r="56" spans="1:11" ht="12.75">
      <c r="A56" s="86" t="s">
        <v>55</v>
      </c>
      <c r="B56" s="86">
        <v>37448755</v>
      </c>
      <c r="C56" s="86">
        <v>56447698</v>
      </c>
      <c r="D56" s="86">
        <v>67879755</v>
      </c>
      <c r="E56" s="86">
        <v>81032713</v>
      </c>
      <c r="F56" s="86">
        <v>93148039</v>
      </c>
      <c r="G56" s="86">
        <v>99371359</v>
      </c>
      <c r="H56" s="86">
        <v>99227228</v>
      </c>
      <c r="I56" s="86">
        <v>102590867</v>
      </c>
      <c r="J56" s="86">
        <v>105695291</v>
      </c>
      <c r="K56" s="86">
        <v>221763631</v>
      </c>
    </row>
    <row r="57" spans="1:11" ht="12.75">
      <c r="A57" s="86" t="s">
        <v>56</v>
      </c>
      <c r="B57" s="86">
        <v>8852007</v>
      </c>
      <c r="C57" s="86">
        <v>9391764</v>
      </c>
      <c r="D57" s="86">
        <v>7999858</v>
      </c>
      <c r="E57" s="86">
        <v>8197048</v>
      </c>
      <c r="F57" s="86">
        <v>8364335</v>
      </c>
      <c r="G57" s="86">
        <v>8631089</v>
      </c>
      <c r="H57" s="86">
        <v>8628258</v>
      </c>
      <c r="I57" s="86">
        <v>8740876</v>
      </c>
      <c r="J57" s="86">
        <v>8874264</v>
      </c>
      <c r="K57" s="86">
        <v>9198635</v>
      </c>
    </row>
    <row r="58" spans="1:11" ht="12.75">
      <c r="A58" s="86" t="s">
        <v>57</v>
      </c>
      <c r="B58" s="86">
        <v>7243368</v>
      </c>
      <c r="C58" s="86">
        <v>0</v>
      </c>
      <c r="D58" s="86">
        <v>0</v>
      </c>
      <c r="E58" s="86">
        <v>0</v>
      </c>
      <c r="F58" s="86">
        <v>0</v>
      </c>
      <c r="G58" s="86">
        <v>6579306</v>
      </c>
      <c r="H58" s="86">
        <v>6579306</v>
      </c>
      <c r="I58" s="86">
        <v>6579306</v>
      </c>
      <c r="J58" s="86">
        <v>6579306</v>
      </c>
      <c r="K58" s="86">
        <v>6579306</v>
      </c>
    </row>
    <row r="59" spans="1:11" ht="12.75">
      <c r="A59" s="86" t="s">
        <v>92</v>
      </c>
      <c r="B59" s="86">
        <v>52849182</v>
      </c>
      <c r="C59" s="86">
        <v>77724538</v>
      </c>
      <c r="D59" s="86">
        <v>79377301</v>
      </c>
      <c r="E59" s="86">
        <v>80458990</v>
      </c>
      <c r="F59" s="86">
        <v>81616614</v>
      </c>
      <c r="G59" s="86">
        <v>83545766</v>
      </c>
      <c r="H59" s="86">
        <v>86306409</v>
      </c>
      <c r="I59" s="86">
        <v>87432898</v>
      </c>
      <c r="J59" s="86">
        <v>88767145</v>
      </c>
      <c r="K59" s="86">
        <v>92011750</v>
      </c>
    </row>
    <row r="60" spans="1:11" ht="12.75">
      <c r="A60" s="86" t="s">
        <v>58</v>
      </c>
      <c r="B60" s="86">
        <v>9700000</v>
      </c>
      <c r="C60" s="86">
        <v>23244059</v>
      </c>
      <c r="D60" s="86">
        <v>22579306</v>
      </c>
      <c r="E60" s="86">
        <v>22579306</v>
      </c>
      <c r="F60" s="86">
        <v>22579306</v>
      </c>
      <c r="G60" s="86">
        <v>10000000</v>
      </c>
      <c r="H60" s="86">
        <v>15000000</v>
      </c>
      <c r="I60" s="86">
        <v>15000000</v>
      </c>
      <c r="J60" s="86">
        <v>15000000</v>
      </c>
      <c r="K60" s="86">
        <v>15000000</v>
      </c>
    </row>
    <row r="61" spans="1:12" ht="12.75">
      <c r="A61" s="86" t="s">
        <v>59</v>
      </c>
      <c r="B61" s="86">
        <f>SUM(B2:B60)+B62</f>
        <v>4310700000</v>
      </c>
      <c r="C61" s="86">
        <f aca="true" t="shared" si="0" ref="C61:L61">SUM(C2:C60)</f>
        <v>6339685000</v>
      </c>
      <c r="D61" s="86">
        <f t="shared" si="0"/>
        <v>7528533000</v>
      </c>
      <c r="E61" s="86">
        <f t="shared" si="0"/>
        <v>8874397536</v>
      </c>
      <c r="F61" s="86">
        <f t="shared" si="0"/>
        <v>10068106452</v>
      </c>
      <c r="G61" s="86">
        <f t="shared" si="0"/>
        <v>10589745824</v>
      </c>
      <c r="H61" s="86">
        <f t="shared" si="0"/>
        <v>10582960540</v>
      </c>
      <c r="I61" s="86">
        <f t="shared" si="0"/>
        <v>10782961000</v>
      </c>
      <c r="J61" s="86">
        <f t="shared" si="0"/>
        <v>10947511571</v>
      </c>
      <c r="K61" s="86">
        <f>SUM(K2:K60)</f>
        <v>22805211000</v>
      </c>
      <c r="L61" s="86">
        <f t="shared" si="0"/>
        <v>0</v>
      </c>
    </row>
    <row r="62" ht="12.75">
      <c r="B62" s="86">
        <v>634771</v>
      </c>
    </row>
    <row r="63" spans="1:12" ht="12.75">
      <c r="A63" s="86" t="s">
        <v>81</v>
      </c>
      <c r="C63" s="86">
        <f aca="true" t="shared" si="1" ref="C63:J63">(C55-B55)/B55</f>
        <v>0.0609754337999747</v>
      </c>
      <c r="D63" s="86">
        <f t="shared" si="1"/>
        <v>0.38298058732037216</v>
      </c>
      <c r="E63" s="86">
        <f t="shared" si="1"/>
        <v>0.01075916990039381</v>
      </c>
      <c r="F63" s="86">
        <f t="shared" si="1"/>
        <v>0.020408057068260644</v>
      </c>
      <c r="G63" s="86">
        <f t="shared" si="1"/>
        <v>0.03189190303786573</v>
      </c>
      <c r="H63" s="86">
        <f t="shared" si="1"/>
        <v>-0.0003278892121226185</v>
      </c>
      <c r="I63" s="86">
        <f t="shared" si="1"/>
        <v>0.013052164595909499</v>
      </c>
      <c r="J63" s="86">
        <f t="shared" si="1"/>
        <v>0.015260300304887751</v>
      </c>
      <c r="K63" s="86">
        <f>(K55-J55)/J55</f>
        <v>0.03655194681027808</v>
      </c>
      <c r="L63" s="86">
        <f>(L55-K55)/K55</f>
        <v>-1</v>
      </c>
    </row>
    <row r="64" spans="1:12" ht="12.75">
      <c r="A64" s="86" t="s">
        <v>82</v>
      </c>
      <c r="C64" s="86">
        <f aca="true" t="shared" si="2" ref="C64:J64">(C61-B61)/B61</f>
        <v>0.47068573549539516</v>
      </c>
      <c r="D64" s="86">
        <f t="shared" si="2"/>
        <v>0.18752477449589372</v>
      </c>
      <c r="E64" s="86">
        <f t="shared" si="2"/>
        <v>0.17876849792648847</v>
      </c>
      <c r="F64" s="86">
        <f t="shared" si="2"/>
        <v>0.13451154415357036</v>
      </c>
      <c r="G64" s="86">
        <f t="shared" si="2"/>
        <v>0.051811070382194645</v>
      </c>
      <c r="H64" s="86">
        <f t="shared" si="2"/>
        <v>-0.0006407409689307384</v>
      </c>
      <c r="I64" s="86">
        <f t="shared" si="2"/>
        <v>0.018898346945929366</v>
      </c>
      <c r="J64" s="86">
        <f t="shared" si="2"/>
        <v>0.015260239835792784</v>
      </c>
      <c r="K64" s="86">
        <f>(K61-J61)/J61</f>
        <v>1.083141072936711</v>
      </c>
      <c r="L64" s="86">
        <f>(L61-K61)/K61</f>
        <v>-1</v>
      </c>
    </row>
    <row r="65" spans="1:12" ht="12.75">
      <c r="A65" s="86" t="s">
        <v>83</v>
      </c>
      <c r="I65" s="86">
        <f>VLOOKUP("FY Inflation",FY_Inflation,MATCH(I1-1,FY_Inflation_year_row,0),0)</f>
        <v>0.013052208835341481</v>
      </c>
      <c r="J65" s="86">
        <f>VLOOKUP("FY Inflation",FY_Inflation,MATCH(J1-1,FY_Inflation_year_row,0),0)</f>
        <v>0.035361744301288384</v>
      </c>
      <c r="K65" s="86">
        <f>VLOOKUP("FY Inflation",FY_Inflation,MATCH(K1-1,FY_Inflation_year_row,0),0)</f>
        <v>0.03655186277137497</v>
      </c>
      <c r="L65" s="86">
        <f>VLOOKUP("FY Inflation",FY_Inflation,MATCH(L1-1,FY_Inflation_year_row,0),0)</f>
        <v>0.015232739076431533</v>
      </c>
    </row>
  </sheetData>
  <sheetProtection password="87AF" sheet="1" objects="1" scenarios="1" selectLockedCells="1" selectUnlockedCells="1"/>
  <printOptions/>
  <pageMargins left="0.75" right="0.75" top="1" bottom="1" header="0.5" footer="0.5"/>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sheetPr codeName="Sheet3"/>
  <dimension ref="A1:W22"/>
  <sheetViews>
    <sheetView workbookViewId="0" topLeftCell="A1">
      <selection activeCell="A1" sqref="A1:E1"/>
    </sheetView>
  </sheetViews>
  <sheetFormatPr defaultColWidth="9.140625" defaultRowHeight="12.75"/>
  <cols>
    <col min="1" max="1" width="11.28125" style="85" customWidth="1"/>
    <col min="2" max="2" width="5.57421875" style="85" bestFit="1" customWidth="1"/>
    <col min="3" max="23" width="7.28125" style="85" bestFit="1" customWidth="1"/>
    <col min="24" max="16384" width="9.140625" style="85" customWidth="1"/>
  </cols>
  <sheetData>
    <row r="1" ht="12.75">
      <c r="A1" s="85" t="s">
        <v>78</v>
      </c>
    </row>
    <row r="2" ht="12.75">
      <c r="A2" s="85" t="s">
        <v>74</v>
      </c>
    </row>
    <row r="4" ht="12.75">
      <c r="A4" s="85" t="s">
        <v>75</v>
      </c>
    </row>
    <row r="6" spans="1:23" ht="12.75">
      <c r="A6" s="85" t="s">
        <v>76</v>
      </c>
      <c r="B6" s="85">
        <v>1998</v>
      </c>
      <c r="C6" s="85">
        <v>1999</v>
      </c>
      <c r="D6" s="85">
        <v>2000</v>
      </c>
      <c r="E6" s="85">
        <v>2001</v>
      </c>
      <c r="F6" s="85">
        <v>2002</v>
      </c>
      <c r="G6" s="85">
        <v>2003</v>
      </c>
      <c r="H6" s="85">
        <v>2004</v>
      </c>
      <c r="I6" s="85">
        <v>2005</v>
      </c>
      <c r="J6" s="85">
        <v>2006</v>
      </c>
      <c r="K6" s="85">
        <v>2007</v>
      </c>
      <c r="L6" s="85">
        <v>2008</v>
      </c>
      <c r="M6" s="85">
        <v>2009</v>
      </c>
      <c r="N6" s="85">
        <v>2010</v>
      </c>
      <c r="O6" s="85">
        <v>2011</v>
      </c>
      <c r="P6" s="85">
        <v>2012</v>
      </c>
      <c r="Q6" s="85">
        <v>2013</v>
      </c>
      <c r="R6" s="85">
        <v>2014</v>
      </c>
      <c r="S6" s="85">
        <v>2015</v>
      </c>
      <c r="T6" s="85">
        <v>2016</v>
      </c>
      <c r="U6" s="85">
        <v>2017</v>
      </c>
      <c r="V6" s="85">
        <v>2018</v>
      </c>
      <c r="W6" s="85">
        <v>2019</v>
      </c>
    </row>
    <row r="7" spans="1:23" ht="12.75">
      <c r="A7" s="85" t="s">
        <v>77</v>
      </c>
      <c r="K7" s="85">
        <v>2007</v>
      </c>
      <c r="L7" s="85">
        <v>2008</v>
      </c>
      <c r="M7" s="85">
        <v>2009</v>
      </c>
      <c r="N7" s="85">
        <v>2010</v>
      </c>
      <c r="O7" s="85">
        <v>2011</v>
      </c>
      <c r="P7" s="85">
        <v>2012</v>
      </c>
      <c r="Q7" s="85">
        <v>2013</v>
      </c>
      <c r="R7" s="85">
        <v>2014</v>
      </c>
      <c r="S7" s="85">
        <v>2015</v>
      </c>
      <c r="T7" s="85">
        <v>2016</v>
      </c>
      <c r="U7" s="85">
        <v>2017</v>
      </c>
      <c r="V7" s="85">
        <v>2018</v>
      </c>
      <c r="W7" s="85">
        <v>2019</v>
      </c>
    </row>
    <row r="8" spans="1:23" ht="12.75">
      <c r="A8" s="85" t="s">
        <v>61</v>
      </c>
      <c r="B8" s="85">
        <v>161.6</v>
      </c>
      <c r="C8" s="85">
        <v>164.3</v>
      </c>
      <c r="D8" s="85">
        <v>168.8</v>
      </c>
      <c r="E8" s="85">
        <v>175.1</v>
      </c>
      <c r="F8" s="85">
        <v>177.1</v>
      </c>
      <c r="G8" s="85">
        <v>181.7</v>
      </c>
      <c r="H8" s="85">
        <v>185.2</v>
      </c>
      <c r="I8" s="85">
        <v>190.7</v>
      </c>
      <c r="J8" s="85">
        <v>198.3</v>
      </c>
      <c r="K8" s="85">
        <v>202.416</v>
      </c>
      <c r="L8" s="85">
        <v>211.08</v>
      </c>
      <c r="M8" s="85">
        <v>215.21</v>
      </c>
      <c r="N8" s="85">
        <v>219.582</v>
      </c>
      <c r="O8" s="85">
        <v>223.277</v>
      </c>
      <c r="P8" s="85">
        <v>227.264</v>
      </c>
      <c r="Q8" s="85">
        <v>231.673</v>
      </c>
      <c r="R8" s="85">
        <v>236.38</v>
      </c>
      <c r="S8" s="85">
        <v>241.329</v>
      </c>
      <c r="T8" s="85">
        <v>246.399</v>
      </c>
      <c r="U8" s="85">
        <v>251.573</v>
      </c>
      <c r="V8" s="85">
        <v>256.856</v>
      </c>
      <c r="W8" s="85">
        <v>262.25</v>
      </c>
    </row>
    <row r="9" spans="1:23" ht="12.75">
      <c r="A9" s="85" t="s">
        <v>62</v>
      </c>
      <c r="B9" s="85">
        <v>161.9</v>
      </c>
      <c r="C9" s="85">
        <v>164.5</v>
      </c>
      <c r="D9" s="85">
        <v>169.8</v>
      </c>
      <c r="E9" s="85">
        <v>175.8</v>
      </c>
      <c r="F9" s="85">
        <v>177.8</v>
      </c>
      <c r="G9" s="85">
        <v>183.1</v>
      </c>
      <c r="H9" s="85">
        <v>186.2</v>
      </c>
      <c r="I9" s="85">
        <v>191.8</v>
      </c>
      <c r="J9" s="85">
        <v>198.7</v>
      </c>
      <c r="K9" s="85">
        <v>203.499</v>
      </c>
      <c r="L9" s="85">
        <v>211.693</v>
      </c>
      <c r="M9" s="85">
        <v>216.378</v>
      </c>
      <c r="N9" s="85">
        <v>220.373</v>
      </c>
      <c r="O9" s="85">
        <v>224.087</v>
      </c>
      <c r="P9" s="85">
        <v>228.12</v>
      </c>
      <c r="Q9" s="85">
        <v>232.569</v>
      </c>
      <c r="R9" s="85">
        <v>237.307</v>
      </c>
      <c r="S9" s="85">
        <v>242.284</v>
      </c>
      <c r="T9" s="85">
        <v>247.372</v>
      </c>
      <c r="U9" s="85">
        <v>252.567</v>
      </c>
      <c r="V9" s="85">
        <v>257.871</v>
      </c>
      <c r="W9" s="85">
        <v>263.287</v>
      </c>
    </row>
    <row r="10" spans="1:23" ht="12.75">
      <c r="A10" s="85" t="s">
        <v>63</v>
      </c>
      <c r="B10" s="85">
        <v>162.2</v>
      </c>
      <c r="C10" s="85">
        <v>165</v>
      </c>
      <c r="D10" s="85">
        <v>171.2</v>
      </c>
      <c r="E10" s="85">
        <v>176.2</v>
      </c>
      <c r="F10" s="85">
        <v>178.8</v>
      </c>
      <c r="G10" s="85">
        <v>184.2</v>
      </c>
      <c r="H10" s="85">
        <v>187.4</v>
      </c>
      <c r="I10" s="85">
        <v>193.3</v>
      </c>
      <c r="J10" s="85">
        <v>199.8</v>
      </c>
      <c r="K10" s="85">
        <v>205.352</v>
      </c>
      <c r="L10" s="85">
        <v>213.528</v>
      </c>
      <c r="M10" s="85">
        <v>218.111</v>
      </c>
      <c r="N10" s="85">
        <v>221.641</v>
      </c>
      <c r="O10" s="85">
        <v>225.381</v>
      </c>
      <c r="P10" s="85">
        <v>229.47</v>
      </c>
      <c r="Q10" s="85">
        <v>233.967</v>
      </c>
      <c r="R10" s="85">
        <v>238.748</v>
      </c>
      <c r="S10" s="85">
        <v>243.766</v>
      </c>
      <c r="T10" s="85">
        <v>248.882</v>
      </c>
      <c r="U10" s="85">
        <v>254.109</v>
      </c>
      <c r="V10" s="85">
        <v>259.446</v>
      </c>
      <c r="W10" s="85">
        <v>264.893</v>
      </c>
    </row>
    <row r="11" spans="1:23" ht="12.75">
      <c r="A11" s="85" t="s">
        <v>64</v>
      </c>
      <c r="B11" s="85">
        <v>162.5</v>
      </c>
      <c r="C11" s="85">
        <v>166.2</v>
      </c>
      <c r="D11" s="85">
        <v>171.3</v>
      </c>
      <c r="E11" s="85">
        <v>176.9</v>
      </c>
      <c r="F11" s="85">
        <v>179.8</v>
      </c>
      <c r="G11" s="85">
        <v>183.8</v>
      </c>
      <c r="H11" s="85">
        <v>188</v>
      </c>
      <c r="I11" s="85">
        <v>194.6</v>
      </c>
      <c r="J11" s="85">
        <v>201.5</v>
      </c>
      <c r="K11" s="85">
        <v>206.686</v>
      </c>
      <c r="L11" s="85">
        <v>214.823</v>
      </c>
      <c r="M11" s="85">
        <v>218.601</v>
      </c>
      <c r="N11" s="85">
        <v>222.308</v>
      </c>
      <c r="O11" s="85">
        <v>226.076</v>
      </c>
      <c r="P11" s="85">
        <v>230.214</v>
      </c>
      <c r="Q11" s="85">
        <v>234.744</v>
      </c>
      <c r="R11" s="85">
        <v>239.551</v>
      </c>
      <c r="S11" s="85">
        <v>244.587</v>
      </c>
      <c r="T11" s="85">
        <v>249.724</v>
      </c>
      <c r="U11" s="85">
        <v>254.968</v>
      </c>
      <c r="V11" s="85">
        <v>260.323</v>
      </c>
      <c r="W11" s="85">
        <v>265.79</v>
      </c>
    </row>
    <row r="12" spans="1:23" ht="12.75">
      <c r="A12" s="85" t="s">
        <v>65</v>
      </c>
      <c r="B12" s="85">
        <v>162.8</v>
      </c>
      <c r="C12" s="85">
        <v>166.2</v>
      </c>
      <c r="D12" s="85">
        <v>171.5</v>
      </c>
      <c r="E12" s="85">
        <v>177.7</v>
      </c>
      <c r="F12" s="85">
        <v>179.8</v>
      </c>
      <c r="G12" s="85">
        <v>183.5</v>
      </c>
      <c r="H12" s="85">
        <v>189.1</v>
      </c>
      <c r="I12" s="85">
        <v>194.4</v>
      </c>
      <c r="J12" s="85">
        <v>202.5</v>
      </c>
      <c r="K12" s="85">
        <v>207.949</v>
      </c>
      <c r="L12" s="85">
        <v>216.632</v>
      </c>
      <c r="M12" s="85">
        <v>218.91</v>
      </c>
      <c r="N12" s="85">
        <v>222.615</v>
      </c>
      <c r="O12" s="85">
        <v>226.399</v>
      </c>
      <c r="P12" s="85">
        <v>230.576</v>
      </c>
      <c r="Q12" s="85">
        <v>235.136</v>
      </c>
      <c r="R12" s="85">
        <v>239.962</v>
      </c>
      <c r="S12" s="85">
        <v>245.013</v>
      </c>
      <c r="T12" s="85">
        <v>250.158</v>
      </c>
      <c r="U12" s="85">
        <v>255.411</v>
      </c>
      <c r="V12" s="85">
        <v>260.775</v>
      </c>
      <c r="W12" s="85">
        <v>266.252</v>
      </c>
    </row>
    <row r="13" spans="1:23" ht="12.75">
      <c r="A13" s="85" t="s">
        <v>66</v>
      </c>
      <c r="B13" s="85">
        <v>163</v>
      </c>
      <c r="C13" s="85">
        <v>166.2</v>
      </c>
      <c r="D13" s="85">
        <v>172.4</v>
      </c>
      <c r="E13" s="85">
        <v>178</v>
      </c>
      <c r="F13" s="85">
        <v>179.9</v>
      </c>
      <c r="G13" s="85">
        <v>183.7</v>
      </c>
      <c r="H13" s="85">
        <v>189.7</v>
      </c>
      <c r="I13" s="85">
        <v>194.5</v>
      </c>
      <c r="J13" s="85">
        <v>202.9</v>
      </c>
      <c r="K13" s="85">
        <v>208.352</v>
      </c>
      <c r="L13" s="85">
        <v>218.815</v>
      </c>
      <c r="M13" s="85">
        <v>219.216</v>
      </c>
      <c r="N13" s="85">
        <v>222.919</v>
      </c>
      <c r="O13" s="85">
        <v>226.72</v>
      </c>
      <c r="P13" s="85">
        <v>230.936</v>
      </c>
      <c r="Q13" s="85">
        <v>235.524</v>
      </c>
      <c r="R13" s="85">
        <v>240.37</v>
      </c>
      <c r="S13" s="85">
        <v>245.436</v>
      </c>
      <c r="T13" s="85">
        <v>250.59</v>
      </c>
      <c r="U13" s="85">
        <v>255.853</v>
      </c>
      <c r="V13" s="85">
        <v>261.225</v>
      </c>
      <c r="W13" s="85">
        <v>266.71</v>
      </c>
    </row>
    <row r="14" spans="1:23" ht="12.75">
      <c r="A14" s="85" t="s">
        <v>67</v>
      </c>
      <c r="B14" s="85">
        <v>163.2</v>
      </c>
      <c r="C14" s="85">
        <v>166.7</v>
      </c>
      <c r="D14" s="85">
        <v>172.8</v>
      </c>
      <c r="E14" s="85">
        <v>177.5</v>
      </c>
      <c r="F14" s="85">
        <v>180.1</v>
      </c>
      <c r="G14" s="85">
        <v>183.9</v>
      </c>
      <c r="H14" s="85">
        <v>189.4</v>
      </c>
      <c r="I14" s="85">
        <v>195.4</v>
      </c>
      <c r="J14" s="85">
        <v>203.5</v>
      </c>
      <c r="K14" s="85">
        <v>208.299</v>
      </c>
      <c r="L14" s="85">
        <v>219.964</v>
      </c>
      <c r="M14" s="85">
        <v>219.06</v>
      </c>
      <c r="N14" s="85">
        <v>222.742</v>
      </c>
      <c r="O14" s="85">
        <v>226.565</v>
      </c>
      <c r="P14" s="85">
        <v>230.81</v>
      </c>
      <c r="Q14" s="85">
        <v>235.409</v>
      </c>
      <c r="R14" s="85">
        <v>240.264</v>
      </c>
      <c r="S14" s="85">
        <v>245.326</v>
      </c>
      <c r="T14" s="85">
        <v>250.477</v>
      </c>
      <c r="U14" s="85">
        <v>255.738</v>
      </c>
      <c r="V14" s="85">
        <v>261.108</v>
      </c>
      <c r="W14" s="85">
        <v>266.592</v>
      </c>
    </row>
    <row r="15" spans="1:23" ht="12.75">
      <c r="A15" s="85" t="s">
        <v>68</v>
      </c>
      <c r="B15" s="85">
        <v>163.4</v>
      </c>
      <c r="C15" s="85">
        <v>167.1</v>
      </c>
      <c r="D15" s="85">
        <v>172.8</v>
      </c>
      <c r="E15" s="85">
        <v>177.5</v>
      </c>
      <c r="F15" s="85">
        <v>180.7</v>
      </c>
      <c r="G15" s="85">
        <v>184.6</v>
      </c>
      <c r="H15" s="85">
        <v>189.5</v>
      </c>
      <c r="I15" s="85">
        <v>196.4</v>
      </c>
      <c r="J15" s="85">
        <v>203.9</v>
      </c>
      <c r="K15" s="85">
        <v>207.917</v>
      </c>
      <c r="L15" s="85">
        <v>219.086</v>
      </c>
      <c r="M15" s="85">
        <v>219.256</v>
      </c>
      <c r="N15" s="85">
        <v>222.928</v>
      </c>
      <c r="O15" s="85">
        <v>226.774</v>
      </c>
      <c r="P15" s="85">
        <v>231.054</v>
      </c>
      <c r="Q15" s="85">
        <v>235.675</v>
      </c>
      <c r="R15" s="85">
        <v>240.547</v>
      </c>
      <c r="S15" s="85">
        <v>245.617</v>
      </c>
      <c r="T15" s="85">
        <v>250.775</v>
      </c>
      <c r="U15" s="85">
        <v>256.041</v>
      </c>
      <c r="V15" s="85">
        <v>261.418</v>
      </c>
      <c r="W15" s="85">
        <v>266.908</v>
      </c>
    </row>
    <row r="16" spans="1:23" ht="12.75">
      <c r="A16" s="85" t="s">
        <v>69</v>
      </c>
      <c r="B16" s="85">
        <v>163.6</v>
      </c>
      <c r="C16" s="85">
        <v>167.9</v>
      </c>
      <c r="D16" s="85">
        <v>173.7</v>
      </c>
      <c r="E16" s="85">
        <v>178.3</v>
      </c>
      <c r="F16" s="85">
        <v>181</v>
      </c>
      <c r="G16" s="85">
        <v>185.2</v>
      </c>
      <c r="H16" s="85">
        <v>189.9</v>
      </c>
      <c r="I16" s="85">
        <v>198.8</v>
      </c>
      <c r="J16" s="85">
        <v>202.9</v>
      </c>
      <c r="K16" s="85">
        <v>208.49</v>
      </c>
      <c r="L16" s="85">
        <v>218.783</v>
      </c>
      <c r="M16" s="85">
        <v>219.57</v>
      </c>
      <c r="N16" s="85">
        <v>223.235</v>
      </c>
      <c r="O16" s="85">
        <v>227.105</v>
      </c>
      <c r="P16" s="85">
        <v>231.423</v>
      </c>
      <c r="Q16" s="85">
        <v>236.068</v>
      </c>
      <c r="R16" s="85">
        <v>240.961</v>
      </c>
      <c r="S16" s="85">
        <v>246.042</v>
      </c>
      <c r="T16" s="85">
        <v>251.209</v>
      </c>
      <c r="U16" s="85">
        <v>256.483</v>
      </c>
      <c r="V16" s="85">
        <v>261.87</v>
      </c>
      <c r="W16" s="85">
        <v>267.369</v>
      </c>
    </row>
    <row r="17" spans="1:23" ht="12.75">
      <c r="A17" s="85" t="s">
        <v>70</v>
      </c>
      <c r="B17" s="85">
        <v>164</v>
      </c>
      <c r="C17" s="85">
        <v>168.2</v>
      </c>
      <c r="D17" s="85">
        <v>174</v>
      </c>
      <c r="E17" s="85">
        <v>177.7</v>
      </c>
      <c r="F17" s="85">
        <v>181.3</v>
      </c>
      <c r="G17" s="85">
        <v>185</v>
      </c>
      <c r="H17" s="85">
        <v>190.9</v>
      </c>
      <c r="I17" s="85">
        <v>199.2</v>
      </c>
      <c r="J17" s="85">
        <v>201.8</v>
      </c>
      <c r="K17" s="85">
        <v>208.936</v>
      </c>
      <c r="L17" s="85">
        <v>216.573</v>
      </c>
      <c r="M17" s="85">
        <v>219.872</v>
      </c>
      <c r="N17" s="85">
        <v>223.559</v>
      </c>
      <c r="O17" s="85">
        <v>227.463</v>
      </c>
      <c r="P17" s="85">
        <v>231.806</v>
      </c>
      <c r="Q17" s="85">
        <v>236.473</v>
      </c>
      <c r="R17" s="85">
        <v>241.389</v>
      </c>
      <c r="S17" s="85">
        <v>246.469</v>
      </c>
      <c r="T17" s="85">
        <v>251.645</v>
      </c>
      <c r="U17" s="85">
        <v>256.929</v>
      </c>
      <c r="V17" s="85">
        <v>262.325</v>
      </c>
      <c r="W17" s="85">
        <v>267.834</v>
      </c>
    </row>
    <row r="18" spans="1:23" ht="12.75">
      <c r="A18" s="85" t="s">
        <v>71</v>
      </c>
      <c r="B18" s="85">
        <v>164</v>
      </c>
      <c r="C18" s="85">
        <v>168.3</v>
      </c>
      <c r="D18" s="85">
        <v>174.1</v>
      </c>
      <c r="E18" s="85">
        <v>177.4</v>
      </c>
      <c r="F18" s="85">
        <v>181.3</v>
      </c>
      <c r="G18" s="85">
        <v>184.5</v>
      </c>
      <c r="H18" s="85">
        <v>191</v>
      </c>
      <c r="I18" s="85">
        <v>197.6</v>
      </c>
      <c r="J18" s="85">
        <v>201.5</v>
      </c>
      <c r="K18" s="85">
        <v>210.177</v>
      </c>
      <c r="L18" s="85">
        <v>214.706</v>
      </c>
      <c r="M18" s="85">
        <v>219.467</v>
      </c>
      <c r="N18" s="85">
        <v>223.149</v>
      </c>
      <c r="O18" s="85">
        <v>227.071</v>
      </c>
      <c r="P18" s="85">
        <v>231.431</v>
      </c>
      <c r="Q18" s="85">
        <v>236.105</v>
      </c>
      <c r="R18" s="85">
        <v>241.028</v>
      </c>
      <c r="S18" s="85">
        <v>246.096</v>
      </c>
      <c r="T18" s="85">
        <v>251.264</v>
      </c>
      <c r="U18" s="85">
        <v>256.54</v>
      </c>
      <c r="V18" s="85">
        <v>261.927</v>
      </c>
      <c r="W18" s="85">
        <v>267.428</v>
      </c>
    </row>
    <row r="19" spans="1:23" ht="12.75">
      <c r="A19" s="85" t="s">
        <v>72</v>
      </c>
      <c r="B19" s="85">
        <v>163.9</v>
      </c>
      <c r="C19" s="85">
        <v>168.3</v>
      </c>
      <c r="D19" s="85">
        <v>174</v>
      </c>
      <c r="E19" s="85">
        <v>176.7</v>
      </c>
      <c r="F19" s="85">
        <v>180.9</v>
      </c>
      <c r="G19" s="85">
        <v>184.3</v>
      </c>
      <c r="H19" s="85">
        <v>190.3</v>
      </c>
      <c r="I19" s="85">
        <v>196.8</v>
      </c>
      <c r="J19" s="85">
        <v>201.8</v>
      </c>
      <c r="K19" s="85">
        <v>210.036</v>
      </c>
      <c r="L19" s="85">
        <v>214.395</v>
      </c>
      <c r="M19" s="85">
        <v>218.945</v>
      </c>
      <c r="N19" s="85">
        <v>222.619</v>
      </c>
      <c r="O19" s="85">
        <v>226.557</v>
      </c>
      <c r="P19" s="85">
        <v>230.93</v>
      </c>
      <c r="Q19" s="85">
        <v>235.611</v>
      </c>
      <c r="R19" s="85">
        <v>240.538</v>
      </c>
      <c r="S19" s="85">
        <v>245.59</v>
      </c>
      <c r="T19" s="85">
        <v>250.747</v>
      </c>
      <c r="U19" s="85">
        <v>256.014</v>
      </c>
      <c r="V19" s="85">
        <v>261.39</v>
      </c>
      <c r="W19" s="85">
        <v>266.878</v>
      </c>
    </row>
    <row r="20" ht="12.75">
      <c r="O20" s="85" t="s">
        <v>73</v>
      </c>
    </row>
    <row r="22" spans="1:23" ht="12.75">
      <c r="A22" s="85" t="s">
        <v>79</v>
      </c>
      <c r="C22" s="85">
        <f aca="true" t="shared" si="0" ref="C22:I22">(C17-B17)/B17</f>
        <v>0.025609756097560905</v>
      </c>
      <c r="D22" s="85">
        <f t="shared" si="0"/>
        <v>0.034482758620689724</v>
      </c>
      <c r="E22" s="85">
        <f t="shared" si="0"/>
        <v>0.021264367816091888</v>
      </c>
      <c r="F22" s="85">
        <f t="shared" si="0"/>
        <v>0.020258863252673173</v>
      </c>
      <c r="G22" s="85">
        <f t="shared" si="0"/>
        <v>0.02040816326530606</v>
      </c>
      <c r="H22" s="85">
        <f>(H17-G17)/G17</f>
        <v>0.03189189189189192</v>
      </c>
      <c r="I22" s="85">
        <f t="shared" si="0"/>
        <v>0.043478260869565126</v>
      </c>
      <c r="J22" s="85">
        <f>(J17-I17)/I17</f>
        <v>0.013052208835341481</v>
      </c>
      <c r="K22" s="85">
        <f>(K17-J17)/J17</f>
        <v>0.035361744301288384</v>
      </c>
      <c r="L22" s="85">
        <f>(L17-K17)/K17</f>
        <v>0.03655186277137497</v>
      </c>
      <c r="M22" s="85">
        <f>(M17-L17)/L17</f>
        <v>0.015232739076431533</v>
      </c>
      <c r="N22" s="85">
        <f aca="true" t="shared" si="1" ref="N22:W22">(N17-M17)/M17</f>
        <v>0.016768847329355185</v>
      </c>
      <c r="O22" s="85">
        <f t="shared" si="1"/>
        <v>0.017462951614562582</v>
      </c>
      <c r="P22" s="85">
        <f t="shared" si="1"/>
        <v>0.019093215160267903</v>
      </c>
      <c r="Q22" s="85">
        <f t="shared" si="1"/>
        <v>0.02013321484344668</v>
      </c>
      <c r="R22" s="85">
        <f t="shared" si="1"/>
        <v>0.020788842700858012</v>
      </c>
      <c r="S22" s="85">
        <f t="shared" si="1"/>
        <v>0.02104486948452491</v>
      </c>
      <c r="T22" s="85">
        <f t="shared" si="1"/>
        <v>0.02100061265311263</v>
      </c>
      <c r="U22" s="85">
        <f t="shared" si="1"/>
        <v>0.020997834250630704</v>
      </c>
      <c r="V22" s="85">
        <f t="shared" si="1"/>
        <v>0.021001911033787606</v>
      </c>
      <c r="W22" s="85">
        <f t="shared" si="1"/>
        <v>0.02100066711140766</v>
      </c>
    </row>
  </sheetData>
  <sheetProtection password="87AF" sheet="1" objects="1" scenarios="1" selectLockedCells="1" selectUnlockedCells="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19"/>
  <dimension ref="A1:H61"/>
  <sheetViews>
    <sheetView workbookViewId="0" topLeftCell="A1">
      <selection activeCell="A1" sqref="A1:E1"/>
    </sheetView>
  </sheetViews>
  <sheetFormatPr defaultColWidth="9.140625" defaultRowHeight="12.75"/>
  <cols>
    <col min="1" max="1" width="26.8515625" style="85" bestFit="1" customWidth="1"/>
    <col min="2" max="8" width="12.28125" style="85" bestFit="1" customWidth="1"/>
    <col min="9" max="16384" width="9.140625" style="85" customWidth="1"/>
  </cols>
  <sheetData>
    <row r="1" ht="12.75">
      <c r="A1" s="85" t="s">
        <v>90</v>
      </c>
    </row>
    <row r="3" spans="1:8" ht="12.75">
      <c r="A3" s="85" t="s">
        <v>217</v>
      </c>
      <c r="B3" s="85">
        <v>2004</v>
      </c>
      <c r="C3" s="85">
        <v>2005</v>
      </c>
      <c r="D3" s="85">
        <v>2006</v>
      </c>
      <c r="E3" s="85">
        <v>2007</v>
      </c>
      <c r="F3" s="85">
        <v>2008</v>
      </c>
      <c r="G3" s="85">
        <v>2009</v>
      </c>
      <c r="H3" s="85">
        <v>2010</v>
      </c>
    </row>
    <row r="4" spans="1:8" ht="12.75">
      <c r="A4" s="85" t="s">
        <v>1</v>
      </c>
      <c r="B4" s="85">
        <v>3008812</v>
      </c>
      <c r="C4" s="85">
        <f>B4*(VLOOKUP("FY Inflation",FY_Inflation,MATCH(C$3-1,FY_Inflation_year_row,0),0)+1)</f>
        <v>3104768.7070270274</v>
      </c>
      <c r="D4" s="85">
        <f aca="true" t="shared" si="0" ref="C4:H13">C4*(VLOOKUP("FY Inflation",FY_Inflation,MATCH(D$3-1,FY_Inflation_year_row,0),0)+1)</f>
        <v>3239758.650810811</v>
      </c>
      <c r="E4" s="85">
        <f t="shared" si="0"/>
        <v>3282044.6572972983</v>
      </c>
      <c r="F4" s="85">
        <f t="shared" si="0"/>
        <v>3398103.481254055</v>
      </c>
      <c r="G4" s="85">
        <f>F4*(VLOOKUP("FY Inflation",FY_Inflation,MATCH(G$3-1,FY_Inflation_year_row,0),0)+1)</f>
        <v>3522310.4933837852</v>
      </c>
      <c r="H4" s="85">
        <f t="shared" si="0"/>
        <v>3575964.930075677</v>
      </c>
    </row>
    <row r="5" spans="1:8" ht="12.75">
      <c r="A5" s="85" t="s">
        <v>2</v>
      </c>
      <c r="B5" s="85">
        <v>800000</v>
      </c>
      <c r="C5" s="85">
        <f t="shared" si="0"/>
        <v>825513.5135135136</v>
      </c>
      <c r="D5" s="85">
        <f t="shared" si="0"/>
        <v>861405.4054054054</v>
      </c>
      <c r="E5" s="85">
        <f t="shared" si="0"/>
        <v>872648.6486486489</v>
      </c>
      <c r="F5" s="85">
        <f t="shared" si="0"/>
        <v>903507.0270270272</v>
      </c>
      <c r="G5" s="85">
        <f t="shared" si="0"/>
        <v>936531.8918918922</v>
      </c>
      <c r="H5" s="85">
        <f t="shared" si="0"/>
        <v>950797.8378378381</v>
      </c>
    </row>
    <row r="6" spans="1:8" ht="12.75">
      <c r="A6" s="85" t="s">
        <v>3</v>
      </c>
      <c r="B6" s="85">
        <v>2443468</v>
      </c>
      <c r="C6" s="85">
        <f t="shared" si="0"/>
        <v>2521394.8172972975</v>
      </c>
      <c r="D6" s="85">
        <f t="shared" si="0"/>
        <v>2631020.678918919</v>
      </c>
      <c r="E6" s="85">
        <f t="shared" si="0"/>
        <v>2665361.310270271</v>
      </c>
      <c r="F6" s="85">
        <f t="shared" si="0"/>
        <v>2759613.135394595</v>
      </c>
      <c r="G6" s="85">
        <f t="shared" si="0"/>
        <v>2860482.1360216225</v>
      </c>
      <c r="H6" s="85">
        <f t="shared" si="0"/>
        <v>2904055.1140324334</v>
      </c>
    </row>
    <row r="7" spans="1:8" ht="12.75">
      <c r="A7" s="85" t="s">
        <v>4</v>
      </c>
      <c r="B7" s="85">
        <v>1707733</v>
      </c>
      <c r="C7" s="85">
        <f t="shared" si="0"/>
        <v>1762195.8362162164</v>
      </c>
      <c r="D7" s="85">
        <f t="shared" si="0"/>
        <v>1838813.0464864867</v>
      </c>
      <c r="E7" s="85">
        <f t="shared" si="0"/>
        <v>1862813.618378379</v>
      </c>
      <c r="F7" s="85">
        <f t="shared" si="0"/>
        <v>1928685.957232433</v>
      </c>
      <c r="G7" s="85">
        <f t="shared" si="0"/>
        <v>1999183.021670271</v>
      </c>
      <c r="H7" s="85">
        <f t="shared" si="0"/>
        <v>2029636.055005406</v>
      </c>
    </row>
    <row r="8" spans="1:8" ht="12.75">
      <c r="A8" s="85" t="s">
        <v>5</v>
      </c>
      <c r="B8" s="85">
        <v>17984412</v>
      </c>
      <c r="C8" s="85">
        <f t="shared" si="0"/>
        <v>18557968.923243247</v>
      </c>
      <c r="D8" s="85">
        <f t="shared" si="0"/>
        <v>19364837.137297302</v>
      </c>
      <c r="E8" s="85">
        <f t="shared" si="0"/>
        <v>19617591.035675686</v>
      </c>
      <c r="F8" s="85">
        <f t="shared" si="0"/>
        <v>20311303.273686495</v>
      </c>
      <c r="G8" s="85">
        <f t="shared" si="0"/>
        <v>21053719.243654065</v>
      </c>
      <c r="H8" s="85">
        <f t="shared" si="0"/>
        <v>21374425.05548109</v>
      </c>
    </row>
    <row r="9" spans="1:8" ht="12.75">
      <c r="A9" s="85" t="s">
        <v>6</v>
      </c>
      <c r="B9" s="85">
        <v>2200584</v>
      </c>
      <c r="C9" s="85">
        <f t="shared" si="0"/>
        <v>2270764.7870270275</v>
      </c>
      <c r="D9" s="85">
        <f t="shared" si="0"/>
        <v>2369493.6908108112</v>
      </c>
      <c r="E9" s="85">
        <f t="shared" si="0"/>
        <v>2400420.817297298</v>
      </c>
      <c r="F9" s="85">
        <f t="shared" si="0"/>
        <v>2485303.8844540548</v>
      </c>
      <c r="G9" s="85">
        <f t="shared" si="0"/>
        <v>2576146.3709837846</v>
      </c>
      <c r="H9" s="85">
        <f t="shared" si="0"/>
        <v>2615388.1364756767</v>
      </c>
    </row>
    <row r="10" spans="1:8" ht="12.75">
      <c r="A10" s="85" t="s">
        <v>7</v>
      </c>
      <c r="B10" s="85">
        <v>2354685</v>
      </c>
      <c r="C10" s="85">
        <f t="shared" si="0"/>
        <v>2429780.35945946</v>
      </c>
      <c r="D10" s="85">
        <f t="shared" si="0"/>
        <v>2535422.983783784</v>
      </c>
      <c r="E10" s="85">
        <f t="shared" si="0"/>
        <v>2568515.8540540547</v>
      </c>
      <c r="F10" s="85">
        <f t="shared" si="0"/>
        <v>2659343.0549189197</v>
      </c>
      <c r="G10" s="85">
        <f t="shared" si="0"/>
        <v>2756546.997324325</v>
      </c>
      <c r="H10" s="85">
        <f t="shared" si="0"/>
        <v>2798536.7584864874</v>
      </c>
    </row>
    <row r="11" spans="1:8" ht="12.75">
      <c r="A11" s="85" t="s">
        <v>8</v>
      </c>
      <c r="B11" s="85">
        <v>800000</v>
      </c>
      <c r="C11" s="85">
        <f t="shared" si="0"/>
        <v>825513.5135135136</v>
      </c>
      <c r="D11" s="85">
        <f t="shared" si="0"/>
        <v>861405.4054054054</v>
      </c>
      <c r="E11" s="85">
        <f t="shared" si="0"/>
        <v>872648.6486486489</v>
      </c>
      <c r="F11" s="85">
        <f t="shared" si="0"/>
        <v>903507.0270270272</v>
      </c>
      <c r="G11" s="85">
        <f t="shared" si="0"/>
        <v>936531.8918918922</v>
      </c>
      <c r="H11" s="85">
        <f t="shared" si="0"/>
        <v>950797.8378378381</v>
      </c>
    </row>
    <row r="12" spans="1:8" ht="12.75">
      <c r="A12" s="85" t="s">
        <v>9</v>
      </c>
      <c r="B12" s="85">
        <v>800000</v>
      </c>
      <c r="C12" s="85">
        <f t="shared" si="0"/>
        <v>825513.5135135136</v>
      </c>
      <c r="D12" s="85">
        <f t="shared" si="0"/>
        <v>861405.4054054054</v>
      </c>
      <c r="E12" s="85">
        <f t="shared" si="0"/>
        <v>872648.6486486489</v>
      </c>
      <c r="F12" s="85">
        <f t="shared" si="0"/>
        <v>903507.0270270272</v>
      </c>
      <c r="G12" s="85">
        <f t="shared" si="0"/>
        <v>936531.8918918922</v>
      </c>
      <c r="H12" s="85">
        <f t="shared" si="0"/>
        <v>950797.8378378381</v>
      </c>
    </row>
    <row r="13" spans="1:8" ht="12.75">
      <c r="A13" s="85" t="s">
        <v>10</v>
      </c>
      <c r="B13" s="85">
        <v>9941092</v>
      </c>
      <c r="C13" s="85">
        <f t="shared" si="0"/>
        <v>10258132.231351353</v>
      </c>
      <c r="D13" s="85">
        <f t="shared" si="0"/>
        <v>10704137.980540542</v>
      </c>
      <c r="E13" s="85">
        <f t="shared" si="0"/>
        <v>10843850.624864869</v>
      </c>
      <c r="F13" s="85">
        <f t="shared" si="0"/>
        <v>11227308.097902706</v>
      </c>
      <c r="G13" s="85">
        <f t="shared" si="0"/>
        <v>11637687.122789193</v>
      </c>
      <c r="H13" s="85">
        <f t="shared" si="0"/>
        <v>11814960.974183789</v>
      </c>
    </row>
    <row r="14" spans="1:8" ht="12.75">
      <c r="A14" s="85" t="s">
        <v>11</v>
      </c>
      <c r="B14" s="85">
        <v>4345983</v>
      </c>
      <c r="C14" s="85">
        <f aca="true" t="shared" si="1" ref="C14:H23">B14*(VLOOKUP("FY Inflation",FY_Inflation,MATCH(C$3-1,FY_Inflation_year_row,0),0)+1)</f>
        <v>4484584.62</v>
      </c>
      <c r="D14" s="85">
        <f t="shared" si="1"/>
        <v>4679566.56</v>
      </c>
      <c r="E14" s="85">
        <f t="shared" si="1"/>
        <v>4740645.24</v>
      </c>
      <c r="F14" s="85">
        <f t="shared" si="1"/>
        <v>4908282.7248</v>
      </c>
      <c r="G14" s="85">
        <f t="shared" si="1"/>
        <v>5087689.6014</v>
      </c>
      <c r="H14" s="85">
        <f t="shared" si="1"/>
        <v>5165189.0496000005</v>
      </c>
    </row>
    <row r="15" spans="1:8" ht="12.75">
      <c r="A15" s="85" t="s">
        <v>12</v>
      </c>
      <c r="B15" s="85">
        <v>800000</v>
      </c>
      <c r="C15" s="85">
        <f t="shared" si="1"/>
        <v>825513.5135135136</v>
      </c>
      <c r="D15" s="85">
        <f t="shared" si="1"/>
        <v>861405.4054054054</v>
      </c>
      <c r="E15" s="85">
        <f t="shared" si="1"/>
        <v>872648.6486486489</v>
      </c>
      <c r="F15" s="85">
        <f t="shared" si="1"/>
        <v>903507.0270270272</v>
      </c>
      <c r="G15" s="85">
        <f t="shared" si="1"/>
        <v>936531.8918918922</v>
      </c>
      <c r="H15" s="85">
        <f t="shared" si="1"/>
        <v>950797.8378378381</v>
      </c>
    </row>
    <row r="16" spans="1:8" ht="12.75">
      <c r="A16" s="85" t="s">
        <v>13</v>
      </c>
      <c r="B16" s="85">
        <v>800000</v>
      </c>
      <c r="C16" s="85">
        <f t="shared" si="1"/>
        <v>825513.5135135136</v>
      </c>
      <c r="D16" s="85">
        <f t="shared" si="1"/>
        <v>861405.4054054054</v>
      </c>
      <c r="E16" s="85">
        <f t="shared" si="1"/>
        <v>872648.6486486489</v>
      </c>
      <c r="F16" s="85">
        <f t="shared" si="1"/>
        <v>903507.0270270272</v>
      </c>
      <c r="G16" s="85">
        <f t="shared" si="1"/>
        <v>936531.8918918922</v>
      </c>
      <c r="H16" s="85">
        <f t="shared" si="1"/>
        <v>950797.8378378381</v>
      </c>
    </row>
    <row r="17" spans="1:8" ht="12.75">
      <c r="A17" s="85" t="s">
        <v>14</v>
      </c>
      <c r="B17" s="85">
        <v>8145623</v>
      </c>
      <c r="C17" s="85">
        <f t="shared" si="1"/>
        <v>8405402.32810811</v>
      </c>
      <c r="D17" s="85">
        <f t="shared" si="1"/>
        <v>8770854.603243245</v>
      </c>
      <c r="E17" s="85">
        <f t="shared" si="1"/>
        <v>8885333.629189191</v>
      </c>
      <c r="F17" s="85">
        <f t="shared" si="1"/>
        <v>9199534.525016218</v>
      </c>
      <c r="G17" s="85">
        <f t="shared" si="1"/>
        <v>9535794.648535138</v>
      </c>
      <c r="H17" s="85">
        <f t="shared" si="1"/>
        <v>9681050.920302706</v>
      </c>
    </row>
    <row r="18" spans="1:8" ht="12.75">
      <c r="A18" s="85" t="s">
        <v>15</v>
      </c>
      <c r="B18" s="85">
        <v>4258647</v>
      </c>
      <c r="C18" s="85">
        <f t="shared" si="1"/>
        <v>4394463.30972973</v>
      </c>
      <c r="D18" s="85">
        <f t="shared" si="1"/>
        <v>4585526.931891892</v>
      </c>
      <c r="E18" s="85">
        <f t="shared" si="1"/>
        <v>4645378.187027028</v>
      </c>
      <c r="F18" s="85">
        <f t="shared" si="1"/>
        <v>4809646.86265946</v>
      </c>
      <c r="G18" s="85">
        <f t="shared" si="1"/>
        <v>4985448.414762163</v>
      </c>
      <c r="H18" s="85">
        <f t="shared" si="1"/>
        <v>5061390.449643244</v>
      </c>
    </row>
    <row r="19" spans="1:8" ht="12.75">
      <c r="A19" s="85" t="s">
        <v>16</v>
      </c>
      <c r="B19" s="85">
        <v>2094894</v>
      </c>
      <c r="C19" s="85">
        <f t="shared" si="1"/>
        <v>2161704.1329729734</v>
      </c>
      <c r="D19" s="85">
        <f t="shared" si="1"/>
        <v>2255691.2691891897</v>
      </c>
      <c r="E19" s="85">
        <f t="shared" si="1"/>
        <v>2285133.0227027037</v>
      </c>
      <c r="F19" s="85">
        <f t="shared" si="1"/>
        <v>2365939.3123459467</v>
      </c>
      <c r="G19" s="85">
        <f t="shared" si="1"/>
        <v>2452418.801416217</v>
      </c>
      <c r="H19" s="85">
        <f t="shared" si="1"/>
        <v>2489775.857124325</v>
      </c>
    </row>
    <row r="20" spans="1:8" ht="12.75">
      <c r="A20" s="85" t="s">
        <v>17</v>
      </c>
      <c r="B20" s="85">
        <v>1704623</v>
      </c>
      <c r="C20" s="85">
        <f t="shared" si="1"/>
        <v>1758986.6524324326</v>
      </c>
      <c r="D20" s="85">
        <f t="shared" si="1"/>
        <v>1835464.3329729731</v>
      </c>
      <c r="E20" s="85">
        <f t="shared" si="1"/>
        <v>1859421.196756757</v>
      </c>
      <c r="F20" s="85">
        <f t="shared" si="1"/>
        <v>1925173.5736648652</v>
      </c>
      <c r="G20" s="85">
        <f t="shared" si="1"/>
        <v>1995542.253940541</v>
      </c>
      <c r="H20" s="85">
        <f t="shared" si="1"/>
        <v>2025939.8284108115</v>
      </c>
    </row>
    <row r="21" spans="1:8" ht="12.75">
      <c r="A21" s="85" t="s">
        <v>18</v>
      </c>
      <c r="B21" s="85">
        <v>2618787</v>
      </c>
      <c r="C21" s="85">
        <f t="shared" si="1"/>
        <v>2702305.0718918922</v>
      </c>
      <c r="D21" s="85">
        <f t="shared" si="1"/>
        <v>2819796.5967567572</v>
      </c>
      <c r="E21" s="85">
        <f t="shared" si="1"/>
        <v>2856601.1708108117</v>
      </c>
      <c r="F21" s="85">
        <f t="shared" si="1"/>
        <v>2957615.5709837847</v>
      </c>
      <c r="G21" s="85">
        <f t="shared" si="1"/>
        <v>3065721.929464866</v>
      </c>
      <c r="H21" s="85">
        <f t="shared" si="1"/>
        <v>3112421.2716972986</v>
      </c>
    </row>
    <row r="22" spans="1:8" ht="12.75">
      <c r="A22" s="85" t="s">
        <v>19</v>
      </c>
      <c r="B22" s="85">
        <v>2856959</v>
      </c>
      <c r="C22" s="85">
        <f t="shared" si="1"/>
        <v>2948072.827567568</v>
      </c>
      <c r="D22" s="85">
        <f t="shared" si="1"/>
        <v>3076249.9070270276</v>
      </c>
      <c r="E22" s="85">
        <f t="shared" si="1"/>
        <v>3116401.7632432445</v>
      </c>
      <c r="F22" s="85">
        <f t="shared" si="1"/>
        <v>3226603.165535136</v>
      </c>
      <c r="G22" s="85">
        <f t="shared" si="1"/>
        <v>3344541.521659461</v>
      </c>
      <c r="H22" s="85">
        <f t="shared" si="1"/>
        <v>3395488.049989191</v>
      </c>
    </row>
    <row r="23" spans="1:8" ht="12.75">
      <c r="A23" s="85" t="s">
        <v>20</v>
      </c>
      <c r="B23" s="85">
        <v>1002763</v>
      </c>
      <c r="C23" s="85">
        <f t="shared" si="1"/>
        <v>1034743.0091891893</v>
      </c>
      <c r="D23" s="85">
        <f t="shared" si="1"/>
        <v>1079731.8356756757</v>
      </c>
      <c r="E23" s="85">
        <f t="shared" si="1"/>
        <v>1093824.7210810813</v>
      </c>
      <c r="F23" s="85">
        <f t="shared" si="1"/>
        <v>1132504.2711783785</v>
      </c>
      <c r="G23" s="85">
        <f t="shared" si="1"/>
        <v>1173899.4118864867</v>
      </c>
      <c r="H23" s="85">
        <f t="shared" si="1"/>
        <v>1191781.1153297299</v>
      </c>
    </row>
    <row r="24" spans="1:8" ht="12.75">
      <c r="A24" s="85" t="s">
        <v>21</v>
      </c>
      <c r="B24" s="85">
        <v>3222132</v>
      </c>
      <c r="C24" s="85">
        <f aca="true" t="shared" si="2" ref="C24:H33">B24*(VLOOKUP("FY Inflation",FY_Inflation,MATCH(C$3-1,FY_Inflation_year_row,0),0)+1)</f>
        <v>3324891.885405406</v>
      </c>
      <c r="D24" s="85">
        <f t="shared" si="2"/>
        <v>3469452.4021621626</v>
      </c>
      <c r="E24" s="85">
        <f t="shared" si="2"/>
        <v>3514736.4194594603</v>
      </c>
      <c r="F24" s="85">
        <f t="shared" si="2"/>
        <v>3639023.6300108116</v>
      </c>
      <c r="G24" s="85">
        <f t="shared" si="2"/>
        <v>3772036.7223567576</v>
      </c>
      <c r="H24" s="85">
        <f t="shared" si="2"/>
        <v>3829495.173535136</v>
      </c>
    </row>
    <row r="25" spans="1:8" ht="12.75">
      <c r="A25" s="85" t="s">
        <v>22</v>
      </c>
      <c r="B25" s="85">
        <v>4897191</v>
      </c>
      <c r="C25" s="85">
        <f t="shared" si="2"/>
        <v>5053371.685945947</v>
      </c>
      <c r="D25" s="85">
        <f t="shared" si="2"/>
        <v>5273083.498378379</v>
      </c>
      <c r="E25" s="85">
        <f t="shared" si="2"/>
        <v>5341908.885405407</v>
      </c>
      <c r="F25" s="85">
        <f t="shared" si="2"/>
        <v>5530808.101491894</v>
      </c>
      <c r="G25" s="85">
        <f t="shared" si="2"/>
        <v>5732969.440232434</v>
      </c>
      <c r="H25" s="85">
        <f t="shared" si="2"/>
        <v>5820298.267848651</v>
      </c>
    </row>
    <row r="26" spans="1:8" ht="12.75">
      <c r="A26" s="85" t="s">
        <v>23</v>
      </c>
      <c r="B26" s="85">
        <v>5960498</v>
      </c>
      <c r="C26" s="85">
        <f t="shared" si="2"/>
        <v>6150589.557837838</v>
      </c>
      <c r="D26" s="85">
        <f t="shared" si="2"/>
        <v>6418006.495135135</v>
      </c>
      <c r="E26" s="85">
        <f t="shared" si="2"/>
        <v>6501775.656216217</v>
      </c>
      <c r="F26" s="85">
        <f t="shared" si="2"/>
        <v>6731689.784475677</v>
      </c>
      <c r="G26" s="85">
        <f t="shared" si="2"/>
        <v>6977745.585697299</v>
      </c>
      <c r="H26" s="85">
        <f t="shared" si="2"/>
        <v>7084035.763545948</v>
      </c>
    </row>
    <row r="27" spans="1:8" ht="12.75">
      <c r="A27" s="85" t="s">
        <v>24</v>
      </c>
      <c r="B27" s="85">
        <v>3117243</v>
      </c>
      <c r="C27" s="85">
        <f t="shared" si="2"/>
        <v>3216657.776756757</v>
      </c>
      <c r="D27" s="85">
        <f t="shared" si="2"/>
        <v>3356512.4627027027</v>
      </c>
      <c r="E27" s="85">
        <f t="shared" si="2"/>
        <v>3400322.3643243248</v>
      </c>
      <c r="F27" s="85">
        <f t="shared" si="2"/>
        <v>3520563.6943135136</v>
      </c>
      <c r="G27" s="85">
        <f t="shared" si="2"/>
        <v>3649246.8553459463</v>
      </c>
      <c r="H27" s="85">
        <f t="shared" si="2"/>
        <v>3704834.8805189193</v>
      </c>
    </row>
    <row r="28" spans="1:8" ht="12.75">
      <c r="A28" s="85" t="s">
        <v>25</v>
      </c>
      <c r="B28" s="85">
        <v>2015632</v>
      </c>
      <c r="C28" s="85">
        <f t="shared" si="2"/>
        <v>2079914.317837838</v>
      </c>
      <c r="D28" s="85">
        <f t="shared" si="2"/>
        <v>2170345.3751351354</v>
      </c>
      <c r="E28" s="85">
        <f t="shared" si="2"/>
        <v>2198673.1762162168</v>
      </c>
      <c r="F28" s="85">
        <f t="shared" si="2"/>
        <v>2276422.094875676</v>
      </c>
      <c r="G28" s="85">
        <f t="shared" si="2"/>
        <v>2359629.562897298</v>
      </c>
      <c r="H28" s="85">
        <f t="shared" si="2"/>
        <v>2395573.1843459466</v>
      </c>
    </row>
    <row r="29" spans="1:8" ht="12.75">
      <c r="A29" s="85" t="s">
        <v>26</v>
      </c>
      <c r="B29" s="85">
        <v>3869022</v>
      </c>
      <c r="C29" s="85">
        <f t="shared" si="2"/>
        <v>3992412.431351352</v>
      </c>
      <c r="D29" s="85">
        <f t="shared" si="2"/>
        <v>4165995.580540541</v>
      </c>
      <c r="E29" s="85">
        <f t="shared" si="2"/>
        <v>4220371.024864866</v>
      </c>
      <c r="F29" s="85">
        <f t="shared" si="2"/>
        <v>4369610.705902704</v>
      </c>
      <c r="G29" s="85">
        <f t="shared" si="2"/>
        <v>4529328.116789191</v>
      </c>
      <c r="H29" s="85">
        <f t="shared" si="2"/>
        <v>4598322.190183786</v>
      </c>
    </row>
    <row r="30" spans="1:8" ht="12.75">
      <c r="A30" s="85" t="s">
        <v>27</v>
      </c>
      <c r="B30" s="85">
        <v>800000</v>
      </c>
      <c r="C30" s="85">
        <f t="shared" si="2"/>
        <v>825513.5135135136</v>
      </c>
      <c r="D30" s="85">
        <f t="shared" si="2"/>
        <v>861405.4054054054</v>
      </c>
      <c r="E30" s="85">
        <f t="shared" si="2"/>
        <v>872648.6486486489</v>
      </c>
      <c r="F30" s="85">
        <f t="shared" si="2"/>
        <v>903507.0270270272</v>
      </c>
      <c r="G30" s="85">
        <f t="shared" si="2"/>
        <v>936531.8918918922</v>
      </c>
      <c r="H30" s="85">
        <f t="shared" si="2"/>
        <v>950797.8378378381</v>
      </c>
    </row>
    <row r="31" spans="1:8" ht="12.75">
      <c r="A31" s="85" t="s">
        <v>28</v>
      </c>
      <c r="B31" s="85">
        <v>1228093</v>
      </c>
      <c r="C31" s="85">
        <f t="shared" si="2"/>
        <v>1267259.2091891894</v>
      </c>
      <c r="D31" s="85">
        <f t="shared" si="2"/>
        <v>1322357.4356756757</v>
      </c>
      <c r="E31" s="85">
        <f t="shared" si="2"/>
        <v>1339617.1210810815</v>
      </c>
      <c r="F31" s="85">
        <f t="shared" si="2"/>
        <v>1386988.3191783787</v>
      </c>
      <c r="G31" s="85">
        <f t="shared" si="2"/>
        <v>1437685.3258864868</v>
      </c>
      <c r="H31" s="85">
        <f t="shared" si="2"/>
        <v>1459585.21132973</v>
      </c>
    </row>
    <row r="32" spans="1:8" ht="12.75">
      <c r="A32" s="85" t="s">
        <v>29</v>
      </c>
      <c r="B32" s="85">
        <v>923002</v>
      </c>
      <c r="C32" s="85">
        <f t="shared" si="2"/>
        <v>952438.2800000001</v>
      </c>
      <c r="D32" s="85">
        <f t="shared" si="2"/>
        <v>993848.6400000001</v>
      </c>
      <c r="E32" s="85">
        <f t="shared" si="2"/>
        <v>1006820.5600000003</v>
      </c>
      <c r="F32" s="85">
        <f t="shared" si="2"/>
        <v>1042423.4912000003</v>
      </c>
      <c r="G32" s="85">
        <f t="shared" si="2"/>
        <v>1080526.0116000003</v>
      </c>
      <c r="H32" s="85">
        <f t="shared" si="2"/>
        <v>1096985.3824000002</v>
      </c>
    </row>
    <row r="33" spans="1:8" ht="12.75">
      <c r="A33" s="85" t="s">
        <v>30</v>
      </c>
      <c r="B33" s="85">
        <v>813617</v>
      </c>
      <c r="C33" s="85">
        <f t="shared" si="2"/>
        <v>839564.7854054054</v>
      </c>
      <c r="D33" s="85">
        <f t="shared" si="2"/>
        <v>876067.6021621622</v>
      </c>
      <c r="E33" s="85">
        <f t="shared" si="2"/>
        <v>887502.2194594597</v>
      </c>
      <c r="F33" s="85">
        <f t="shared" si="2"/>
        <v>918885.8460108109</v>
      </c>
      <c r="G33" s="85">
        <f t="shared" si="2"/>
        <v>952472.8353567569</v>
      </c>
      <c r="H33" s="85">
        <f t="shared" si="2"/>
        <v>966981.6055351354</v>
      </c>
    </row>
    <row r="34" spans="1:8" ht="12.75">
      <c r="A34" s="85" t="s">
        <v>31</v>
      </c>
      <c r="B34" s="85">
        <v>6232884</v>
      </c>
      <c r="C34" s="85">
        <f aca="true" t="shared" si="3" ref="C34:H43">B34*(VLOOKUP("FY Inflation",FY_Inflation,MATCH(C$3-1,FY_Inflation_year_row,0),0)+1)</f>
        <v>6431662.462702704</v>
      </c>
      <c r="D34" s="85">
        <f t="shared" si="3"/>
        <v>6711299.961081082</v>
      </c>
      <c r="E34" s="85">
        <f t="shared" si="3"/>
        <v>6798897.249729732</v>
      </c>
      <c r="F34" s="85">
        <f t="shared" si="3"/>
        <v>7039318.115805407</v>
      </c>
      <c r="G34" s="85">
        <f t="shared" si="3"/>
        <v>7296618.305578381</v>
      </c>
      <c r="H34" s="85">
        <f t="shared" si="3"/>
        <v>7407765.78836757</v>
      </c>
    </row>
    <row r="35" spans="1:8" ht="12.75">
      <c r="A35" s="85" t="s">
        <v>32</v>
      </c>
      <c r="B35" s="85">
        <v>1512798</v>
      </c>
      <c r="C35" s="85">
        <f t="shared" si="3"/>
        <v>1561043.9902702705</v>
      </c>
      <c r="D35" s="85">
        <f t="shared" si="3"/>
        <v>1628915.4681081083</v>
      </c>
      <c r="E35" s="85">
        <f t="shared" si="3"/>
        <v>1650176.4129729734</v>
      </c>
      <c r="F35" s="85">
        <f t="shared" si="3"/>
        <v>1708529.529340541</v>
      </c>
      <c r="G35" s="85">
        <f t="shared" si="3"/>
        <v>1770979.4662378384</v>
      </c>
      <c r="H35" s="85">
        <f t="shared" si="3"/>
        <v>1797956.3343567573</v>
      </c>
    </row>
    <row r="36" spans="1:8" ht="12.75">
      <c r="A36" s="85" t="s">
        <v>33</v>
      </c>
      <c r="B36" s="85">
        <v>12711085</v>
      </c>
      <c r="C36" s="85">
        <f t="shared" si="3"/>
        <v>13116465.54864865</v>
      </c>
      <c r="D36" s="85">
        <f t="shared" si="3"/>
        <v>13686746.65945946</v>
      </c>
      <c r="E36" s="85">
        <f t="shared" si="3"/>
        <v>13865388.93513514</v>
      </c>
      <c r="F36" s="85">
        <f t="shared" si="3"/>
        <v>14355693.2732973</v>
      </c>
      <c r="G36" s="85">
        <f t="shared" si="3"/>
        <v>14880420.603810815</v>
      </c>
      <c r="H36" s="85">
        <f t="shared" si="3"/>
        <v>15107090.168216221</v>
      </c>
    </row>
    <row r="37" spans="1:8" ht="12.75">
      <c r="A37" s="85" t="s">
        <v>34</v>
      </c>
      <c r="B37" s="85">
        <v>4731265</v>
      </c>
      <c r="C37" s="85">
        <f t="shared" si="3"/>
        <v>4882153.991891893</v>
      </c>
      <c r="D37" s="85">
        <f t="shared" si="3"/>
        <v>5094421.556756757</v>
      </c>
      <c r="E37" s="85">
        <f t="shared" si="3"/>
        <v>5160915.010810812</v>
      </c>
      <c r="F37" s="85">
        <f t="shared" si="3"/>
        <v>5343413.9677837845</v>
      </c>
      <c r="G37" s="85">
        <f t="shared" si="3"/>
        <v>5538725.701864866</v>
      </c>
      <c r="H37" s="85">
        <f t="shared" si="3"/>
        <v>5623095.665297298</v>
      </c>
    </row>
    <row r="38" spans="1:8" ht="12.75">
      <c r="A38" s="85" t="s">
        <v>35</v>
      </c>
      <c r="B38" s="85">
        <v>800000</v>
      </c>
      <c r="C38" s="85">
        <f t="shared" si="3"/>
        <v>825513.5135135136</v>
      </c>
      <c r="D38" s="85">
        <f t="shared" si="3"/>
        <v>861405.4054054054</v>
      </c>
      <c r="E38" s="85">
        <f t="shared" si="3"/>
        <v>872648.6486486489</v>
      </c>
      <c r="F38" s="85">
        <f t="shared" si="3"/>
        <v>903507.0270270272</v>
      </c>
      <c r="G38" s="85">
        <f t="shared" si="3"/>
        <v>936531.8918918922</v>
      </c>
      <c r="H38" s="85">
        <f t="shared" si="3"/>
        <v>950797.8378378381</v>
      </c>
    </row>
    <row r="39" spans="1:8" ht="12.75">
      <c r="A39" s="85" t="s">
        <v>36</v>
      </c>
      <c r="B39" s="85">
        <v>6958457</v>
      </c>
      <c r="C39" s="85">
        <f t="shared" si="3"/>
        <v>7180375.35837838</v>
      </c>
      <c r="D39" s="85">
        <f t="shared" si="3"/>
        <v>7492565.591351353</v>
      </c>
      <c r="E39" s="85">
        <f t="shared" si="3"/>
        <v>7590360.122162165</v>
      </c>
      <c r="F39" s="85">
        <f t="shared" si="3"/>
        <v>7858768.49595676</v>
      </c>
      <c r="G39" s="85">
        <f t="shared" si="3"/>
        <v>8146021.123572976</v>
      </c>
      <c r="H39" s="85">
        <f t="shared" si="3"/>
        <v>8270107.337859463</v>
      </c>
    </row>
    <row r="40" spans="1:8" ht="12.75">
      <c r="A40" s="85" t="s">
        <v>37</v>
      </c>
      <c r="B40" s="85">
        <v>2272091</v>
      </c>
      <c r="C40" s="85">
        <f t="shared" si="3"/>
        <v>2344552.280540541</v>
      </c>
      <c r="D40" s="85">
        <f t="shared" si="3"/>
        <v>2446489.3362162164</v>
      </c>
      <c r="E40" s="85">
        <f t="shared" si="3"/>
        <v>2478421.4259459465</v>
      </c>
      <c r="F40" s="85">
        <f t="shared" si="3"/>
        <v>2566062.7306810813</v>
      </c>
      <c r="G40" s="85">
        <f t="shared" si="3"/>
        <v>2659857.103475676</v>
      </c>
      <c r="H40" s="85">
        <f t="shared" si="3"/>
        <v>2700374.012713514</v>
      </c>
    </row>
    <row r="41" spans="1:8" ht="12.75">
      <c r="A41" s="85" t="s">
        <v>38</v>
      </c>
      <c r="B41" s="85">
        <v>1963089</v>
      </c>
      <c r="C41" s="85">
        <f t="shared" si="3"/>
        <v>2025695.6221621623</v>
      </c>
      <c r="D41" s="85">
        <f t="shared" si="3"/>
        <v>2113769.344864865</v>
      </c>
      <c r="E41" s="85">
        <f t="shared" si="3"/>
        <v>2141358.703783784</v>
      </c>
      <c r="F41" s="85">
        <f t="shared" si="3"/>
        <v>2217080.8827243247</v>
      </c>
      <c r="G41" s="85">
        <f t="shared" si="3"/>
        <v>2298119.318902703</v>
      </c>
      <c r="H41" s="85">
        <f t="shared" si="3"/>
        <v>2333125.970854054</v>
      </c>
    </row>
    <row r="42" spans="1:8" ht="12.75">
      <c r="A42" s="85" t="s">
        <v>39</v>
      </c>
      <c r="B42" s="85">
        <v>6634827</v>
      </c>
      <c r="C42" s="85">
        <f t="shared" si="3"/>
        <v>6846424.185405406</v>
      </c>
      <c r="D42" s="85">
        <f t="shared" si="3"/>
        <v>7144094.802162163</v>
      </c>
      <c r="E42" s="85">
        <f t="shared" si="3"/>
        <v>7237341.019459462</v>
      </c>
      <c r="F42" s="85">
        <f t="shared" si="3"/>
        <v>7493266.022010813</v>
      </c>
      <c r="G42" s="85">
        <f t="shared" si="3"/>
        <v>7767158.853356759</v>
      </c>
      <c r="H42" s="85">
        <f t="shared" si="3"/>
        <v>7885473.957535137</v>
      </c>
    </row>
    <row r="43" spans="1:8" ht="12.75">
      <c r="A43" s="85" t="s">
        <v>40</v>
      </c>
      <c r="B43" s="85">
        <v>800000</v>
      </c>
      <c r="C43" s="85">
        <f t="shared" si="3"/>
        <v>825513.5135135136</v>
      </c>
      <c r="D43" s="85">
        <f t="shared" si="3"/>
        <v>861405.4054054054</v>
      </c>
      <c r="E43" s="85">
        <f t="shared" si="3"/>
        <v>872648.6486486489</v>
      </c>
      <c r="F43" s="85">
        <f t="shared" si="3"/>
        <v>903507.0270270272</v>
      </c>
      <c r="G43" s="85">
        <f t="shared" si="3"/>
        <v>936531.8918918922</v>
      </c>
      <c r="H43" s="85">
        <f t="shared" si="3"/>
        <v>950797.8378378381</v>
      </c>
    </row>
    <row r="44" spans="1:8" ht="12.75">
      <c r="A44" s="85" t="s">
        <v>41</v>
      </c>
      <c r="B44" s="85">
        <v>2795030</v>
      </c>
      <c r="C44" s="85">
        <f aca="true" t="shared" si="4" ref="C44:H53">B44*(VLOOKUP("FY Inflation",FY_Inflation,MATCH(C$3-1,FY_Inflation_year_row,0),0)+1)</f>
        <v>2884168.7945945947</v>
      </c>
      <c r="D44" s="85">
        <f t="shared" si="4"/>
        <v>3009567.4378378377</v>
      </c>
      <c r="E44" s="85">
        <f t="shared" si="4"/>
        <v>3048848.940540541</v>
      </c>
      <c r="F44" s="85">
        <f t="shared" si="4"/>
        <v>3156661.5571891894</v>
      </c>
      <c r="G44" s="85">
        <f t="shared" si="4"/>
        <v>3272043.4172432437</v>
      </c>
      <c r="H44" s="85">
        <f t="shared" si="4"/>
        <v>3321885.6008648654</v>
      </c>
    </row>
    <row r="45" spans="1:8" ht="12.75">
      <c r="A45" s="85" t="s">
        <v>42</v>
      </c>
      <c r="B45" s="85">
        <v>800000</v>
      </c>
      <c r="C45" s="85">
        <f t="shared" si="4"/>
        <v>825513.5135135136</v>
      </c>
      <c r="D45" s="85">
        <f t="shared" si="4"/>
        <v>861405.4054054054</v>
      </c>
      <c r="E45" s="85">
        <f t="shared" si="4"/>
        <v>872648.6486486489</v>
      </c>
      <c r="F45" s="85">
        <f t="shared" si="4"/>
        <v>903507.0270270272</v>
      </c>
      <c r="G45" s="85">
        <f t="shared" si="4"/>
        <v>936531.8918918922</v>
      </c>
      <c r="H45" s="85">
        <f t="shared" si="4"/>
        <v>950797.8378378381</v>
      </c>
    </row>
    <row r="46" spans="1:8" ht="12.75">
      <c r="A46" s="85" t="s">
        <v>43</v>
      </c>
      <c r="B46" s="85">
        <v>3860646</v>
      </c>
      <c r="C46" s="85">
        <f t="shared" si="4"/>
        <v>3983769.3048648653</v>
      </c>
      <c r="D46" s="85">
        <f t="shared" si="4"/>
        <v>4156976.6659459462</v>
      </c>
      <c r="E46" s="85">
        <f t="shared" si="4"/>
        <v>4211234.393513515</v>
      </c>
      <c r="F46" s="85">
        <f t="shared" si="4"/>
        <v>4360150.987329731</v>
      </c>
      <c r="G46" s="85">
        <f t="shared" si="4"/>
        <v>4519522.627881083</v>
      </c>
      <c r="H46" s="85">
        <f t="shared" si="4"/>
        <v>4588367.336821623</v>
      </c>
    </row>
    <row r="47" spans="1:8" ht="12.75">
      <c r="A47" s="85" t="s">
        <v>44</v>
      </c>
      <c r="B47" s="85">
        <v>14214325</v>
      </c>
      <c r="C47" s="85">
        <f t="shared" si="4"/>
        <v>14667646.716216218</v>
      </c>
      <c r="D47" s="85">
        <f t="shared" si="4"/>
        <v>15305370.486486487</v>
      </c>
      <c r="E47" s="85">
        <f t="shared" si="4"/>
        <v>15505139.378378382</v>
      </c>
      <c r="F47" s="85">
        <f t="shared" si="4"/>
        <v>16053428.152432436</v>
      </c>
      <c r="G47" s="85">
        <f t="shared" si="4"/>
        <v>16640210.855270274</v>
      </c>
      <c r="H47" s="85">
        <f t="shared" si="4"/>
        <v>16893686.84540541</v>
      </c>
    </row>
    <row r="48" spans="1:8" ht="12.75">
      <c r="A48" s="85" t="s">
        <v>45</v>
      </c>
      <c r="B48" s="85">
        <v>1659138</v>
      </c>
      <c r="C48" s="85">
        <f t="shared" si="4"/>
        <v>1712051.04972973</v>
      </c>
      <c r="D48" s="85">
        <f t="shared" si="4"/>
        <v>1786488.0518918922</v>
      </c>
      <c r="E48" s="85">
        <f t="shared" si="4"/>
        <v>1809805.6670270276</v>
      </c>
      <c r="F48" s="85">
        <f t="shared" si="4"/>
        <v>1873803.5522594599</v>
      </c>
      <c r="G48" s="85">
        <f t="shared" si="4"/>
        <v>1942294.5625621628</v>
      </c>
      <c r="H48" s="85">
        <f t="shared" si="4"/>
        <v>1971881.0288432438</v>
      </c>
    </row>
    <row r="49" spans="1:8" ht="12.75">
      <c r="A49" s="85" t="s">
        <v>46</v>
      </c>
      <c r="B49" s="85">
        <v>800000</v>
      </c>
      <c r="C49" s="85">
        <f t="shared" si="4"/>
        <v>825513.5135135136</v>
      </c>
      <c r="D49" s="85">
        <f t="shared" si="4"/>
        <v>861405.4054054054</v>
      </c>
      <c r="E49" s="85">
        <f t="shared" si="4"/>
        <v>872648.6486486489</v>
      </c>
      <c r="F49" s="85">
        <f t="shared" si="4"/>
        <v>903507.0270270272</v>
      </c>
      <c r="G49" s="85">
        <f t="shared" si="4"/>
        <v>936531.8918918922</v>
      </c>
      <c r="H49" s="85">
        <f t="shared" si="4"/>
        <v>950797.8378378381</v>
      </c>
    </row>
    <row r="50" spans="1:8" ht="12.75">
      <c r="A50" s="85" t="s">
        <v>47</v>
      </c>
      <c r="B50" s="85">
        <v>4452812</v>
      </c>
      <c r="C50" s="85">
        <f t="shared" si="4"/>
        <v>4594820.598918919</v>
      </c>
      <c r="D50" s="85">
        <f t="shared" si="4"/>
        <v>4794595.407567568</v>
      </c>
      <c r="E50" s="85">
        <f t="shared" si="4"/>
        <v>4857175.468108109</v>
      </c>
      <c r="F50" s="85">
        <f t="shared" si="4"/>
        <v>5028933.665037839</v>
      </c>
      <c r="G50" s="85">
        <f t="shared" si="4"/>
        <v>5212750.558248649</v>
      </c>
      <c r="H50" s="85">
        <f t="shared" si="4"/>
        <v>5292155.027372974</v>
      </c>
    </row>
    <row r="51" spans="1:8" ht="12.75">
      <c r="A51" s="85" t="s">
        <v>48</v>
      </c>
      <c r="B51" s="85">
        <v>3295641</v>
      </c>
      <c r="C51" s="85">
        <f t="shared" si="4"/>
        <v>3400745.226486487</v>
      </c>
      <c r="D51" s="85">
        <f t="shared" si="4"/>
        <v>3548603.7145945947</v>
      </c>
      <c r="E51" s="85">
        <f t="shared" si="4"/>
        <v>3594920.831351352</v>
      </c>
      <c r="F51" s="85">
        <f t="shared" si="4"/>
        <v>3722043.5025729733</v>
      </c>
      <c r="G51" s="85">
        <f t="shared" si="4"/>
        <v>3858091.1259081084</v>
      </c>
      <c r="H51" s="85">
        <f t="shared" si="4"/>
        <v>3916860.4213621626</v>
      </c>
    </row>
    <row r="52" spans="1:8" ht="12.75">
      <c r="A52" s="85" t="s">
        <v>49</v>
      </c>
      <c r="B52" s="85">
        <v>1396699</v>
      </c>
      <c r="C52" s="85">
        <f t="shared" si="4"/>
        <v>1441242.3735135137</v>
      </c>
      <c r="D52" s="85">
        <f t="shared" si="4"/>
        <v>1503905.0854054056</v>
      </c>
      <c r="E52" s="85">
        <f t="shared" si="4"/>
        <v>1523534.3686486492</v>
      </c>
      <c r="F52" s="85">
        <f t="shared" si="4"/>
        <v>1577409.2014270276</v>
      </c>
      <c r="G52" s="85">
        <f t="shared" si="4"/>
        <v>1635066.4460918924</v>
      </c>
      <c r="H52" s="85">
        <f t="shared" si="4"/>
        <v>1659972.9866378384</v>
      </c>
    </row>
    <row r="53" spans="1:8" ht="12.75">
      <c r="A53" s="85" t="s">
        <v>50</v>
      </c>
      <c r="B53" s="85">
        <v>3399822</v>
      </c>
      <c r="C53" s="85">
        <f t="shared" si="4"/>
        <v>3508248.7556756763</v>
      </c>
      <c r="D53" s="85">
        <f t="shared" si="4"/>
        <v>3660781.310270271</v>
      </c>
      <c r="E53" s="85">
        <f t="shared" si="4"/>
        <v>3708562.5924324337</v>
      </c>
      <c r="F53" s="85">
        <f t="shared" si="4"/>
        <v>3839703.8345513525</v>
      </c>
      <c r="G53" s="85">
        <f t="shared" si="4"/>
        <v>3980052.162194596</v>
      </c>
      <c r="H53" s="85">
        <f t="shared" si="4"/>
        <v>4040679.2582918936</v>
      </c>
    </row>
    <row r="54" spans="1:8" ht="12.75">
      <c r="A54" s="85" t="s">
        <v>51</v>
      </c>
      <c r="B54" s="85">
        <v>800000</v>
      </c>
      <c r="C54" s="85">
        <f aca="true" t="shared" si="5" ref="C54:H54">B54*(VLOOKUP("FY Inflation",FY_Inflation,MATCH(C$3-1,FY_Inflation_year_row,0),0)+1)</f>
        <v>825513.5135135136</v>
      </c>
      <c r="D54" s="85">
        <f t="shared" si="5"/>
        <v>861405.4054054054</v>
      </c>
      <c r="E54" s="85">
        <f t="shared" si="5"/>
        <v>872648.6486486489</v>
      </c>
      <c r="F54" s="85">
        <f t="shared" si="5"/>
        <v>903507.0270270272</v>
      </c>
      <c r="G54" s="85">
        <f t="shared" si="5"/>
        <v>936531.8918918922</v>
      </c>
      <c r="H54" s="85">
        <f t="shared" si="5"/>
        <v>950797.8378378381</v>
      </c>
    </row>
    <row r="55" spans="1:8" ht="12.75">
      <c r="A55" s="85" t="s">
        <v>52</v>
      </c>
      <c r="B55" s="85">
        <f aca="true" t="shared" si="6" ref="B55:H57">0.05*VLOOKUP($A55,fund_table,MATCH(B$3,year_row,0),0)</f>
        <v>296760.95</v>
      </c>
      <c r="C55" s="85">
        <f t="shared" si="6"/>
        <v>306225.2</v>
      </c>
      <c r="D55" s="85">
        <f t="shared" si="6"/>
        <v>306124.75</v>
      </c>
      <c r="E55" s="85">
        <f t="shared" si="6"/>
        <v>310120.4</v>
      </c>
      <c r="F55" s="85">
        <f t="shared" si="6"/>
        <v>314852.9</v>
      </c>
      <c r="G55" s="85">
        <f t="shared" si="6"/>
        <v>326361.35000000003</v>
      </c>
      <c r="H55" s="85">
        <f t="shared" si="6"/>
        <v>0</v>
      </c>
    </row>
    <row r="56" spans="1:8" ht="12.75">
      <c r="A56" s="85" t="s">
        <v>53</v>
      </c>
      <c r="B56" s="85">
        <f t="shared" si="6"/>
        <v>658005.05</v>
      </c>
      <c r="C56" s="85">
        <f t="shared" si="6"/>
        <v>678990.05</v>
      </c>
      <c r="D56" s="85">
        <f t="shared" si="6"/>
        <v>678767.3500000001</v>
      </c>
      <c r="E56" s="85">
        <f t="shared" si="6"/>
        <v>687626.75</v>
      </c>
      <c r="F56" s="85">
        <f t="shared" si="6"/>
        <v>698120.1000000001</v>
      </c>
      <c r="G56" s="85">
        <f t="shared" si="6"/>
        <v>723637.7000000001</v>
      </c>
      <c r="H56" s="85">
        <f t="shared" si="6"/>
        <v>0</v>
      </c>
    </row>
    <row r="57" spans="1:8" ht="12.75">
      <c r="A57" s="85" t="s">
        <v>54</v>
      </c>
      <c r="B57" s="85">
        <f t="shared" si="6"/>
        <v>225508.65000000002</v>
      </c>
      <c r="C57" s="85">
        <f t="shared" si="6"/>
        <v>232700.55000000002</v>
      </c>
      <c r="D57" s="85">
        <f t="shared" si="6"/>
        <v>232624.25</v>
      </c>
      <c r="E57" s="85">
        <f t="shared" si="6"/>
        <v>235660.5</v>
      </c>
      <c r="F57" s="85">
        <f t="shared" si="6"/>
        <v>239256.75</v>
      </c>
      <c r="G57" s="85">
        <f t="shared" si="6"/>
        <v>248002.05000000002</v>
      </c>
      <c r="H57" s="85">
        <f t="shared" si="6"/>
        <v>0</v>
      </c>
    </row>
    <row r="58" spans="1:8" ht="12.75">
      <c r="A58" s="85" t="s">
        <v>55</v>
      </c>
      <c r="B58" s="85">
        <v>1418440</v>
      </c>
      <c r="C58" s="85">
        <f aca="true" t="shared" si="7" ref="C58:H58">B58*(VLOOKUP("FY Inflation",FY_Inflation,MATCH(C$3-1,FY_Inflation_year_row,0),0)+1)</f>
        <v>1463676.7351351352</v>
      </c>
      <c r="D58" s="85">
        <f t="shared" si="7"/>
        <v>1527314.854054054</v>
      </c>
      <c r="E58" s="85">
        <f t="shared" si="7"/>
        <v>1547249.6864864866</v>
      </c>
      <c r="F58" s="85">
        <f t="shared" si="7"/>
        <v>1601963.1342702704</v>
      </c>
      <c r="G58" s="85">
        <f t="shared" si="7"/>
        <v>1660517.870918919</v>
      </c>
      <c r="H58" s="85">
        <f t="shared" si="7"/>
        <v>1685812.1063783786</v>
      </c>
    </row>
    <row r="59" spans="1:8" ht="12.75">
      <c r="A59" s="85" t="s">
        <v>56</v>
      </c>
      <c r="B59" s="85">
        <f aca="true" t="shared" si="8" ref="B59:H59">0.05*VLOOKUP($A59,fund_table,MATCH(B$3,year_row,0),0)</f>
        <v>418216.75</v>
      </c>
      <c r="C59" s="85">
        <f t="shared" si="8"/>
        <v>431554.45</v>
      </c>
      <c r="D59" s="85">
        <f t="shared" si="8"/>
        <v>431412.9</v>
      </c>
      <c r="E59" s="85">
        <f t="shared" si="8"/>
        <v>437043.80000000005</v>
      </c>
      <c r="F59" s="85">
        <f t="shared" si="8"/>
        <v>443713.2</v>
      </c>
      <c r="G59" s="85">
        <f t="shared" si="8"/>
        <v>459931.75</v>
      </c>
      <c r="H59" s="85">
        <f t="shared" si="8"/>
        <v>0</v>
      </c>
    </row>
    <row r="60" ht="12.75">
      <c r="A60" s="85" t="s">
        <v>57</v>
      </c>
    </row>
    <row r="61" spans="1:8" ht="12.75">
      <c r="A61" s="85" t="s">
        <v>92</v>
      </c>
      <c r="B61" s="85">
        <v>3143914</v>
      </c>
      <c r="C61" s="85">
        <f aca="true" t="shared" si="9" ref="C61:H61">B61*(VLOOKUP("FY Inflation",FY_Inflation,MATCH(C$3-1,FY_Inflation_year_row,0),0)+1)</f>
        <v>3244179.365405406</v>
      </c>
      <c r="D61" s="85">
        <f t="shared" si="9"/>
        <v>3385230.6421621623</v>
      </c>
      <c r="E61" s="85">
        <f t="shared" si="9"/>
        <v>3429415.3794594603</v>
      </c>
      <c r="F61" s="85">
        <f t="shared" si="9"/>
        <v>3550685.4892108114</v>
      </c>
      <c r="G61" s="85">
        <f t="shared" si="9"/>
        <v>3680469.6579567576</v>
      </c>
      <c r="H61" s="85">
        <f t="shared" si="9"/>
        <v>3736533.291935136</v>
      </c>
    </row>
  </sheetData>
  <sheetProtection password="87AF" sheet="1" objects="1" scenarios="1" selectLockedCells="1" selectUnlockedCell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20"/>
  <dimension ref="A1:U62"/>
  <sheetViews>
    <sheetView workbookViewId="0" topLeftCell="A1">
      <selection activeCell="A1" sqref="A1:E1"/>
    </sheetView>
  </sheetViews>
  <sheetFormatPr defaultColWidth="9.140625" defaultRowHeight="12.75"/>
  <cols>
    <col min="1" max="1" width="28.28125" style="85" customWidth="1"/>
    <col min="2" max="4" width="13.421875" style="85" bestFit="1" customWidth="1"/>
    <col min="5" max="5" width="14.28125" style="85" bestFit="1" customWidth="1"/>
    <col min="6" max="8" width="13.421875" style="85" bestFit="1" customWidth="1"/>
    <col min="9" max="9" width="14.28125" style="85" bestFit="1" customWidth="1"/>
    <col min="10" max="12" width="13.421875" style="85" bestFit="1" customWidth="1"/>
    <col min="13" max="13" width="14.28125" style="85" bestFit="1" customWidth="1"/>
    <col min="14" max="16" width="13.421875" style="85" bestFit="1" customWidth="1"/>
    <col min="17" max="17" width="14.28125" style="85" bestFit="1" customWidth="1"/>
    <col min="18" max="20" width="13.421875" style="85" bestFit="1" customWidth="1"/>
    <col min="21" max="21" width="14.28125" style="85" bestFit="1" customWidth="1"/>
    <col min="22" max="16384" width="9.140625" style="85" customWidth="1"/>
  </cols>
  <sheetData>
    <row r="1" ht="12.75">
      <c r="A1" s="85" t="s">
        <v>91</v>
      </c>
    </row>
    <row r="2" spans="1:21" ht="12.75">
      <c r="A2" s="85" t="s">
        <v>234</v>
      </c>
      <c r="B2" s="85" t="s">
        <v>230</v>
      </c>
      <c r="C2" s="85" t="s">
        <v>231</v>
      </c>
      <c r="D2" s="85" t="s">
        <v>232</v>
      </c>
      <c r="E2" s="85" t="s">
        <v>233</v>
      </c>
      <c r="F2" s="85" t="s">
        <v>226</v>
      </c>
      <c r="G2" s="85" t="s">
        <v>227</v>
      </c>
      <c r="H2" s="85" t="s">
        <v>228</v>
      </c>
      <c r="I2" s="85" t="s">
        <v>229</v>
      </c>
      <c r="J2" s="85" t="s">
        <v>222</v>
      </c>
      <c r="K2" s="85" t="s">
        <v>223</v>
      </c>
      <c r="L2" s="85" t="s">
        <v>224</v>
      </c>
      <c r="M2" s="85" t="s">
        <v>225</v>
      </c>
      <c r="N2" s="85" t="s">
        <v>218</v>
      </c>
      <c r="O2" s="85" t="s">
        <v>219</v>
      </c>
      <c r="P2" s="85" t="s">
        <v>220</v>
      </c>
      <c r="Q2" s="85" t="s">
        <v>221</v>
      </c>
      <c r="R2" s="85" t="s">
        <v>236</v>
      </c>
      <c r="S2" s="85" t="s">
        <v>237</v>
      </c>
      <c r="T2" s="85" t="s">
        <v>238</v>
      </c>
      <c r="U2" s="85" t="s">
        <v>239</v>
      </c>
    </row>
    <row r="3" spans="2:21" ht="12.75">
      <c r="B3" s="85">
        <v>2006</v>
      </c>
      <c r="C3" s="85">
        <v>2006</v>
      </c>
      <c r="D3" s="85">
        <v>2006</v>
      </c>
      <c r="E3" s="85">
        <v>2006</v>
      </c>
      <c r="F3" s="85">
        <v>2007</v>
      </c>
      <c r="G3" s="85">
        <v>2007</v>
      </c>
      <c r="H3" s="85">
        <v>2007</v>
      </c>
      <c r="I3" s="85">
        <v>2007</v>
      </c>
      <c r="J3" s="85">
        <v>2008</v>
      </c>
      <c r="K3" s="85">
        <v>2008</v>
      </c>
      <c r="L3" s="85">
        <v>2008</v>
      </c>
      <c r="M3" s="85">
        <v>2008</v>
      </c>
      <c r="N3" s="85">
        <v>2009</v>
      </c>
      <c r="O3" s="85">
        <v>2009</v>
      </c>
      <c r="P3" s="85">
        <v>2009</v>
      </c>
      <c r="Q3" s="85">
        <v>2009</v>
      </c>
      <c r="R3" s="85">
        <v>2010</v>
      </c>
      <c r="S3" s="85">
        <v>2010</v>
      </c>
      <c r="T3" s="85">
        <v>2010</v>
      </c>
      <c r="U3" s="85">
        <v>2010</v>
      </c>
    </row>
    <row r="4" spans="2:21" ht="12.75">
      <c r="B4" s="85" t="s">
        <v>88</v>
      </c>
      <c r="C4" s="85" t="s">
        <v>87</v>
      </c>
      <c r="D4" s="85" t="s">
        <v>86</v>
      </c>
      <c r="E4" s="85" t="s">
        <v>89</v>
      </c>
      <c r="F4" s="85" t="s">
        <v>88</v>
      </c>
      <c r="G4" s="85" t="s">
        <v>87</v>
      </c>
      <c r="H4" s="85" t="s">
        <v>86</v>
      </c>
      <c r="I4" s="85" t="s">
        <v>89</v>
      </c>
      <c r="J4" s="85" t="s">
        <v>88</v>
      </c>
      <c r="K4" s="85" t="s">
        <v>87</v>
      </c>
      <c r="L4" s="85" t="s">
        <v>86</v>
      </c>
      <c r="M4" s="85" t="s">
        <v>89</v>
      </c>
      <c r="N4" s="85" t="s">
        <v>88</v>
      </c>
      <c r="O4" s="85" t="s">
        <v>87</v>
      </c>
      <c r="P4" s="85" t="s">
        <v>86</v>
      </c>
      <c r="Q4" s="85" t="s">
        <v>89</v>
      </c>
      <c r="R4" s="85" t="s">
        <v>88</v>
      </c>
      <c r="S4" s="85" t="s">
        <v>87</v>
      </c>
      <c r="T4" s="85" t="s">
        <v>86</v>
      </c>
      <c r="U4" s="85" t="s">
        <v>89</v>
      </c>
    </row>
    <row r="5" spans="1:21" ht="12.75">
      <c r="A5" s="85" t="s">
        <v>1</v>
      </c>
      <c r="B5" s="85">
        <f>0.105*VLOOKUP($A5,fund_table,MATCH(B$3,year_row,0),0)</f>
        <v>17601626.595</v>
      </c>
      <c r="C5" s="85">
        <f aca="true" t="shared" si="0" ref="C5:C36">0.1*VLOOKUP($A5,fund_table,MATCH(C$3,year_row,0),0)</f>
        <v>16763453.9</v>
      </c>
      <c r="D5" s="85">
        <f aca="true" t="shared" si="1" ref="D5:D36">0.095*VLOOKUP($A5,fund_table,MATCH(D$3,year_row,0),0)</f>
        <v>15925281.205</v>
      </c>
      <c r="E5" s="85">
        <f>0.09*VLOOKUP($A5,fund_table,MATCH(E$3,year_row,0),0)</f>
        <v>15087108.51</v>
      </c>
      <c r="F5" s="85">
        <f aca="true" t="shared" si="2" ref="F5:F36">B5*(VLOOKUP("FY Inflation",FY_Inflation,MATCH(F$3-1,FY_Inflation_year_row,0),0)+1)</f>
        <v>17831366.70115964</v>
      </c>
      <c r="G5" s="85">
        <f aca="true" t="shared" si="3" ref="G5:G36">C5*(VLOOKUP("FY Inflation",FY_Inflation,MATCH(G$3-1,FY_Inflation_year_row,0),0)+1)</f>
        <v>16982254.001104422</v>
      </c>
      <c r="H5" s="85">
        <f aca="true" t="shared" si="4" ref="H5:H36">D5*(VLOOKUP("FY Inflation",FY_Inflation,MATCH(H$3-1,FY_Inflation_year_row,0),0)+1)</f>
        <v>16133141.301049199</v>
      </c>
      <c r="I5" s="85">
        <f aca="true" t="shared" si="5" ref="I5:I36">E5*(VLOOKUP("FY Inflation",FY_Inflation,MATCH(I$3-1,FY_Inflation_year_row,0),0)+1)</f>
        <v>15284028.600993978</v>
      </c>
      <c r="J5" s="85">
        <f aca="true" t="shared" si="6" ref="J5:J36">F5*(VLOOKUP("FY Inflation",FY_Inflation,MATCH(J$3-1,FY_Inflation_year_row,0),0)+1)</f>
        <v>18461914.930988558</v>
      </c>
      <c r="K5" s="85">
        <f aca="true" t="shared" si="7" ref="K5:K36">G5*(VLOOKUP("FY Inflation",FY_Inflation,MATCH(K$3-1,FY_Inflation_year_row,0),0)+1)</f>
        <v>17582776.12475101</v>
      </c>
      <c r="L5" s="85">
        <f aca="true" t="shared" si="8" ref="L5:L36">H5*(VLOOKUP("FY Inflation",FY_Inflation,MATCH(L$3-1,FY_Inflation_year_row,0),0)+1)</f>
        <v>16703637.318513455</v>
      </c>
      <c r="M5" s="85">
        <f aca="true" t="shared" si="9" ref="M5:M36">I5*(VLOOKUP("FY Inflation",FY_Inflation,MATCH(M$3-1,FY_Inflation_year_row,0),0)+1)</f>
        <v>15824498.512275904</v>
      </c>
      <c r="N5" s="85">
        <f aca="true" t="shared" si="10" ref="N5:N36">J5*(VLOOKUP("FY Inflation",FY_Inflation,MATCH(N$3-1,FY_Inflation_year_row,0),0)+1)</f>
        <v>19136732.31204285</v>
      </c>
      <c r="O5" s="85">
        <f aca="true" t="shared" si="11" ref="O5:O36">K5*(VLOOKUP("FY Inflation",FY_Inflation,MATCH(O$3-1,FY_Inflation_year_row,0),0)+1)</f>
        <v>18225459.34480272</v>
      </c>
      <c r="P5" s="85">
        <f aca="true" t="shared" si="12" ref="P5:P36">L5*(VLOOKUP("FY Inflation",FY_Inflation,MATCH(P$3-1,FY_Inflation_year_row,0),0)+1)</f>
        <v>17314186.37756258</v>
      </c>
      <c r="Q5" s="85">
        <f>M5*(VLOOKUP("FY Inflation",FY_Inflation,MATCH(Q$3-1,FY_Inflation_year_row,0),0)+1)</f>
        <v>16402913.41032244</v>
      </c>
      <c r="R5" s="85">
        <f aca="true" t="shared" si="13" ref="R5:R59">N5*(VLOOKUP("FY Inflation",FY_Inflation,MATCH(R$3-1,FY_Inflation_year_row,0),0)+1)</f>
        <v>19428237.162127715</v>
      </c>
      <c r="S5" s="85">
        <f aca="true" t="shared" si="14" ref="S5:S59">O5*(VLOOKUP("FY Inflation",FY_Inflation,MATCH(S$3-1,FY_Inflation_year_row,0),0)+1)</f>
        <v>18503083.01155021</v>
      </c>
      <c r="T5" s="85">
        <f aca="true" t="shared" si="15" ref="T5:T59">P5*(VLOOKUP("FY Inflation",FY_Inflation,MATCH(T$3-1,FY_Inflation_year_row,0),0)+1)</f>
        <v>17577928.860972695</v>
      </c>
      <c r="U5" s="85">
        <f aca="true" t="shared" si="16" ref="U5:U36">Q5*(VLOOKUP("FY Inflation",FY_Inflation,MATCH(U$3-1,FY_Inflation_year_row,0),0)+1)</f>
        <v>16652774.710395182</v>
      </c>
    </row>
    <row r="6" spans="1:21" ht="12.75">
      <c r="A6" s="85" t="s">
        <v>2</v>
      </c>
      <c r="B6" s="85">
        <f aca="true" t="shared" si="17" ref="B6:B36">0.105*VLOOKUP($A6,fund_table,MATCH(B$3,year_row,0),0)</f>
        <v>3407415.9</v>
      </c>
      <c r="C6" s="85">
        <f t="shared" si="0"/>
        <v>3245158</v>
      </c>
      <c r="D6" s="85">
        <f t="shared" si="1"/>
        <v>3082900.1</v>
      </c>
      <c r="E6" s="85">
        <f aca="true" t="shared" si="18" ref="E6:E36">0.09*VLOOKUP($A6,fund_table,MATCH(E$3,year_row,0),0)</f>
        <v>2920642.1999999997</v>
      </c>
      <c r="F6" s="85">
        <f t="shared" si="2"/>
        <v>3451890.203915663</v>
      </c>
      <c r="G6" s="85">
        <f t="shared" si="3"/>
        <v>3287514.4799196795</v>
      </c>
      <c r="H6" s="85">
        <f t="shared" si="4"/>
        <v>3123138.7559236954</v>
      </c>
      <c r="I6" s="85">
        <f t="shared" si="5"/>
        <v>2958763.031927711</v>
      </c>
      <c r="J6" s="85">
        <f t="shared" si="6"/>
        <v>3573955.062662651</v>
      </c>
      <c r="K6" s="85">
        <f t="shared" si="7"/>
        <v>3403766.726345382</v>
      </c>
      <c r="L6" s="85">
        <f t="shared" si="8"/>
        <v>3233578.390028113</v>
      </c>
      <c r="M6" s="85">
        <f t="shared" si="9"/>
        <v>3063390.0537108434</v>
      </c>
      <c r="N6" s="85">
        <f t="shared" si="10"/>
        <v>3704589.777664157</v>
      </c>
      <c r="O6" s="85">
        <f t="shared" si="11"/>
        <v>3528180.740632531</v>
      </c>
      <c r="P6" s="85">
        <f t="shared" si="12"/>
        <v>3351771.7036009044</v>
      </c>
      <c r="Q6" s="85">
        <f aca="true" t="shared" si="19" ref="Q6:Q36">M6*(VLOOKUP("FY Inflation",FY_Inflation,MATCH(Q$3-1,FY_Inflation_year_row,0),0)+1)</f>
        <v>3175362.666569277</v>
      </c>
      <c r="R6" s="85">
        <f t="shared" si="13"/>
        <v>3761020.8271325305</v>
      </c>
      <c r="S6" s="85">
        <f t="shared" si="14"/>
        <v>3581924.597269077</v>
      </c>
      <c r="T6" s="85">
        <f t="shared" si="15"/>
        <v>3402828.367405623</v>
      </c>
      <c r="U6" s="85">
        <f t="shared" si="16"/>
        <v>3223732.1375421686</v>
      </c>
    </row>
    <row r="7" spans="1:21" ht="12.75">
      <c r="A7" s="85" t="s">
        <v>3</v>
      </c>
      <c r="B7" s="85">
        <f t="shared" si="17"/>
        <v>17044390.23</v>
      </c>
      <c r="C7" s="85">
        <f t="shared" si="0"/>
        <v>16232752.600000001</v>
      </c>
      <c r="D7" s="85">
        <f t="shared" si="1"/>
        <v>15421114.97</v>
      </c>
      <c r="E7" s="85">
        <f t="shared" si="18"/>
        <v>14609477.34</v>
      </c>
      <c r="F7" s="85">
        <f t="shared" si="2"/>
        <v>17266857.170753017</v>
      </c>
      <c r="G7" s="85">
        <f t="shared" si="3"/>
        <v>16444625.876907635</v>
      </c>
      <c r="H7" s="85">
        <f t="shared" si="4"/>
        <v>15622394.583062252</v>
      </c>
      <c r="I7" s="85">
        <f t="shared" si="5"/>
        <v>14800163.28921687</v>
      </c>
      <c r="J7" s="85">
        <f t="shared" si="6"/>
        <v>17877443.35891205</v>
      </c>
      <c r="K7" s="85">
        <f t="shared" si="7"/>
        <v>17026136.532297194</v>
      </c>
      <c r="L7" s="85">
        <f t="shared" si="8"/>
        <v>16174829.705682332</v>
      </c>
      <c r="M7" s="85">
        <f t="shared" si="9"/>
        <v>15323522.879067473</v>
      </c>
      <c r="N7" s="85">
        <f t="shared" si="10"/>
        <v>18530897.215270035</v>
      </c>
      <c r="O7" s="85">
        <f t="shared" si="11"/>
        <v>17648473.538352415</v>
      </c>
      <c r="P7" s="85">
        <f t="shared" si="12"/>
        <v>16766049.861434793</v>
      </c>
      <c r="Q7" s="85">
        <f t="shared" si="19"/>
        <v>15883626.184517173</v>
      </c>
      <c r="R7" s="85">
        <f t="shared" si="13"/>
        <v>18813173.537402414</v>
      </c>
      <c r="S7" s="85">
        <f t="shared" si="14"/>
        <v>17917308.130859442</v>
      </c>
      <c r="T7" s="85">
        <f t="shared" si="15"/>
        <v>17021442.72431647</v>
      </c>
      <c r="U7" s="85">
        <f t="shared" si="16"/>
        <v>16125577.317773499</v>
      </c>
    </row>
    <row r="8" spans="1:21" ht="12.75">
      <c r="A8" s="85" t="s">
        <v>4</v>
      </c>
      <c r="B8" s="85">
        <f t="shared" si="17"/>
        <v>10857044.415</v>
      </c>
      <c r="C8" s="85">
        <f t="shared" si="0"/>
        <v>10340042.3</v>
      </c>
      <c r="D8" s="85">
        <f t="shared" si="1"/>
        <v>9823040.185</v>
      </c>
      <c r="E8" s="85">
        <f t="shared" si="18"/>
        <v>9306038.07</v>
      </c>
      <c r="F8" s="85">
        <f t="shared" si="2"/>
        <v>10998752.826039158</v>
      </c>
      <c r="G8" s="85">
        <f t="shared" si="3"/>
        <v>10475002.691465866</v>
      </c>
      <c r="H8" s="85">
        <f t="shared" si="4"/>
        <v>9951252.556892572</v>
      </c>
      <c r="I8" s="85">
        <f t="shared" si="5"/>
        <v>9427502.422319278</v>
      </c>
      <c r="J8" s="85">
        <f t="shared" si="6"/>
        <v>11387687.911106627</v>
      </c>
      <c r="K8" s="85">
        <f t="shared" si="7"/>
        <v>10845417.058196789</v>
      </c>
      <c r="L8" s="85">
        <f t="shared" si="8"/>
        <v>10303146.20528695</v>
      </c>
      <c r="M8" s="85">
        <f t="shared" si="9"/>
        <v>9760875.35237711</v>
      </c>
      <c r="N8" s="85">
        <f t="shared" si="10"/>
        <v>11803929.116916643</v>
      </c>
      <c r="O8" s="85">
        <f t="shared" si="11"/>
        <v>11241837.254206328</v>
      </c>
      <c r="P8" s="85">
        <f t="shared" si="12"/>
        <v>10679745.391496012</v>
      </c>
      <c r="Q8" s="85">
        <f t="shared" si="19"/>
        <v>10117653.528785694</v>
      </c>
      <c r="R8" s="85">
        <f t="shared" si="13"/>
        <v>11983735.289231328</v>
      </c>
      <c r="S8" s="85">
        <f t="shared" si="14"/>
        <v>11413081.22783936</v>
      </c>
      <c r="T8" s="85">
        <f t="shared" si="15"/>
        <v>10842427.166447394</v>
      </c>
      <c r="U8" s="85">
        <f t="shared" si="16"/>
        <v>10271773.105055423</v>
      </c>
    </row>
    <row r="9" spans="1:21" ht="12.75">
      <c r="A9" s="85" t="s">
        <v>5</v>
      </c>
      <c r="B9" s="85">
        <f t="shared" si="17"/>
        <v>118748724.88499999</v>
      </c>
      <c r="C9" s="85">
        <f t="shared" si="0"/>
        <v>113094023.7</v>
      </c>
      <c r="D9" s="85">
        <f t="shared" si="1"/>
        <v>107439322.515</v>
      </c>
      <c r="E9" s="85">
        <f t="shared" si="18"/>
        <v>101784621.33</v>
      </c>
      <c r="F9" s="85">
        <f t="shared" si="2"/>
        <v>120298658.04112953</v>
      </c>
      <c r="G9" s="85">
        <f t="shared" si="3"/>
        <v>114570150.51536147</v>
      </c>
      <c r="H9" s="85">
        <f t="shared" si="4"/>
        <v>108841642.98959339</v>
      </c>
      <c r="I9" s="85">
        <f t="shared" si="5"/>
        <v>103113135.46382532</v>
      </c>
      <c r="J9" s="85">
        <f t="shared" si="6"/>
        <v>124552628.42656808</v>
      </c>
      <c r="K9" s="85">
        <f t="shared" si="7"/>
        <v>118621550.88244581</v>
      </c>
      <c r="L9" s="85">
        <f t="shared" si="8"/>
        <v>112690473.3383235</v>
      </c>
      <c r="M9" s="85">
        <f t="shared" si="9"/>
        <v>106759395.79420121</v>
      </c>
      <c r="N9" s="85">
        <f t="shared" si="10"/>
        <v>129105259.00863005</v>
      </c>
      <c r="O9" s="85">
        <f t="shared" si="11"/>
        <v>122957389.53202865</v>
      </c>
      <c r="P9" s="85">
        <f t="shared" si="12"/>
        <v>116809520.0554272</v>
      </c>
      <c r="Q9" s="85">
        <f t="shared" si="19"/>
        <v>110661650.57882576</v>
      </c>
      <c r="R9" s="85">
        <f t="shared" si="13"/>
        <v>131071885.73250362</v>
      </c>
      <c r="S9" s="85">
        <f t="shared" si="14"/>
        <v>124830367.3642892</v>
      </c>
      <c r="T9" s="85">
        <f t="shared" si="15"/>
        <v>118588848.9960747</v>
      </c>
      <c r="U9" s="85">
        <f t="shared" si="16"/>
        <v>112347330.62786025</v>
      </c>
    </row>
    <row r="10" spans="1:21" ht="12.75">
      <c r="A10" s="85" t="s">
        <v>6</v>
      </c>
      <c r="B10" s="85">
        <f t="shared" si="17"/>
        <v>14435539.545</v>
      </c>
      <c r="C10" s="85">
        <f t="shared" si="0"/>
        <v>13748132.9</v>
      </c>
      <c r="D10" s="85">
        <f t="shared" si="1"/>
        <v>13060726.255</v>
      </c>
      <c r="E10" s="85">
        <f t="shared" si="18"/>
        <v>12373319.61</v>
      </c>
      <c r="F10" s="85">
        <f t="shared" si="2"/>
        <v>14623955.22179217</v>
      </c>
      <c r="G10" s="85">
        <f t="shared" si="3"/>
        <v>13927576.40170683</v>
      </c>
      <c r="H10" s="85">
        <f t="shared" si="4"/>
        <v>13231197.581621489</v>
      </c>
      <c r="I10" s="85">
        <f t="shared" si="5"/>
        <v>12534818.761536146</v>
      </c>
      <c r="J10" s="85">
        <f t="shared" si="6"/>
        <v>15141083.787018675</v>
      </c>
      <c r="K10" s="85">
        <f t="shared" si="7"/>
        <v>14420079.797160644</v>
      </c>
      <c r="L10" s="85">
        <f t="shared" si="8"/>
        <v>13699075.807302613</v>
      </c>
      <c r="M10" s="85">
        <f t="shared" si="9"/>
        <v>12978071.81744458</v>
      </c>
      <c r="N10" s="85">
        <f t="shared" si="10"/>
        <v>15694518.603811674</v>
      </c>
      <c r="O10" s="85">
        <f t="shared" si="11"/>
        <v>14947160.575058738</v>
      </c>
      <c r="P10" s="85">
        <f t="shared" si="12"/>
        <v>14199802.546305802</v>
      </c>
      <c r="Q10" s="85">
        <f t="shared" si="19"/>
        <v>13452444.517552864</v>
      </c>
      <c r="R10" s="85">
        <f t="shared" si="13"/>
        <v>15933589.110633738</v>
      </c>
      <c r="S10" s="85">
        <f t="shared" si="14"/>
        <v>15174846.772032132</v>
      </c>
      <c r="T10" s="85">
        <f t="shared" si="15"/>
        <v>14416104.433430526</v>
      </c>
      <c r="U10" s="85">
        <f t="shared" si="16"/>
        <v>13657362.094828919</v>
      </c>
    </row>
    <row r="11" spans="1:21" ht="12.75">
      <c r="A11" s="85" t="s">
        <v>7</v>
      </c>
      <c r="B11" s="85">
        <f t="shared" si="17"/>
        <v>12869529.225</v>
      </c>
      <c r="C11" s="85">
        <f t="shared" si="0"/>
        <v>12256694.5</v>
      </c>
      <c r="D11" s="85">
        <f t="shared" si="1"/>
        <v>11643859.775</v>
      </c>
      <c r="E11" s="85">
        <f t="shared" si="18"/>
        <v>11031025.049999999</v>
      </c>
      <c r="F11" s="85">
        <f t="shared" si="2"/>
        <v>13037505.008057231</v>
      </c>
      <c r="G11" s="85">
        <f t="shared" si="3"/>
        <v>12416671.436244981</v>
      </c>
      <c r="H11" s="85">
        <f t="shared" si="4"/>
        <v>11795837.864432734</v>
      </c>
      <c r="I11" s="85">
        <f t="shared" si="5"/>
        <v>11175004.292620482</v>
      </c>
      <c r="J11" s="85">
        <f t="shared" si="6"/>
        <v>13498533.926478917</v>
      </c>
      <c r="K11" s="85">
        <f t="shared" si="7"/>
        <v>12855746.596646586</v>
      </c>
      <c r="L11" s="85">
        <f t="shared" si="8"/>
        <v>12212959.26681426</v>
      </c>
      <c r="M11" s="85">
        <f t="shared" si="9"/>
        <v>11570171.936981928</v>
      </c>
      <c r="N11" s="85">
        <f t="shared" si="10"/>
        <v>13991930.486174325</v>
      </c>
      <c r="O11" s="85">
        <f t="shared" si="11"/>
        <v>13325648.082070785</v>
      </c>
      <c r="P11" s="85">
        <f t="shared" si="12"/>
        <v>12659365.677967247</v>
      </c>
      <c r="Q11" s="85">
        <f t="shared" si="19"/>
        <v>11993083.273863705</v>
      </c>
      <c r="R11" s="85">
        <f t="shared" si="13"/>
        <v>14205065.912445785</v>
      </c>
      <c r="S11" s="85">
        <f t="shared" si="14"/>
        <v>13528634.202329319</v>
      </c>
      <c r="T11" s="85">
        <f t="shared" si="15"/>
        <v>12852202.492212854</v>
      </c>
      <c r="U11" s="85">
        <f t="shared" si="16"/>
        <v>12175770.782096386</v>
      </c>
    </row>
    <row r="12" spans="1:21" ht="12.75">
      <c r="A12" s="85" t="s">
        <v>8</v>
      </c>
      <c r="B12" s="85">
        <f t="shared" si="17"/>
        <v>3122887.215</v>
      </c>
      <c r="C12" s="85">
        <f t="shared" si="0"/>
        <v>2974178.3000000003</v>
      </c>
      <c r="D12" s="85">
        <f t="shared" si="1"/>
        <v>2825469.3850000002</v>
      </c>
      <c r="E12" s="85">
        <f t="shared" si="18"/>
        <v>2676760.4699999997</v>
      </c>
      <c r="F12" s="85">
        <f t="shared" si="2"/>
        <v>3163647.791099398</v>
      </c>
      <c r="G12" s="85">
        <f t="shared" si="3"/>
        <v>3012997.8962851414</v>
      </c>
      <c r="H12" s="85">
        <f t="shared" si="4"/>
        <v>2862348.0014708843</v>
      </c>
      <c r="I12" s="85">
        <f t="shared" si="5"/>
        <v>2711698.106656627</v>
      </c>
      <c r="J12" s="85">
        <f t="shared" si="6"/>
        <v>3275519.8953475906</v>
      </c>
      <c r="K12" s="85">
        <f t="shared" si="7"/>
        <v>3119542.7574738963</v>
      </c>
      <c r="L12" s="85">
        <f t="shared" si="8"/>
        <v>2963565.6196002015</v>
      </c>
      <c r="M12" s="85">
        <f t="shared" si="9"/>
        <v>2807588.4817265063</v>
      </c>
      <c r="N12" s="85">
        <f t="shared" si="10"/>
        <v>3395246.249067244</v>
      </c>
      <c r="O12" s="85">
        <f t="shared" si="11"/>
        <v>3233567.856254519</v>
      </c>
      <c r="P12" s="85">
        <f t="shared" si="12"/>
        <v>3071889.463441793</v>
      </c>
      <c r="Q12" s="85">
        <f t="shared" si="19"/>
        <v>2910211.070629067</v>
      </c>
      <c r="R12" s="85">
        <f t="shared" si="13"/>
        <v>3446965.149279518</v>
      </c>
      <c r="S12" s="85">
        <f t="shared" si="14"/>
        <v>3282823.95169478</v>
      </c>
      <c r="T12" s="85">
        <f t="shared" si="15"/>
        <v>3118682.754110041</v>
      </c>
      <c r="U12" s="85">
        <f t="shared" si="16"/>
        <v>2954541.5565253017</v>
      </c>
    </row>
    <row r="13" spans="1:21" ht="12.75">
      <c r="A13" s="85" t="s">
        <v>9</v>
      </c>
      <c r="B13" s="85">
        <f t="shared" si="17"/>
        <v>1570196.88</v>
      </c>
      <c r="C13" s="85">
        <f t="shared" si="0"/>
        <v>1495425.6</v>
      </c>
      <c r="D13" s="85">
        <f t="shared" si="1"/>
        <v>1420654.32</v>
      </c>
      <c r="E13" s="85">
        <f t="shared" si="18"/>
        <v>1345883.04</v>
      </c>
      <c r="F13" s="85">
        <f t="shared" si="2"/>
        <v>1590691.4175903616</v>
      </c>
      <c r="G13" s="85">
        <f t="shared" si="3"/>
        <v>1514944.207228916</v>
      </c>
      <c r="H13" s="85">
        <f t="shared" si="4"/>
        <v>1439196.9968674702</v>
      </c>
      <c r="I13" s="85">
        <f t="shared" si="5"/>
        <v>1363449.7865060244</v>
      </c>
      <c r="J13" s="85">
        <f t="shared" si="6"/>
        <v>1646941.0407614459</v>
      </c>
      <c r="K13" s="85">
        <f t="shared" si="7"/>
        <v>1568515.276915663</v>
      </c>
      <c r="L13" s="85">
        <f t="shared" si="8"/>
        <v>1490089.5130698797</v>
      </c>
      <c r="M13" s="85">
        <f t="shared" si="9"/>
        <v>1411663.7492240968</v>
      </c>
      <c r="N13" s="85">
        <f t="shared" si="10"/>
        <v>1707139.8036759037</v>
      </c>
      <c r="O13" s="85">
        <f t="shared" si="11"/>
        <v>1625847.4320722895</v>
      </c>
      <c r="P13" s="85">
        <f t="shared" si="12"/>
        <v>1544555.0604686749</v>
      </c>
      <c r="Q13" s="85">
        <f t="shared" si="19"/>
        <v>1463262.6888650607</v>
      </c>
      <c r="R13" s="85">
        <f t="shared" si="13"/>
        <v>1733144.2188722892</v>
      </c>
      <c r="S13" s="85">
        <f t="shared" si="14"/>
        <v>1650613.5417831328</v>
      </c>
      <c r="T13" s="85">
        <f t="shared" si="15"/>
        <v>1568082.864693976</v>
      </c>
      <c r="U13" s="85">
        <f t="shared" si="16"/>
        <v>1485552.1876048197</v>
      </c>
    </row>
    <row r="14" spans="1:21" ht="12.75">
      <c r="A14" s="85" t="s">
        <v>10</v>
      </c>
      <c r="B14" s="85">
        <f t="shared" si="17"/>
        <v>60947962.949999996</v>
      </c>
      <c r="C14" s="85">
        <f t="shared" si="0"/>
        <v>58045679</v>
      </c>
      <c r="D14" s="85">
        <f t="shared" si="1"/>
        <v>55143395.05</v>
      </c>
      <c r="E14" s="85">
        <f t="shared" si="18"/>
        <v>52241111.1</v>
      </c>
      <c r="F14" s="85">
        <f t="shared" si="2"/>
        <v>61743468.49051205</v>
      </c>
      <c r="G14" s="85">
        <f t="shared" si="3"/>
        <v>58803303.3242972</v>
      </c>
      <c r="H14" s="85">
        <f t="shared" si="4"/>
        <v>55863138.158082336</v>
      </c>
      <c r="I14" s="85">
        <f t="shared" si="5"/>
        <v>52922972.99186748</v>
      </c>
      <c r="J14" s="85">
        <f t="shared" si="6"/>
        <v>63926825.23554819</v>
      </c>
      <c r="K14" s="85">
        <f t="shared" si="7"/>
        <v>60882690.700522095</v>
      </c>
      <c r="L14" s="85">
        <f t="shared" si="8"/>
        <v>57838556.16549599</v>
      </c>
      <c r="M14" s="85">
        <f t="shared" si="9"/>
        <v>54794421.63046989</v>
      </c>
      <c r="N14" s="85">
        <f t="shared" si="10"/>
        <v>66263469.77896762</v>
      </c>
      <c r="O14" s="85">
        <f t="shared" si="11"/>
        <v>63108066.45615965</v>
      </c>
      <c r="P14" s="85">
        <f t="shared" si="12"/>
        <v>59952663.13335167</v>
      </c>
      <c r="Q14" s="85">
        <f t="shared" si="19"/>
        <v>56797259.810543686</v>
      </c>
      <c r="R14" s="85">
        <f t="shared" si="13"/>
        <v>67272843.92440964</v>
      </c>
      <c r="S14" s="85">
        <f t="shared" si="14"/>
        <v>64069375.16610443</v>
      </c>
      <c r="T14" s="85">
        <f t="shared" si="15"/>
        <v>60865906.40779921</v>
      </c>
      <c r="U14" s="85">
        <f t="shared" si="16"/>
        <v>57662437.64949399</v>
      </c>
    </row>
    <row r="15" spans="1:21" ht="12.75">
      <c r="A15" s="85" t="s">
        <v>11</v>
      </c>
      <c r="B15" s="85">
        <f t="shared" si="17"/>
        <v>29963791.2</v>
      </c>
      <c r="C15" s="85">
        <f t="shared" si="0"/>
        <v>28536944</v>
      </c>
      <c r="D15" s="85">
        <f t="shared" si="1"/>
        <v>27110096.8</v>
      </c>
      <c r="E15" s="85">
        <f t="shared" si="18"/>
        <v>25683249.599999998</v>
      </c>
      <c r="F15" s="85">
        <f t="shared" si="2"/>
        <v>30354884.86024097</v>
      </c>
      <c r="G15" s="85">
        <f t="shared" si="3"/>
        <v>28909414.152610447</v>
      </c>
      <c r="H15" s="85">
        <f t="shared" si="4"/>
        <v>27463943.444979925</v>
      </c>
      <c r="I15" s="85">
        <f t="shared" si="5"/>
        <v>26018472.7373494</v>
      </c>
      <c r="J15" s="85">
        <f t="shared" si="6"/>
        <v>31428286.53696386</v>
      </c>
      <c r="K15" s="85">
        <f t="shared" si="7"/>
        <v>29931701.463775106</v>
      </c>
      <c r="L15" s="85">
        <f t="shared" si="8"/>
        <v>28435116.39058635</v>
      </c>
      <c r="M15" s="85">
        <f t="shared" si="9"/>
        <v>26938531.31739759</v>
      </c>
      <c r="N15" s="85">
        <f t="shared" si="10"/>
        <v>32577048.95360242</v>
      </c>
      <c r="O15" s="85">
        <f t="shared" si="11"/>
        <v>31025760.908192776</v>
      </c>
      <c r="P15" s="85">
        <f t="shared" si="12"/>
        <v>29474472.862783138</v>
      </c>
      <c r="Q15" s="85">
        <f t="shared" si="19"/>
        <v>27923184.817373496</v>
      </c>
      <c r="R15" s="85">
        <f t="shared" si="13"/>
        <v>33073286.64019278</v>
      </c>
      <c r="S15" s="85">
        <f t="shared" si="14"/>
        <v>31498368.228755027</v>
      </c>
      <c r="T15" s="85">
        <f t="shared" si="15"/>
        <v>29923449.817317273</v>
      </c>
      <c r="U15" s="85">
        <f t="shared" si="16"/>
        <v>28348531.40587952</v>
      </c>
    </row>
    <row r="16" spans="1:21" ht="12.75">
      <c r="A16" s="85" t="s">
        <v>12</v>
      </c>
      <c r="B16" s="85">
        <f t="shared" si="17"/>
        <v>3864132.8249999997</v>
      </c>
      <c r="C16" s="85">
        <f t="shared" si="0"/>
        <v>3680126.5</v>
      </c>
      <c r="D16" s="85">
        <f t="shared" si="1"/>
        <v>3496120.175</v>
      </c>
      <c r="E16" s="85">
        <f t="shared" si="18"/>
        <v>3312113.85</v>
      </c>
      <c r="F16" s="85">
        <f t="shared" si="2"/>
        <v>3914568.293599398</v>
      </c>
      <c r="G16" s="85">
        <f t="shared" si="3"/>
        <v>3728160.2796184747</v>
      </c>
      <c r="H16" s="85">
        <f t="shared" si="4"/>
        <v>3541752.2656375505</v>
      </c>
      <c r="I16" s="85">
        <f t="shared" si="5"/>
        <v>3355344.2516566273</v>
      </c>
      <c r="J16" s="85">
        <f t="shared" si="6"/>
        <v>4052994.2566475905</v>
      </c>
      <c r="K16" s="85">
        <f t="shared" si="7"/>
        <v>3859994.530140563</v>
      </c>
      <c r="L16" s="85">
        <f t="shared" si="8"/>
        <v>3666994.8036335343</v>
      </c>
      <c r="M16" s="85">
        <f t="shared" si="9"/>
        <v>3473995.0771265067</v>
      </c>
      <c r="N16" s="85">
        <f t="shared" si="10"/>
        <v>4201138.746529744</v>
      </c>
      <c r="O16" s="85">
        <f t="shared" si="11"/>
        <v>4001084.520504519</v>
      </c>
      <c r="P16" s="85">
        <f t="shared" si="12"/>
        <v>3801030.2944792924</v>
      </c>
      <c r="Q16" s="85">
        <f t="shared" si="19"/>
        <v>3600976.068454067</v>
      </c>
      <c r="R16" s="85">
        <f t="shared" si="13"/>
        <v>4265133.596879519</v>
      </c>
      <c r="S16" s="85">
        <f t="shared" si="14"/>
        <v>4062031.9970281133</v>
      </c>
      <c r="T16" s="85">
        <f t="shared" si="15"/>
        <v>3858930.397176707</v>
      </c>
      <c r="U16" s="85">
        <f t="shared" si="16"/>
        <v>3655828.7973253024</v>
      </c>
    </row>
    <row r="17" spans="1:21" ht="12.75">
      <c r="A17" s="85" t="s">
        <v>13</v>
      </c>
      <c r="B17" s="85">
        <f t="shared" si="17"/>
        <v>5253827.04</v>
      </c>
      <c r="C17" s="85">
        <f t="shared" si="0"/>
        <v>5003644.8</v>
      </c>
      <c r="D17" s="85">
        <f t="shared" si="1"/>
        <v>4753462.56</v>
      </c>
      <c r="E17" s="85">
        <f t="shared" si="18"/>
        <v>4503280.32</v>
      </c>
      <c r="F17" s="85">
        <f t="shared" si="2"/>
        <v>5322401.087710844</v>
      </c>
      <c r="G17" s="85">
        <f t="shared" si="3"/>
        <v>5068953.41686747</v>
      </c>
      <c r="H17" s="85">
        <f t="shared" si="4"/>
        <v>4815505.746024096</v>
      </c>
      <c r="I17" s="85">
        <f t="shared" si="5"/>
        <v>4562058.075180724</v>
      </c>
      <c r="J17" s="85">
        <f t="shared" si="6"/>
        <v>5510610.474043374</v>
      </c>
      <c r="K17" s="85">
        <f t="shared" si="7"/>
        <v>5248200.45146988</v>
      </c>
      <c r="L17" s="85">
        <f t="shared" si="8"/>
        <v>4985790.428896385</v>
      </c>
      <c r="M17" s="85">
        <f t="shared" si="9"/>
        <v>4723380.406322893</v>
      </c>
      <c r="N17" s="85">
        <f t="shared" si="10"/>
        <v>5712033.551877109</v>
      </c>
      <c r="O17" s="85">
        <f t="shared" si="11"/>
        <v>5440031.9541686755</v>
      </c>
      <c r="P17" s="85">
        <f t="shared" si="12"/>
        <v>5168030.356460241</v>
      </c>
      <c r="Q17" s="85">
        <f t="shared" si="19"/>
        <v>4896028.758751809</v>
      </c>
      <c r="R17" s="85">
        <f t="shared" si="13"/>
        <v>5799043.468568676</v>
      </c>
      <c r="S17" s="85">
        <f t="shared" si="14"/>
        <v>5522898.5414939765</v>
      </c>
      <c r="T17" s="85">
        <f t="shared" si="15"/>
        <v>5246753.614419277</v>
      </c>
      <c r="U17" s="85">
        <f t="shared" si="16"/>
        <v>4970608.68734458</v>
      </c>
    </row>
    <row r="18" spans="1:21" ht="12.75">
      <c r="A18" s="85" t="s">
        <v>14</v>
      </c>
      <c r="B18" s="85">
        <f t="shared" si="17"/>
        <v>49019207.37</v>
      </c>
      <c r="C18" s="85">
        <f t="shared" si="0"/>
        <v>46684959.400000006</v>
      </c>
      <c r="D18" s="85">
        <f t="shared" si="1"/>
        <v>44350711.43</v>
      </c>
      <c r="E18" s="85">
        <f t="shared" si="18"/>
        <v>42016463.46</v>
      </c>
      <c r="F18" s="85">
        <f t="shared" si="2"/>
        <v>49659016.30153615</v>
      </c>
      <c r="G18" s="85">
        <f t="shared" si="3"/>
        <v>47294301.23955825</v>
      </c>
      <c r="H18" s="85">
        <f t="shared" si="4"/>
        <v>44929586.17758033</v>
      </c>
      <c r="I18" s="85">
        <f t="shared" si="5"/>
        <v>42564871.11560242</v>
      </c>
      <c r="J18" s="85">
        <f t="shared" si="6"/>
        <v>51415045.73824458</v>
      </c>
      <c r="K18" s="85">
        <f t="shared" si="7"/>
        <v>48966710.22689962</v>
      </c>
      <c r="L18" s="85">
        <f t="shared" si="8"/>
        <v>46518374.715554625</v>
      </c>
      <c r="M18" s="85">
        <f t="shared" si="9"/>
        <v>44070039.20420965</v>
      </c>
      <c r="N18" s="85">
        <f t="shared" si="10"/>
        <v>53294361.43445286</v>
      </c>
      <c r="O18" s="85">
        <f t="shared" si="11"/>
        <v>50756534.69947894</v>
      </c>
      <c r="P18" s="85">
        <f t="shared" si="12"/>
        <v>48218707.96450498</v>
      </c>
      <c r="Q18" s="85">
        <f t="shared" si="19"/>
        <v>45680881.229531035</v>
      </c>
      <c r="R18" s="85">
        <f t="shared" si="13"/>
        <v>54106180.53642891</v>
      </c>
      <c r="S18" s="85">
        <f t="shared" si="14"/>
        <v>51529695.74897994</v>
      </c>
      <c r="T18" s="85">
        <f t="shared" si="15"/>
        <v>48953210.96153093</v>
      </c>
      <c r="U18" s="85">
        <f t="shared" si="16"/>
        <v>46376726.17408194</v>
      </c>
    </row>
    <row r="19" spans="1:21" ht="12.75">
      <c r="A19" s="85" t="s">
        <v>15</v>
      </c>
      <c r="B19" s="85">
        <f t="shared" si="17"/>
        <v>24752700.105</v>
      </c>
      <c r="C19" s="85">
        <f t="shared" si="0"/>
        <v>23574000.1</v>
      </c>
      <c r="D19" s="85">
        <f t="shared" si="1"/>
        <v>22395300.095</v>
      </c>
      <c r="E19" s="85">
        <f t="shared" si="18"/>
        <v>21216600.09</v>
      </c>
      <c r="F19" s="85">
        <f t="shared" si="2"/>
        <v>25075777.51600904</v>
      </c>
      <c r="G19" s="85">
        <f t="shared" si="3"/>
        <v>23881692.872389562</v>
      </c>
      <c r="H19" s="85">
        <f t="shared" si="4"/>
        <v>22687608.22877008</v>
      </c>
      <c r="I19" s="85">
        <f t="shared" si="5"/>
        <v>21493523.585150607</v>
      </c>
      <c r="J19" s="85">
        <f t="shared" si="6"/>
        <v>25962500.748686146</v>
      </c>
      <c r="K19" s="85">
        <f t="shared" si="7"/>
        <v>24726191.189224903</v>
      </c>
      <c r="L19" s="85">
        <f t="shared" si="8"/>
        <v>23489881.629763655</v>
      </c>
      <c r="M19" s="85">
        <f t="shared" si="9"/>
        <v>22253572.070302412</v>
      </c>
      <c r="N19" s="85">
        <f t="shared" si="10"/>
        <v>26911478.51325384</v>
      </c>
      <c r="O19" s="85">
        <f t="shared" si="11"/>
        <v>25629979.536432233</v>
      </c>
      <c r="P19" s="85">
        <f t="shared" si="12"/>
        <v>24348480.55961062</v>
      </c>
      <c r="Q19" s="85">
        <f t="shared" si="19"/>
        <v>23066981.582789008</v>
      </c>
      <c r="R19" s="85">
        <f t="shared" si="13"/>
        <v>27321414.04360723</v>
      </c>
      <c r="S19" s="85">
        <f t="shared" si="14"/>
        <v>26020394.327244986</v>
      </c>
      <c r="T19" s="85">
        <f t="shared" si="15"/>
        <v>24719374.610882733</v>
      </c>
      <c r="U19" s="85">
        <f t="shared" si="16"/>
        <v>23418354.894520484</v>
      </c>
    </row>
    <row r="20" spans="1:21" ht="12.75">
      <c r="A20" s="85" t="s">
        <v>16</v>
      </c>
      <c r="B20" s="85">
        <f t="shared" si="17"/>
        <v>11816872.514999999</v>
      </c>
      <c r="C20" s="85">
        <f t="shared" si="0"/>
        <v>11254164.3</v>
      </c>
      <c r="D20" s="85">
        <f t="shared" si="1"/>
        <v>10691456.085</v>
      </c>
      <c r="E20" s="85">
        <f t="shared" si="18"/>
        <v>10128747.87</v>
      </c>
      <c r="F20" s="85">
        <f t="shared" si="2"/>
        <v>11971108.802846387</v>
      </c>
      <c r="G20" s="85">
        <f t="shared" si="3"/>
        <v>11401056.002710845</v>
      </c>
      <c r="H20" s="85">
        <f t="shared" si="4"/>
        <v>10831003.202575304</v>
      </c>
      <c r="I20" s="85">
        <f t="shared" si="5"/>
        <v>10260950.40243976</v>
      </c>
      <c r="J20" s="85">
        <f t="shared" si="6"/>
        <v>12394428.091335543</v>
      </c>
      <c r="K20" s="85">
        <f t="shared" si="7"/>
        <v>11804217.229843374</v>
      </c>
      <c r="L20" s="85">
        <f t="shared" si="8"/>
        <v>11214006.368351206</v>
      </c>
      <c r="M20" s="85">
        <f t="shared" si="9"/>
        <v>10623795.506859036</v>
      </c>
      <c r="N20" s="85">
        <f t="shared" si="10"/>
        <v>12847467.526059715</v>
      </c>
      <c r="O20" s="85">
        <f t="shared" si="11"/>
        <v>12235683.35815211</v>
      </c>
      <c r="P20" s="85">
        <f t="shared" si="12"/>
        <v>11623899.190244505</v>
      </c>
      <c r="Q20" s="85">
        <f t="shared" si="19"/>
        <v>11012115.022336898</v>
      </c>
      <c r="R20" s="85">
        <f t="shared" si="13"/>
        <v>13043169.64667711</v>
      </c>
      <c r="S20" s="85">
        <f t="shared" si="14"/>
        <v>12422066.330168677</v>
      </c>
      <c r="T20" s="85">
        <f t="shared" si="15"/>
        <v>11800963.013660243</v>
      </c>
      <c r="U20" s="85">
        <f t="shared" si="16"/>
        <v>11179859.697151808</v>
      </c>
    </row>
    <row r="21" spans="1:21" ht="12.75">
      <c r="A21" s="85" t="s">
        <v>17</v>
      </c>
      <c r="B21" s="85">
        <f t="shared" si="17"/>
        <v>10343492.25</v>
      </c>
      <c r="C21" s="85">
        <f t="shared" si="0"/>
        <v>9850945</v>
      </c>
      <c r="D21" s="85">
        <f t="shared" si="1"/>
        <v>9358397.75</v>
      </c>
      <c r="E21" s="85">
        <f t="shared" si="18"/>
        <v>8865850.5</v>
      </c>
      <c r="F21" s="85">
        <f t="shared" si="2"/>
        <v>10478497.670933736</v>
      </c>
      <c r="G21" s="85">
        <f t="shared" si="3"/>
        <v>9979521.591365464</v>
      </c>
      <c r="H21" s="85">
        <f t="shared" si="4"/>
        <v>9480545.51179719</v>
      </c>
      <c r="I21" s="85">
        <f t="shared" si="5"/>
        <v>8981569.432228917</v>
      </c>
      <c r="J21" s="85">
        <f t="shared" si="6"/>
        <v>10849035.626234941</v>
      </c>
      <c r="K21" s="85">
        <f t="shared" si="7"/>
        <v>10332414.882128516</v>
      </c>
      <c r="L21" s="85">
        <f t="shared" si="8"/>
        <v>9815794.13802209</v>
      </c>
      <c r="M21" s="85">
        <f t="shared" si="9"/>
        <v>9299173.393915664</v>
      </c>
      <c r="N21" s="85">
        <f t="shared" si="10"/>
        <v>11245588.08764684</v>
      </c>
      <c r="O21" s="85">
        <f t="shared" si="11"/>
        <v>10710083.892996991</v>
      </c>
      <c r="P21" s="85">
        <f t="shared" si="12"/>
        <v>10174579.69834714</v>
      </c>
      <c r="Q21" s="85">
        <f t="shared" si="19"/>
        <v>9639075.503697291</v>
      </c>
      <c r="R21" s="85">
        <f t="shared" si="13"/>
        <v>11416889.19674699</v>
      </c>
      <c r="S21" s="85">
        <f t="shared" si="14"/>
        <v>10873227.806425706</v>
      </c>
      <c r="T21" s="85">
        <f t="shared" si="15"/>
        <v>10329566.41610442</v>
      </c>
      <c r="U21" s="85">
        <f t="shared" si="16"/>
        <v>9785905.025783135</v>
      </c>
    </row>
    <row r="22" spans="1:21" ht="12.75">
      <c r="A22" s="85" t="s">
        <v>18</v>
      </c>
      <c r="B22" s="85">
        <f t="shared" si="17"/>
        <v>15278058.809999999</v>
      </c>
      <c r="C22" s="85">
        <f t="shared" si="0"/>
        <v>14550532.200000001</v>
      </c>
      <c r="D22" s="85">
        <f t="shared" si="1"/>
        <v>13823005.59</v>
      </c>
      <c r="E22" s="85">
        <f t="shared" si="18"/>
        <v>13095478.98</v>
      </c>
      <c r="F22" s="85">
        <f t="shared" si="2"/>
        <v>15477471.224186748</v>
      </c>
      <c r="G22" s="85">
        <f t="shared" si="3"/>
        <v>14740448.784939762</v>
      </c>
      <c r="H22" s="85">
        <f t="shared" si="4"/>
        <v>14003426.345692772</v>
      </c>
      <c r="I22" s="85">
        <f t="shared" si="5"/>
        <v>13266403.906445786</v>
      </c>
      <c r="J22" s="85">
        <f t="shared" si="6"/>
        <v>16024781.60404699</v>
      </c>
      <c r="K22" s="85">
        <f t="shared" si="7"/>
        <v>15261696.765759038</v>
      </c>
      <c r="L22" s="85">
        <f t="shared" si="8"/>
        <v>14498611.927471085</v>
      </c>
      <c r="M22" s="85">
        <f t="shared" si="9"/>
        <v>13735527.089183135</v>
      </c>
      <c r="N22" s="85">
        <f t="shared" si="10"/>
        <v>16610517.22217937</v>
      </c>
      <c r="O22" s="85">
        <f t="shared" si="11"/>
        <v>15819540.2115994</v>
      </c>
      <c r="P22" s="85">
        <f t="shared" si="12"/>
        <v>15028563.201019429</v>
      </c>
      <c r="Q22" s="85">
        <f t="shared" si="19"/>
        <v>14237586.19043946</v>
      </c>
      <c r="R22" s="85">
        <f t="shared" si="13"/>
        <v>16863540.8969494</v>
      </c>
      <c r="S22" s="85">
        <f t="shared" si="14"/>
        <v>16060515.13995181</v>
      </c>
      <c r="T22" s="85">
        <f t="shared" si="15"/>
        <v>15257489.382954217</v>
      </c>
      <c r="U22" s="85">
        <f t="shared" si="16"/>
        <v>14454463.62595663</v>
      </c>
    </row>
    <row r="23" spans="1:21" ht="12.75">
      <c r="A23" s="85" t="s">
        <v>19</v>
      </c>
      <c r="B23" s="85">
        <f t="shared" si="17"/>
        <v>18323133.15</v>
      </c>
      <c r="C23" s="85">
        <f t="shared" si="0"/>
        <v>17450603</v>
      </c>
      <c r="D23" s="85">
        <f t="shared" si="1"/>
        <v>16578072.85</v>
      </c>
      <c r="E23" s="85">
        <f t="shared" si="18"/>
        <v>15705542.7</v>
      </c>
      <c r="F23" s="85">
        <f t="shared" si="2"/>
        <v>18562290.510391567</v>
      </c>
      <c r="G23" s="85">
        <f t="shared" si="3"/>
        <v>17678371.914658636</v>
      </c>
      <c r="H23" s="85">
        <f t="shared" si="4"/>
        <v>16794453.318925705</v>
      </c>
      <c r="I23" s="85">
        <f t="shared" si="5"/>
        <v>15910534.723192774</v>
      </c>
      <c r="J23" s="85">
        <f t="shared" si="6"/>
        <v>19218685.481066264</v>
      </c>
      <c r="K23" s="85">
        <f t="shared" si="7"/>
        <v>18303509.98196787</v>
      </c>
      <c r="L23" s="85">
        <f t="shared" si="8"/>
        <v>17388334.48286948</v>
      </c>
      <c r="M23" s="85">
        <f t="shared" si="9"/>
        <v>16473158.983771086</v>
      </c>
      <c r="N23" s="85">
        <f t="shared" si="10"/>
        <v>19921164.235416416</v>
      </c>
      <c r="O23" s="85">
        <f t="shared" si="11"/>
        <v>18972537.367063254</v>
      </c>
      <c r="P23" s="85">
        <f t="shared" si="12"/>
        <v>18023910.498710092</v>
      </c>
      <c r="Q23" s="85">
        <f t="shared" si="19"/>
        <v>17075283.63035693</v>
      </c>
      <c r="R23" s="85">
        <f t="shared" si="13"/>
        <v>20224618.132313255</v>
      </c>
      <c r="S23" s="85">
        <f t="shared" si="14"/>
        <v>19261541.078393575</v>
      </c>
      <c r="T23" s="85">
        <f t="shared" si="15"/>
        <v>18298464.024473898</v>
      </c>
      <c r="U23" s="85">
        <f t="shared" si="16"/>
        <v>17335386.97055422</v>
      </c>
    </row>
    <row r="24" spans="1:21" ht="12.75">
      <c r="A24" s="85" t="s">
        <v>20</v>
      </c>
      <c r="B24" s="85">
        <f t="shared" si="17"/>
        <v>5296426.274999999</v>
      </c>
      <c r="C24" s="85">
        <f t="shared" si="0"/>
        <v>5044215.5</v>
      </c>
      <c r="D24" s="85">
        <f t="shared" si="1"/>
        <v>4792004.725</v>
      </c>
      <c r="E24" s="85">
        <f t="shared" si="18"/>
        <v>4539793.95</v>
      </c>
      <c r="F24" s="85">
        <f t="shared" si="2"/>
        <v>5365556.336822289</v>
      </c>
      <c r="G24" s="85">
        <f t="shared" si="3"/>
        <v>5110053.654116467</v>
      </c>
      <c r="H24" s="85">
        <f t="shared" si="4"/>
        <v>4854550.971410643</v>
      </c>
      <c r="I24" s="85">
        <f t="shared" si="5"/>
        <v>4599048.28870482</v>
      </c>
      <c r="J24" s="85">
        <f t="shared" si="6"/>
        <v>5555291.768039157</v>
      </c>
      <c r="K24" s="85">
        <f t="shared" si="7"/>
        <v>5290754.064799197</v>
      </c>
      <c r="L24" s="85">
        <f t="shared" si="8"/>
        <v>5026216.361559237</v>
      </c>
      <c r="M24" s="85">
        <f t="shared" si="9"/>
        <v>4761678.658319278</v>
      </c>
      <c r="N24" s="85">
        <f t="shared" si="10"/>
        <v>5758348.030399473</v>
      </c>
      <c r="O24" s="85">
        <f t="shared" si="11"/>
        <v>5484140.981332832</v>
      </c>
      <c r="P24" s="85">
        <f t="shared" si="12"/>
        <v>5209933.932266191</v>
      </c>
      <c r="Q24" s="85">
        <f t="shared" si="19"/>
        <v>4935726.883199549</v>
      </c>
      <c r="R24" s="85">
        <f t="shared" si="13"/>
        <v>5846063.443457832</v>
      </c>
      <c r="S24" s="85">
        <f t="shared" si="14"/>
        <v>5567679.46995984</v>
      </c>
      <c r="T24" s="85">
        <f t="shared" si="15"/>
        <v>5289295.496461849</v>
      </c>
      <c r="U24" s="85">
        <f t="shared" si="16"/>
        <v>5010911.522963856</v>
      </c>
    </row>
    <row r="25" spans="1:21" ht="12.75">
      <c r="A25" s="85" t="s">
        <v>21</v>
      </c>
      <c r="B25" s="85">
        <f t="shared" si="17"/>
        <v>19380230.52</v>
      </c>
      <c r="C25" s="85">
        <f t="shared" si="0"/>
        <v>18457362.400000002</v>
      </c>
      <c r="D25" s="85">
        <f t="shared" si="1"/>
        <v>17534494.28</v>
      </c>
      <c r="E25" s="85">
        <f t="shared" si="18"/>
        <v>16611626.16</v>
      </c>
      <c r="F25" s="85">
        <f t="shared" si="2"/>
        <v>19633185.336024098</v>
      </c>
      <c r="G25" s="85">
        <f t="shared" si="3"/>
        <v>18698271.74859438</v>
      </c>
      <c r="H25" s="85">
        <f t="shared" si="4"/>
        <v>17763358.161164664</v>
      </c>
      <c r="I25" s="85">
        <f t="shared" si="5"/>
        <v>16828444.573734943</v>
      </c>
      <c r="J25" s="85">
        <f t="shared" si="6"/>
        <v>20327449.015696388</v>
      </c>
      <c r="K25" s="85">
        <f t="shared" si="7"/>
        <v>19359475.25304418</v>
      </c>
      <c r="L25" s="85">
        <f t="shared" si="8"/>
        <v>18391501.490391973</v>
      </c>
      <c r="M25" s="85">
        <f t="shared" si="9"/>
        <v>17423527.727739763</v>
      </c>
      <c r="N25" s="85">
        <f t="shared" si="10"/>
        <v>21070455.142610244</v>
      </c>
      <c r="O25" s="85">
        <f t="shared" si="11"/>
        <v>20067100.135819282</v>
      </c>
      <c r="P25" s="85">
        <f t="shared" si="12"/>
        <v>19063745.12902832</v>
      </c>
      <c r="Q25" s="85">
        <f t="shared" si="19"/>
        <v>18060390.122237355</v>
      </c>
      <c r="R25" s="85">
        <f t="shared" si="13"/>
        <v>21391415.888019282</v>
      </c>
      <c r="S25" s="85">
        <f t="shared" si="14"/>
        <v>20372777.036208842</v>
      </c>
      <c r="T25" s="85">
        <f t="shared" si="15"/>
        <v>19354138.1843984</v>
      </c>
      <c r="U25" s="85">
        <f t="shared" si="16"/>
        <v>18335499.332587957</v>
      </c>
    </row>
    <row r="26" spans="1:21" ht="12.75">
      <c r="A26" s="85" t="s">
        <v>22</v>
      </c>
      <c r="B26" s="85">
        <f t="shared" si="17"/>
        <v>27476502.375</v>
      </c>
      <c r="C26" s="85">
        <f t="shared" si="0"/>
        <v>26168097.5</v>
      </c>
      <c r="D26" s="85">
        <f t="shared" si="1"/>
        <v>24859692.625</v>
      </c>
      <c r="E26" s="85">
        <f t="shared" si="18"/>
        <v>23551287.75</v>
      </c>
      <c r="F26" s="85">
        <f t="shared" si="2"/>
        <v>27835131.422063258</v>
      </c>
      <c r="G26" s="85">
        <f t="shared" si="3"/>
        <v>26509648.973393578</v>
      </c>
      <c r="H26" s="85">
        <f t="shared" si="4"/>
        <v>25184166.5247239</v>
      </c>
      <c r="I26" s="85">
        <f t="shared" si="5"/>
        <v>23858684.07605422</v>
      </c>
      <c r="J26" s="85">
        <f t="shared" si="6"/>
        <v>28819430.222003017</v>
      </c>
      <c r="K26" s="85">
        <f t="shared" si="7"/>
        <v>27447076.401907634</v>
      </c>
      <c r="L26" s="85">
        <f t="shared" si="8"/>
        <v>26074722.58181225</v>
      </c>
      <c r="M26" s="85">
        <f t="shared" si="9"/>
        <v>24702368.76171687</v>
      </c>
      <c r="N26" s="85">
        <f t="shared" si="10"/>
        <v>29872834.08062689</v>
      </c>
      <c r="O26" s="85">
        <f t="shared" si="11"/>
        <v>28450318.172025606</v>
      </c>
      <c r="P26" s="85">
        <f t="shared" si="12"/>
        <v>27027802.263424326</v>
      </c>
      <c r="Q26" s="85">
        <f t="shared" si="19"/>
        <v>25605286.354823045</v>
      </c>
      <c r="R26" s="85">
        <f t="shared" si="13"/>
        <v>30327879.16765061</v>
      </c>
      <c r="S26" s="85">
        <f t="shared" si="14"/>
        <v>28883694.44538153</v>
      </c>
      <c r="T26" s="85">
        <f t="shared" si="15"/>
        <v>27439509.723112453</v>
      </c>
      <c r="U26" s="85">
        <f t="shared" si="16"/>
        <v>25995325.000843376</v>
      </c>
    </row>
    <row r="27" spans="1:21" ht="12.75">
      <c r="A27" s="85" t="s">
        <v>23</v>
      </c>
      <c r="B27" s="85">
        <f t="shared" si="17"/>
        <v>38772484.8</v>
      </c>
      <c r="C27" s="85">
        <f t="shared" si="0"/>
        <v>36926176</v>
      </c>
      <c r="D27" s="85">
        <f t="shared" si="1"/>
        <v>35079867.2</v>
      </c>
      <c r="E27" s="85">
        <f t="shared" si="18"/>
        <v>33233558.4</v>
      </c>
      <c r="F27" s="85">
        <f t="shared" si="2"/>
        <v>39278551.3686747</v>
      </c>
      <c r="G27" s="85">
        <f t="shared" si="3"/>
        <v>37408144.16064258</v>
      </c>
      <c r="H27" s="85">
        <f t="shared" si="4"/>
        <v>35537736.95261045</v>
      </c>
      <c r="I27" s="85">
        <f t="shared" si="5"/>
        <v>33667329.74457832</v>
      </c>
      <c r="J27" s="85">
        <f t="shared" si="6"/>
        <v>40667509.458698794</v>
      </c>
      <c r="K27" s="85">
        <f t="shared" si="7"/>
        <v>38730961.38923696</v>
      </c>
      <c r="L27" s="85">
        <f t="shared" si="8"/>
        <v>36794413.319775105</v>
      </c>
      <c r="M27" s="85">
        <f t="shared" si="9"/>
        <v>34857865.25031325</v>
      </c>
      <c r="N27" s="85">
        <f t="shared" si="10"/>
        <v>42153982.68368675</v>
      </c>
      <c r="O27" s="85">
        <f t="shared" si="11"/>
        <v>40146650.17493977</v>
      </c>
      <c r="P27" s="85">
        <f t="shared" si="12"/>
        <v>38139317.66619278</v>
      </c>
      <c r="Q27" s="85">
        <f t="shared" si="19"/>
        <v>36131985.15744578</v>
      </c>
      <c r="R27" s="85">
        <f t="shared" si="13"/>
        <v>42796103.30293976</v>
      </c>
      <c r="S27" s="85">
        <f t="shared" si="14"/>
        <v>40758193.6218474</v>
      </c>
      <c r="T27" s="85">
        <f t="shared" si="15"/>
        <v>38720283.940755025</v>
      </c>
      <c r="U27" s="85">
        <f t="shared" si="16"/>
        <v>36682374.25966265</v>
      </c>
    </row>
    <row r="28" spans="1:21" ht="12.75">
      <c r="A28" s="85" t="s">
        <v>24</v>
      </c>
      <c r="B28" s="85">
        <f t="shared" si="17"/>
        <v>18373426.47</v>
      </c>
      <c r="C28" s="85">
        <f t="shared" si="0"/>
        <v>17498501.400000002</v>
      </c>
      <c r="D28" s="85">
        <f t="shared" si="1"/>
        <v>16623576.33</v>
      </c>
      <c r="E28" s="85">
        <f t="shared" si="18"/>
        <v>15748651.26</v>
      </c>
      <c r="F28" s="85">
        <f t="shared" si="2"/>
        <v>18613240.26930723</v>
      </c>
      <c r="G28" s="85">
        <f t="shared" si="3"/>
        <v>17726895.494578317</v>
      </c>
      <c r="H28" s="85">
        <f t="shared" si="4"/>
        <v>16840550.7198494</v>
      </c>
      <c r="I28" s="85">
        <f t="shared" si="5"/>
        <v>15954205.945120484</v>
      </c>
      <c r="J28" s="85">
        <f t="shared" si="6"/>
        <v>19271436.912328914</v>
      </c>
      <c r="K28" s="85">
        <f t="shared" si="7"/>
        <v>18353749.440313257</v>
      </c>
      <c r="L28" s="85">
        <f t="shared" si="8"/>
        <v>17436061.968297593</v>
      </c>
      <c r="M28" s="85">
        <f t="shared" si="9"/>
        <v>16518374.49628193</v>
      </c>
      <c r="N28" s="85">
        <f t="shared" si="10"/>
        <v>19975843.82975557</v>
      </c>
      <c r="O28" s="85">
        <f t="shared" si="11"/>
        <v>19024613.17119579</v>
      </c>
      <c r="P28" s="85">
        <f t="shared" si="12"/>
        <v>18073382.512636</v>
      </c>
      <c r="Q28" s="85">
        <f t="shared" si="19"/>
        <v>17122151.854076207</v>
      </c>
      <c r="R28" s="85">
        <f t="shared" si="13"/>
        <v>20280130.64664578</v>
      </c>
      <c r="S28" s="85">
        <f t="shared" si="14"/>
        <v>19314410.139662657</v>
      </c>
      <c r="T28" s="85">
        <f t="shared" si="15"/>
        <v>18348689.632679522</v>
      </c>
      <c r="U28" s="85">
        <f t="shared" si="16"/>
        <v>17382969.125696387</v>
      </c>
    </row>
    <row r="29" spans="1:21" ht="12.75">
      <c r="A29" s="85" t="s">
        <v>25</v>
      </c>
      <c r="B29" s="85">
        <f t="shared" si="17"/>
        <v>11518766.91</v>
      </c>
      <c r="C29" s="85">
        <f t="shared" si="0"/>
        <v>10970254.200000001</v>
      </c>
      <c r="D29" s="85">
        <f t="shared" si="1"/>
        <v>10421741.49</v>
      </c>
      <c r="E29" s="85">
        <f t="shared" si="18"/>
        <v>9873228.78</v>
      </c>
      <c r="F29" s="85">
        <f t="shared" si="2"/>
        <v>11669112.261234941</v>
      </c>
      <c r="G29" s="85">
        <f t="shared" si="3"/>
        <v>11113440.248795183</v>
      </c>
      <c r="H29" s="85">
        <f t="shared" si="4"/>
        <v>10557768.236355424</v>
      </c>
      <c r="I29" s="85">
        <f t="shared" si="5"/>
        <v>10002096.223915664</v>
      </c>
      <c r="J29" s="85">
        <f t="shared" si="6"/>
        <v>12081752.42523976</v>
      </c>
      <c r="K29" s="85">
        <f t="shared" si="7"/>
        <v>11506430.881180726</v>
      </c>
      <c r="L29" s="85">
        <f t="shared" si="8"/>
        <v>10931109.337121688</v>
      </c>
      <c r="M29" s="85">
        <f t="shared" si="9"/>
        <v>10355787.793062652</v>
      </c>
      <c r="N29" s="85">
        <f t="shared" si="10"/>
        <v>12523362.98192485</v>
      </c>
      <c r="O29" s="85">
        <f t="shared" si="11"/>
        <v>11927012.363737956</v>
      </c>
      <c r="P29" s="85">
        <f t="shared" si="12"/>
        <v>11330661.745551055</v>
      </c>
      <c r="Q29" s="85">
        <f t="shared" si="19"/>
        <v>10734311.127364159</v>
      </c>
      <c r="R29" s="85">
        <f t="shared" si="13"/>
        <v>12714128.102587953</v>
      </c>
      <c r="S29" s="85">
        <f t="shared" si="14"/>
        <v>12108693.431036148</v>
      </c>
      <c r="T29" s="85">
        <f t="shared" si="15"/>
        <v>11503258.75948434</v>
      </c>
      <c r="U29" s="85">
        <f t="shared" si="16"/>
        <v>10897824.087932533</v>
      </c>
    </row>
    <row r="30" spans="1:21" ht="12.75">
      <c r="A30" s="85" t="s">
        <v>26</v>
      </c>
      <c r="B30" s="85">
        <f t="shared" si="17"/>
        <v>21986963.46</v>
      </c>
      <c r="C30" s="85">
        <f t="shared" si="0"/>
        <v>20939965.200000003</v>
      </c>
      <c r="D30" s="85">
        <f t="shared" si="1"/>
        <v>19892966.94</v>
      </c>
      <c r="E30" s="85">
        <f t="shared" si="18"/>
        <v>18845968.68</v>
      </c>
      <c r="F30" s="85">
        <f t="shared" si="2"/>
        <v>22273941.898734946</v>
      </c>
      <c r="G30" s="85">
        <f t="shared" si="3"/>
        <v>21213277.99879519</v>
      </c>
      <c r="H30" s="85">
        <f t="shared" si="4"/>
        <v>20152614.098855425</v>
      </c>
      <c r="I30" s="85">
        <f t="shared" si="5"/>
        <v>19091950.198915664</v>
      </c>
      <c r="J30" s="85">
        <f t="shared" si="6"/>
        <v>23061587.336739764</v>
      </c>
      <c r="K30" s="85">
        <f t="shared" si="7"/>
        <v>21963416.51118073</v>
      </c>
      <c r="L30" s="85">
        <f t="shared" si="8"/>
        <v>20865245.68562169</v>
      </c>
      <c r="M30" s="85">
        <f t="shared" si="9"/>
        <v>19767074.86006265</v>
      </c>
      <c r="N30" s="85">
        <f t="shared" si="10"/>
        <v>23904531.312362354</v>
      </c>
      <c r="O30" s="85">
        <f t="shared" si="11"/>
        <v>22766220.29748796</v>
      </c>
      <c r="P30" s="85">
        <f t="shared" si="12"/>
        <v>21627909.282613557</v>
      </c>
      <c r="Q30" s="85">
        <f t="shared" si="19"/>
        <v>20489598.267739158</v>
      </c>
      <c r="R30" s="85">
        <f t="shared" si="13"/>
        <v>24268662.800587956</v>
      </c>
      <c r="S30" s="85">
        <f t="shared" si="14"/>
        <v>23113012.191036154</v>
      </c>
      <c r="T30" s="85">
        <f t="shared" si="15"/>
        <v>21957361.58148434</v>
      </c>
      <c r="U30" s="85">
        <f t="shared" si="16"/>
        <v>20801710.97193253</v>
      </c>
    </row>
    <row r="31" spans="1:21" ht="12.75">
      <c r="A31" s="85" t="s">
        <v>27</v>
      </c>
      <c r="B31" s="85">
        <f t="shared" si="17"/>
        <v>3557299.1999999997</v>
      </c>
      <c r="C31" s="85">
        <f t="shared" si="0"/>
        <v>3387904</v>
      </c>
      <c r="D31" s="85">
        <f t="shared" si="1"/>
        <v>3218508.8</v>
      </c>
      <c r="E31" s="85">
        <f t="shared" si="18"/>
        <v>3049113.6</v>
      </c>
      <c r="F31" s="85">
        <f t="shared" si="2"/>
        <v>3603729.812048193</v>
      </c>
      <c r="G31" s="85">
        <f t="shared" si="3"/>
        <v>3432123.630522089</v>
      </c>
      <c r="H31" s="85">
        <f t="shared" si="4"/>
        <v>3260517.448995984</v>
      </c>
      <c r="I31" s="85">
        <f t="shared" si="5"/>
        <v>3088911.26746988</v>
      </c>
      <c r="J31" s="85">
        <f t="shared" si="6"/>
        <v>3731163.9841927714</v>
      </c>
      <c r="K31" s="85">
        <f t="shared" si="7"/>
        <v>3553489.508755021</v>
      </c>
      <c r="L31" s="85">
        <f t="shared" si="8"/>
        <v>3375815.0333172693</v>
      </c>
      <c r="M31" s="85">
        <f t="shared" si="9"/>
        <v>3198140.5578795187</v>
      </c>
      <c r="N31" s="85">
        <f t="shared" si="10"/>
        <v>3867544.9781204825</v>
      </c>
      <c r="O31" s="85">
        <f t="shared" si="11"/>
        <v>3683376.169638555</v>
      </c>
      <c r="P31" s="85">
        <f t="shared" si="12"/>
        <v>3499207.361156627</v>
      </c>
      <c r="Q31" s="85">
        <f t="shared" si="19"/>
        <v>3315038.5526746996</v>
      </c>
      <c r="R31" s="85">
        <f t="shared" si="13"/>
        <v>3926458.2816385548</v>
      </c>
      <c r="S31" s="85">
        <f t="shared" si="14"/>
        <v>3739484.077751005</v>
      </c>
      <c r="T31" s="85">
        <f t="shared" si="15"/>
        <v>3552509.8738634544</v>
      </c>
      <c r="U31" s="85">
        <f t="shared" si="16"/>
        <v>3365535.6699759043</v>
      </c>
    </row>
    <row r="32" spans="1:21" ht="12.75">
      <c r="A32" s="85" t="s">
        <v>28</v>
      </c>
      <c r="B32" s="85">
        <f t="shared" si="17"/>
        <v>7227547.005</v>
      </c>
      <c r="C32" s="85">
        <f t="shared" si="0"/>
        <v>6883378.100000001</v>
      </c>
      <c r="D32" s="85">
        <f t="shared" si="1"/>
        <v>6539209.195</v>
      </c>
      <c r="E32" s="85">
        <f t="shared" si="18"/>
        <v>6195040.29</v>
      </c>
      <c r="F32" s="85">
        <f t="shared" si="2"/>
        <v>7321882.457876507</v>
      </c>
      <c r="G32" s="85">
        <f t="shared" si="3"/>
        <v>6973221.388453817</v>
      </c>
      <c r="H32" s="85">
        <f t="shared" si="4"/>
        <v>6624560.319031126</v>
      </c>
      <c r="I32" s="85">
        <f t="shared" si="5"/>
        <v>6275899.249608435</v>
      </c>
      <c r="J32" s="85">
        <f t="shared" si="6"/>
        <v>7580796.993156025</v>
      </c>
      <c r="K32" s="85">
        <f t="shared" si="7"/>
        <v>7219806.660148595</v>
      </c>
      <c r="L32" s="85">
        <f t="shared" si="8"/>
        <v>6858816.327141166</v>
      </c>
      <c r="M32" s="85">
        <f t="shared" si="9"/>
        <v>6497825.994133736</v>
      </c>
      <c r="N32" s="85">
        <f t="shared" si="10"/>
        <v>7857889.244547516</v>
      </c>
      <c r="O32" s="85">
        <f t="shared" si="11"/>
        <v>7483704.042426206</v>
      </c>
      <c r="P32" s="85">
        <f t="shared" si="12"/>
        <v>7109518.840304896</v>
      </c>
      <c r="Q32" s="85">
        <f t="shared" si="19"/>
        <v>6735333.638183585</v>
      </c>
      <c r="R32" s="85">
        <f t="shared" si="13"/>
        <v>7977586.421101206</v>
      </c>
      <c r="S32" s="85">
        <f t="shared" si="14"/>
        <v>7597701.353429721</v>
      </c>
      <c r="T32" s="85">
        <f t="shared" si="15"/>
        <v>7217816.285758235</v>
      </c>
      <c r="U32" s="85">
        <f t="shared" si="16"/>
        <v>6837931.218086748</v>
      </c>
    </row>
    <row r="33" spans="1:21" ht="12.75">
      <c r="A33" s="85" t="s">
        <v>29</v>
      </c>
      <c r="B33" s="85">
        <f t="shared" si="17"/>
        <v>6409874.52</v>
      </c>
      <c r="C33" s="85">
        <f t="shared" si="0"/>
        <v>6104642.4</v>
      </c>
      <c r="D33" s="85">
        <f t="shared" si="1"/>
        <v>5799410.28</v>
      </c>
      <c r="E33" s="85">
        <f t="shared" si="18"/>
        <v>5494178.16</v>
      </c>
      <c r="F33" s="85">
        <f t="shared" si="2"/>
        <v>6493537.540843374</v>
      </c>
      <c r="G33" s="85">
        <f t="shared" si="3"/>
        <v>6184321.467469881</v>
      </c>
      <c r="H33" s="85">
        <f t="shared" si="4"/>
        <v>5875105.394096387</v>
      </c>
      <c r="I33" s="85">
        <f t="shared" si="5"/>
        <v>5565889.320722893</v>
      </c>
      <c r="J33" s="85">
        <f t="shared" si="6"/>
        <v>6723160.354973494</v>
      </c>
      <c r="K33" s="85">
        <f t="shared" si="7"/>
        <v>6403009.861879519</v>
      </c>
      <c r="L33" s="85">
        <f t="shared" si="8"/>
        <v>6082859.368785543</v>
      </c>
      <c r="M33" s="85">
        <f t="shared" si="9"/>
        <v>5762708.875691568</v>
      </c>
      <c r="N33" s="85">
        <f t="shared" si="10"/>
        <v>6968904.389658434</v>
      </c>
      <c r="O33" s="85">
        <f t="shared" si="11"/>
        <v>6637051.7996747</v>
      </c>
      <c r="P33" s="85">
        <f t="shared" si="12"/>
        <v>6305199.209690966</v>
      </c>
      <c r="Q33" s="85">
        <f t="shared" si="19"/>
        <v>5973346.6197072305</v>
      </c>
      <c r="R33" s="85">
        <f t="shared" si="13"/>
        <v>7075059.8918747</v>
      </c>
      <c r="S33" s="85">
        <f t="shared" si="14"/>
        <v>6738152.277975905</v>
      </c>
      <c r="T33" s="85">
        <f t="shared" si="15"/>
        <v>6401244.664077111</v>
      </c>
      <c r="U33" s="85">
        <f t="shared" si="16"/>
        <v>6064337.050178315</v>
      </c>
    </row>
    <row r="34" spans="1:21" ht="12.75">
      <c r="A34" s="85" t="s">
        <v>30</v>
      </c>
      <c r="B34" s="85">
        <f t="shared" si="17"/>
        <v>4593497.685</v>
      </c>
      <c r="C34" s="85">
        <f t="shared" si="0"/>
        <v>4374759.7</v>
      </c>
      <c r="D34" s="85">
        <f t="shared" si="1"/>
        <v>4156021.715</v>
      </c>
      <c r="E34" s="85">
        <f t="shared" si="18"/>
        <v>3937283.73</v>
      </c>
      <c r="F34" s="85">
        <f t="shared" si="2"/>
        <v>4653452.976069277</v>
      </c>
      <c r="G34" s="85">
        <f t="shared" si="3"/>
        <v>4431859.977208836</v>
      </c>
      <c r="H34" s="85">
        <f t="shared" si="4"/>
        <v>4210266.978348394</v>
      </c>
      <c r="I34" s="85">
        <f t="shared" si="5"/>
        <v>3988673.9794879523</v>
      </c>
      <c r="J34" s="85">
        <f t="shared" si="6"/>
        <v>4818007.190327108</v>
      </c>
      <c r="K34" s="85">
        <f t="shared" si="7"/>
        <v>4588578.276502009</v>
      </c>
      <c r="L34" s="85">
        <f t="shared" si="8"/>
        <v>4359149.362676907</v>
      </c>
      <c r="M34" s="85">
        <f t="shared" si="9"/>
        <v>4129720.4488518075</v>
      </c>
      <c r="N34" s="85">
        <f t="shared" si="10"/>
        <v>4994114.327979443</v>
      </c>
      <c r="O34" s="85">
        <f t="shared" si="11"/>
        <v>4756299.359980422</v>
      </c>
      <c r="P34" s="85">
        <f t="shared" si="12"/>
        <v>4518484.391981401</v>
      </c>
      <c r="Q34" s="85">
        <f t="shared" si="19"/>
        <v>4280669.42398238</v>
      </c>
      <c r="R34" s="85">
        <f t="shared" si="13"/>
        <v>5070188.368455422</v>
      </c>
      <c r="S34" s="85">
        <f t="shared" si="14"/>
        <v>4828750.827100402</v>
      </c>
      <c r="T34" s="85">
        <f t="shared" si="15"/>
        <v>4587313.285745381</v>
      </c>
      <c r="U34" s="85">
        <f t="shared" si="16"/>
        <v>4345875.744390362</v>
      </c>
    </row>
    <row r="35" spans="1:21" ht="12.75">
      <c r="A35" s="85" t="s">
        <v>31</v>
      </c>
      <c r="B35" s="85">
        <f t="shared" si="17"/>
        <v>34986656.25</v>
      </c>
      <c r="C35" s="85">
        <f t="shared" si="0"/>
        <v>33320625</v>
      </c>
      <c r="D35" s="85">
        <f t="shared" si="1"/>
        <v>31654593.75</v>
      </c>
      <c r="E35" s="85">
        <f t="shared" si="18"/>
        <v>29988562.5</v>
      </c>
      <c r="F35" s="85">
        <f t="shared" si="2"/>
        <v>35443309.39382531</v>
      </c>
      <c r="G35" s="85">
        <f t="shared" si="3"/>
        <v>33755532.7560241</v>
      </c>
      <c r="H35" s="85">
        <f t="shared" si="4"/>
        <v>32067756.118222896</v>
      </c>
      <c r="I35" s="85">
        <f t="shared" si="5"/>
        <v>30379979.480421692</v>
      </c>
      <c r="J35" s="85">
        <f t="shared" si="6"/>
        <v>36696646.63780121</v>
      </c>
      <c r="K35" s="85">
        <f t="shared" si="7"/>
        <v>34949187.274096385</v>
      </c>
      <c r="L35" s="85">
        <f t="shared" si="8"/>
        <v>33201727.91039157</v>
      </c>
      <c r="M35" s="85">
        <f t="shared" si="9"/>
        <v>31454268.54668675</v>
      </c>
      <c r="N35" s="85">
        <f t="shared" si="10"/>
        <v>38037977.429875754</v>
      </c>
      <c r="O35" s="85">
        <f t="shared" si="11"/>
        <v>36226645.17131024</v>
      </c>
      <c r="P35" s="85">
        <f t="shared" si="12"/>
        <v>34415312.91274473</v>
      </c>
      <c r="Q35" s="85">
        <f t="shared" si="19"/>
        <v>32603980.654179223</v>
      </c>
      <c r="R35" s="85">
        <f t="shared" si="13"/>
        <v>38617400.015060246</v>
      </c>
      <c r="S35" s="85">
        <f t="shared" si="14"/>
        <v>36778476.20481928</v>
      </c>
      <c r="T35" s="85">
        <f t="shared" si="15"/>
        <v>34939552.394578315</v>
      </c>
      <c r="U35" s="85">
        <f t="shared" si="16"/>
        <v>33100628.584337357</v>
      </c>
    </row>
    <row r="36" spans="1:21" ht="12.75">
      <c r="A36" s="85" t="s">
        <v>32</v>
      </c>
      <c r="B36" s="85">
        <f t="shared" si="17"/>
        <v>8821631.805</v>
      </c>
      <c r="C36" s="85">
        <f t="shared" si="0"/>
        <v>8401554.1</v>
      </c>
      <c r="D36" s="85">
        <f t="shared" si="1"/>
        <v>7981476.3950000005</v>
      </c>
      <c r="E36" s="85">
        <f t="shared" si="18"/>
        <v>7561398.6899999995</v>
      </c>
      <c r="F36" s="85">
        <f t="shared" si="2"/>
        <v>8936773.58558735</v>
      </c>
      <c r="G36" s="85">
        <f t="shared" si="3"/>
        <v>8511212.93865462</v>
      </c>
      <c r="H36" s="85">
        <f t="shared" si="4"/>
        <v>8085652.29172189</v>
      </c>
      <c r="I36" s="85">
        <f t="shared" si="5"/>
        <v>7660091.644789157</v>
      </c>
      <c r="J36" s="85">
        <f t="shared" si="6"/>
        <v>9252793.487999398</v>
      </c>
      <c r="K36" s="85">
        <f t="shared" si="7"/>
        <v>8812184.274285141</v>
      </c>
      <c r="L36" s="85">
        <f t="shared" si="8"/>
        <v>8371575.060570885</v>
      </c>
      <c r="M36" s="85">
        <f t="shared" si="9"/>
        <v>7930965.846856627</v>
      </c>
      <c r="N36" s="85">
        <f t="shared" si="10"/>
        <v>9591000.325824624</v>
      </c>
      <c r="O36" s="85">
        <f t="shared" si="11"/>
        <v>9134286.02459488</v>
      </c>
      <c r="P36" s="85">
        <f t="shared" si="12"/>
        <v>8677571.723365137</v>
      </c>
      <c r="Q36" s="85">
        <f t="shared" si="19"/>
        <v>8220857.422135392</v>
      </c>
      <c r="R36" s="85">
        <f t="shared" si="13"/>
        <v>9737097.53126988</v>
      </c>
      <c r="S36" s="85">
        <f t="shared" si="14"/>
        <v>9273426.220257029</v>
      </c>
      <c r="T36" s="85">
        <f t="shared" si="15"/>
        <v>8809754.909244178</v>
      </c>
      <c r="U36" s="85">
        <f t="shared" si="16"/>
        <v>8346083.598231326</v>
      </c>
    </row>
    <row r="37" spans="1:21" ht="12.75">
      <c r="A37" s="85" t="s">
        <v>33</v>
      </c>
      <c r="B37" s="85">
        <f aca="true" t="shared" si="20" ref="B37:B55">0.105*VLOOKUP($A37,fund_table,MATCH(B$3,year_row,0),0)</f>
        <v>73477872.825</v>
      </c>
      <c r="C37" s="85">
        <f aca="true" t="shared" si="21" ref="C37:C55">0.1*VLOOKUP($A37,fund_table,MATCH(C$3,year_row,0),0)</f>
        <v>69978926.5</v>
      </c>
      <c r="D37" s="85">
        <f aca="true" t="shared" si="22" ref="D37:D55">0.095*VLOOKUP($A37,fund_table,MATCH(D$3,year_row,0),0)</f>
        <v>66479980.175000004</v>
      </c>
      <c r="E37" s="85">
        <f aca="true" t="shared" si="23" ref="E37:E55">0.09*VLOOKUP($A37,fund_table,MATCH(E$3,year_row,0),0)</f>
        <v>62981033.849999994</v>
      </c>
      <c r="F37" s="85">
        <f aca="true" t="shared" si="24" ref="F37:F55">B37*(VLOOKUP("FY Inflation",FY_Inflation,MATCH(F$3-1,FY_Inflation_year_row,0),0)+1)</f>
        <v>74436921.36588857</v>
      </c>
      <c r="G37" s="85">
        <f aca="true" t="shared" si="25" ref="G37:G55">C37*(VLOOKUP("FY Inflation",FY_Inflation,MATCH(G$3-1,FY_Inflation_year_row,0),0)+1)</f>
        <v>70892306.06275101</v>
      </c>
      <c r="H37" s="85">
        <f aca="true" t="shared" si="26" ref="H37:H55">D37*(VLOOKUP("FY Inflation",FY_Inflation,MATCH(H$3-1,FY_Inflation_year_row,0),0)+1)</f>
        <v>67347690.75961347</v>
      </c>
      <c r="I37" s="85">
        <f aca="true" t="shared" si="27" ref="I37:I55">E37*(VLOOKUP("FY Inflation",FY_Inflation,MATCH(I$3-1,FY_Inflation_year_row,0),0)+1)</f>
        <v>63803075.456475906</v>
      </c>
      <c r="J37" s="85">
        <f aca="true" t="shared" si="28" ref="J37:J55">F37*(VLOOKUP("FY Inflation",FY_Inflation,MATCH(J$3-1,FY_Inflation_year_row,0),0)+1)</f>
        <v>77069140.74580422</v>
      </c>
      <c r="K37" s="85">
        <f aca="true" t="shared" si="29" ref="K37:K55">G37*(VLOOKUP("FY Inflation",FY_Inflation,MATCH(K$3-1,FY_Inflation_year_row,0),0)+1)</f>
        <v>73399181.66267069</v>
      </c>
      <c r="L37" s="85">
        <f aca="true" t="shared" si="30" ref="L37:L55">H37*(VLOOKUP("FY Inflation",FY_Inflation,MATCH(L$3-1,FY_Inflation_year_row,0),0)+1)</f>
        <v>69729222.57953717</v>
      </c>
      <c r="M37" s="85">
        <f aca="true" t="shared" si="31" ref="M37:M55">I37*(VLOOKUP("FY Inflation",FY_Inflation,MATCH(M$3-1,FY_Inflation_year_row,0),0)+1)</f>
        <v>66059263.49640361</v>
      </c>
      <c r="N37" s="85">
        <f aca="true" t="shared" si="32" ref="N37:N55">J37*(VLOOKUP("FY Inflation",FY_Inflation,MATCH(N$3-1,FY_Inflation_year_row,0),0)+1)</f>
        <v>79886161.40225264</v>
      </c>
      <c r="O37" s="85">
        <f aca="true" t="shared" si="33" ref="O37:O55">K37*(VLOOKUP("FY Inflation",FY_Inflation,MATCH(O$3-1,FY_Inflation_year_row,0),0)+1)</f>
        <v>76082058.47833586</v>
      </c>
      <c r="P37" s="85">
        <f aca="true" t="shared" si="34" ref="P37:P55">L37*(VLOOKUP("FY Inflation",FY_Inflation,MATCH(P$3-1,FY_Inflation_year_row,0),0)+1)</f>
        <v>72277955.55441907</v>
      </c>
      <c r="Q37" s="85">
        <f aca="true" t="shared" si="35" ref="Q37:Q55">M37*(VLOOKUP("FY Inflation",FY_Inflation,MATCH(Q$3-1,FY_Inflation_year_row,0),0)+1)</f>
        <v>68473852.63050225</v>
      </c>
      <c r="R37" s="85">
        <f t="shared" si="13"/>
        <v>81103046.45471086</v>
      </c>
      <c r="S37" s="85">
        <f t="shared" si="14"/>
        <v>77240996.62353416</v>
      </c>
      <c r="T37" s="85">
        <f t="shared" si="15"/>
        <v>73378946.79235744</v>
      </c>
      <c r="U37" s="85">
        <f aca="true" t="shared" si="36" ref="U37:U55">Q37*(VLOOKUP("FY Inflation",FY_Inflation,MATCH(U$3-1,FY_Inflation_year_row,0),0)+1)</f>
        <v>69516896.96118072</v>
      </c>
    </row>
    <row r="38" spans="1:21" ht="12.75">
      <c r="A38" s="85" t="s">
        <v>34</v>
      </c>
      <c r="B38" s="85">
        <f t="shared" si="20"/>
        <v>30285260.25</v>
      </c>
      <c r="C38" s="85">
        <f t="shared" si="21"/>
        <v>28843105</v>
      </c>
      <c r="D38" s="85">
        <f t="shared" si="22"/>
        <v>27400949.75</v>
      </c>
      <c r="E38" s="85">
        <f t="shared" si="23"/>
        <v>25958794.5</v>
      </c>
      <c r="F38" s="85">
        <f t="shared" si="24"/>
        <v>30680549.79141567</v>
      </c>
      <c r="G38" s="85">
        <f t="shared" si="25"/>
        <v>29219571.229919683</v>
      </c>
      <c r="H38" s="85">
        <f t="shared" si="26"/>
        <v>27758592.6684237</v>
      </c>
      <c r="I38" s="85">
        <f t="shared" si="27"/>
        <v>26297614.106927715</v>
      </c>
      <c r="J38" s="85">
        <f t="shared" si="28"/>
        <v>31765467.548162654</v>
      </c>
      <c r="K38" s="85">
        <f t="shared" si="29"/>
        <v>30252826.236345384</v>
      </c>
      <c r="L38" s="85">
        <f t="shared" si="30"/>
        <v>28740184.92452812</v>
      </c>
      <c r="M38" s="85">
        <f t="shared" si="31"/>
        <v>27227543.61271085</v>
      </c>
      <c r="N38" s="85">
        <f t="shared" si="32"/>
        <v>32926554.558851663</v>
      </c>
      <c r="O38" s="85">
        <f t="shared" si="33"/>
        <v>31358623.389382534</v>
      </c>
      <c r="P38" s="85">
        <f t="shared" si="34"/>
        <v>29790692.219913412</v>
      </c>
      <c r="Q38" s="85">
        <f t="shared" si="35"/>
        <v>28222761.050444283</v>
      </c>
      <c r="R38" s="85">
        <f t="shared" si="13"/>
        <v>33428116.17313254</v>
      </c>
      <c r="S38" s="85">
        <f t="shared" si="14"/>
        <v>31836301.11726908</v>
      </c>
      <c r="T38" s="85">
        <f t="shared" si="15"/>
        <v>30244486.061405633</v>
      </c>
      <c r="U38" s="85">
        <f t="shared" si="36"/>
        <v>28652671.005542174</v>
      </c>
    </row>
    <row r="39" spans="1:21" ht="12.75">
      <c r="A39" s="85" t="s">
        <v>35</v>
      </c>
      <c r="B39" s="85">
        <f t="shared" si="20"/>
        <v>2535746.955</v>
      </c>
      <c r="C39" s="85">
        <f t="shared" si="21"/>
        <v>2414997.1</v>
      </c>
      <c r="D39" s="85">
        <f t="shared" si="22"/>
        <v>2294247.245</v>
      </c>
      <c r="E39" s="85">
        <f t="shared" si="23"/>
        <v>2173497.39</v>
      </c>
      <c r="F39" s="85">
        <f t="shared" si="24"/>
        <v>2568844.0538102416</v>
      </c>
      <c r="G39" s="85">
        <f t="shared" si="25"/>
        <v>2446518.1464859443</v>
      </c>
      <c r="H39" s="85">
        <f t="shared" si="26"/>
        <v>2324192.239161647</v>
      </c>
      <c r="I39" s="85">
        <f t="shared" si="27"/>
        <v>2201866.33183735</v>
      </c>
      <c r="J39" s="85">
        <f t="shared" si="28"/>
        <v>2659682.8603909644</v>
      </c>
      <c r="K39" s="85">
        <f t="shared" si="29"/>
        <v>2533031.2956104423</v>
      </c>
      <c r="L39" s="85">
        <f t="shared" si="30"/>
        <v>2406379.7308299197</v>
      </c>
      <c r="M39" s="85">
        <f t="shared" si="31"/>
        <v>2279728.166049398</v>
      </c>
      <c r="N39" s="85">
        <f t="shared" si="32"/>
        <v>2756899.223319353</v>
      </c>
      <c r="O39" s="85">
        <f t="shared" si="33"/>
        <v>2625618.3079231936</v>
      </c>
      <c r="P39" s="85">
        <f t="shared" si="34"/>
        <v>2494337.392527033</v>
      </c>
      <c r="Q39" s="85">
        <f t="shared" si="35"/>
        <v>2363056.477130874</v>
      </c>
      <c r="R39" s="85">
        <f t="shared" si="13"/>
        <v>2798894.3498481936</v>
      </c>
      <c r="S39" s="85">
        <f t="shared" si="14"/>
        <v>2665613.6665220894</v>
      </c>
      <c r="T39" s="85">
        <f t="shared" si="15"/>
        <v>2532332.983195984</v>
      </c>
      <c r="U39" s="85">
        <f t="shared" si="36"/>
        <v>2399052.29986988</v>
      </c>
    </row>
    <row r="40" spans="1:21" ht="12.75">
      <c r="A40" s="85" t="s">
        <v>36</v>
      </c>
      <c r="B40" s="85">
        <f t="shared" si="20"/>
        <v>42365907.36</v>
      </c>
      <c r="C40" s="85">
        <f t="shared" si="21"/>
        <v>40348483.2</v>
      </c>
      <c r="D40" s="85">
        <f t="shared" si="22"/>
        <v>38331059.04</v>
      </c>
      <c r="E40" s="85">
        <f t="shared" si="23"/>
        <v>36313634.879999995</v>
      </c>
      <c r="F40" s="85">
        <f t="shared" si="24"/>
        <v>42918876.03036145</v>
      </c>
      <c r="G40" s="85">
        <f t="shared" si="25"/>
        <v>40875120.02891567</v>
      </c>
      <c r="H40" s="85">
        <f t="shared" si="26"/>
        <v>38831364.02746989</v>
      </c>
      <c r="I40" s="85">
        <f t="shared" si="27"/>
        <v>36787608.026024096</v>
      </c>
      <c r="J40" s="85">
        <f t="shared" si="28"/>
        <v>44436562.35024579</v>
      </c>
      <c r="K40" s="85">
        <f t="shared" si="29"/>
        <v>42320535.57166266</v>
      </c>
      <c r="L40" s="85">
        <f t="shared" si="30"/>
        <v>40204508.793079525</v>
      </c>
      <c r="M40" s="85">
        <f t="shared" si="31"/>
        <v>38088482.014496386</v>
      </c>
      <c r="N40" s="85">
        <f t="shared" si="32"/>
        <v>46060801.47930362</v>
      </c>
      <c r="O40" s="85">
        <f t="shared" si="33"/>
        <v>43867429.98028917</v>
      </c>
      <c r="P40" s="85">
        <f t="shared" si="34"/>
        <v>41674058.48127471</v>
      </c>
      <c r="Q40" s="85">
        <f t="shared" si="35"/>
        <v>39480686.98226024</v>
      </c>
      <c r="R40" s="85">
        <f t="shared" si="13"/>
        <v>46762433.64988916</v>
      </c>
      <c r="S40" s="85">
        <f t="shared" si="14"/>
        <v>44535651.095132545</v>
      </c>
      <c r="T40" s="85">
        <f t="shared" si="15"/>
        <v>42308868.54037592</v>
      </c>
      <c r="U40" s="85">
        <f t="shared" si="36"/>
        <v>40082085.98561928</v>
      </c>
    </row>
    <row r="41" spans="1:21" ht="12.75">
      <c r="A41" s="85" t="s">
        <v>37</v>
      </c>
      <c r="B41" s="85">
        <f t="shared" si="20"/>
        <v>14316784.754999999</v>
      </c>
      <c r="C41" s="85">
        <f t="shared" si="21"/>
        <v>13635033.100000001</v>
      </c>
      <c r="D41" s="85">
        <f t="shared" si="22"/>
        <v>12953281.445</v>
      </c>
      <c r="E41" s="85">
        <f t="shared" si="23"/>
        <v>12271529.79</v>
      </c>
      <c r="F41" s="85">
        <f t="shared" si="24"/>
        <v>14503650.419472894</v>
      </c>
      <c r="G41" s="85">
        <f t="shared" si="25"/>
        <v>13813000.399497995</v>
      </c>
      <c r="H41" s="85">
        <f t="shared" si="26"/>
        <v>13122350.379523095</v>
      </c>
      <c r="I41" s="85">
        <f t="shared" si="27"/>
        <v>12431700.359548194</v>
      </c>
      <c r="J41" s="85">
        <f t="shared" si="28"/>
        <v>15016524.797041567</v>
      </c>
      <c r="K41" s="85">
        <f t="shared" si="29"/>
        <v>14301452.187658638</v>
      </c>
      <c r="L41" s="85">
        <f t="shared" si="30"/>
        <v>13586379.578275705</v>
      </c>
      <c r="M41" s="85">
        <f t="shared" si="31"/>
        <v>12871306.968892772</v>
      </c>
      <c r="N41" s="85">
        <f t="shared" si="32"/>
        <v>15565406.75072598</v>
      </c>
      <c r="O41" s="85">
        <f t="shared" si="33"/>
        <v>14824196.905453317</v>
      </c>
      <c r="P41" s="85">
        <f t="shared" si="34"/>
        <v>14082987.060180651</v>
      </c>
      <c r="Q41" s="85">
        <f t="shared" si="35"/>
        <v>13341777.214907983</v>
      </c>
      <c r="R41" s="85">
        <f t="shared" si="13"/>
        <v>15802510.530378316</v>
      </c>
      <c r="S41" s="85">
        <f t="shared" si="14"/>
        <v>15050010.028931731</v>
      </c>
      <c r="T41" s="85">
        <f t="shared" si="15"/>
        <v>14297509.527485143</v>
      </c>
      <c r="U41" s="85">
        <f t="shared" si="36"/>
        <v>13545009.026038555</v>
      </c>
    </row>
    <row r="42" spans="1:21" ht="12.75">
      <c r="A42" s="85" t="s">
        <v>38</v>
      </c>
      <c r="B42" s="85">
        <f t="shared" si="20"/>
        <v>12483163.77</v>
      </c>
      <c r="C42" s="85">
        <f t="shared" si="21"/>
        <v>11888727.4</v>
      </c>
      <c r="D42" s="85">
        <f t="shared" si="22"/>
        <v>11294291.03</v>
      </c>
      <c r="E42" s="85">
        <f t="shared" si="23"/>
        <v>10699854.66</v>
      </c>
      <c r="F42" s="85">
        <f t="shared" si="24"/>
        <v>12646096.63045181</v>
      </c>
      <c r="G42" s="85">
        <f t="shared" si="25"/>
        <v>12043901.552811246</v>
      </c>
      <c r="H42" s="85">
        <f t="shared" si="26"/>
        <v>11441706.475170683</v>
      </c>
      <c r="I42" s="85">
        <f t="shared" si="27"/>
        <v>10839511.397530122</v>
      </c>
      <c r="J42" s="85">
        <f t="shared" si="28"/>
        <v>13093284.66590723</v>
      </c>
      <c r="K42" s="85">
        <f t="shared" si="29"/>
        <v>12469794.919911647</v>
      </c>
      <c r="L42" s="85">
        <f t="shared" si="30"/>
        <v>11846305.173916064</v>
      </c>
      <c r="M42" s="85">
        <f t="shared" si="31"/>
        <v>11222815.427920483</v>
      </c>
      <c r="N42" s="85">
        <f t="shared" si="32"/>
        <v>13571868.61024202</v>
      </c>
      <c r="O42" s="85">
        <f t="shared" si="33"/>
        <v>12925589.152611447</v>
      </c>
      <c r="P42" s="85">
        <f t="shared" si="34"/>
        <v>12279309.694980875</v>
      </c>
      <c r="Q42" s="85">
        <f t="shared" si="35"/>
        <v>11633030.237350304</v>
      </c>
      <c r="R42" s="85">
        <f t="shared" si="13"/>
        <v>13778605.343561448</v>
      </c>
      <c r="S42" s="85">
        <f t="shared" si="14"/>
        <v>13122481.279582331</v>
      </c>
      <c r="T42" s="85">
        <f t="shared" si="15"/>
        <v>12466357.215603214</v>
      </c>
      <c r="U42" s="85">
        <f t="shared" si="36"/>
        <v>11810233.151624098</v>
      </c>
    </row>
    <row r="43" spans="1:21" ht="12.75">
      <c r="A43" s="85" t="s">
        <v>39</v>
      </c>
      <c r="B43" s="85">
        <f t="shared" si="20"/>
        <v>41344076.865</v>
      </c>
      <c r="C43" s="85">
        <f t="shared" si="21"/>
        <v>39375311.300000004</v>
      </c>
      <c r="D43" s="85">
        <f t="shared" si="22"/>
        <v>37406545.735</v>
      </c>
      <c r="E43" s="85">
        <f t="shared" si="23"/>
        <v>35437780.17</v>
      </c>
      <c r="F43" s="85">
        <f t="shared" si="24"/>
        <v>41883708.39034639</v>
      </c>
      <c r="G43" s="85">
        <f t="shared" si="25"/>
        <v>39889246.086044185</v>
      </c>
      <c r="H43" s="85">
        <f t="shared" si="26"/>
        <v>37894783.78174198</v>
      </c>
      <c r="I43" s="85">
        <f t="shared" si="27"/>
        <v>35900321.47743977</v>
      </c>
      <c r="J43" s="85">
        <f t="shared" si="28"/>
        <v>43364789.37683555</v>
      </c>
      <c r="K43" s="85">
        <f t="shared" si="29"/>
        <v>41299799.40651005</v>
      </c>
      <c r="L43" s="85">
        <f t="shared" si="30"/>
        <v>39234809.43618455</v>
      </c>
      <c r="M43" s="85">
        <f t="shared" si="31"/>
        <v>37169819.46585904</v>
      </c>
      <c r="N43" s="85">
        <f t="shared" si="32"/>
        <v>44949853.20724722</v>
      </c>
      <c r="O43" s="85">
        <f t="shared" si="33"/>
        <v>42809384.00690212</v>
      </c>
      <c r="P43" s="85">
        <f t="shared" si="34"/>
        <v>40668914.806557015</v>
      </c>
      <c r="Q43" s="85">
        <f t="shared" si="35"/>
        <v>38528445.6062119</v>
      </c>
      <c r="R43" s="85">
        <f t="shared" si="13"/>
        <v>45634562.59267712</v>
      </c>
      <c r="S43" s="85">
        <f t="shared" si="14"/>
        <v>43461488.18350202</v>
      </c>
      <c r="T43" s="85">
        <f t="shared" si="15"/>
        <v>41288413.77432692</v>
      </c>
      <c r="U43" s="85">
        <f t="shared" si="36"/>
        <v>39115339.36515181</v>
      </c>
    </row>
    <row r="44" spans="1:21" ht="12.75">
      <c r="A44" s="85" t="s">
        <v>40</v>
      </c>
      <c r="B44" s="85">
        <f t="shared" si="20"/>
        <v>4232777.955</v>
      </c>
      <c r="C44" s="85">
        <f t="shared" si="21"/>
        <v>4031217.1</v>
      </c>
      <c r="D44" s="85">
        <f t="shared" si="22"/>
        <v>3829656.245</v>
      </c>
      <c r="E44" s="85">
        <f t="shared" si="23"/>
        <v>3628095.3899999997</v>
      </c>
      <c r="F44" s="85">
        <f t="shared" si="24"/>
        <v>4288025.05682229</v>
      </c>
      <c r="G44" s="85">
        <f t="shared" si="25"/>
        <v>4083833.3874498</v>
      </c>
      <c r="H44" s="85">
        <f t="shared" si="26"/>
        <v>3879641.71807731</v>
      </c>
      <c r="I44" s="85">
        <f t="shared" si="27"/>
        <v>3675450.0487048198</v>
      </c>
      <c r="J44" s="85">
        <f t="shared" si="28"/>
        <v>4439657.102439157</v>
      </c>
      <c r="K44" s="85">
        <f t="shared" si="29"/>
        <v>4228244.8594658645</v>
      </c>
      <c r="L44" s="85">
        <f t="shared" si="30"/>
        <v>4016832.616492571</v>
      </c>
      <c r="M44" s="85">
        <f t="shared" si="31"/>
        <v>3805420.373519277</v>
      </c>
      <c r="N44" s="85">
        <f t="shared" si="32"/>
        <v>4601934.839599473</v>
      </c>
      <c r="O44" s="85">
        <f t="shared" si="33"/>
        <v>4382795.085332832</v>
      </c>
      <c r="P44" s="85">
        <f t="shared" si="34"/>
        <v>4163655.3310661907</v>
      </c>
      <c r="Q44" s="85">
        <f t="shared" si="35"/>
        <v>3944515.576799548</v>
      </c>
      <c r="R44" s="85">
        <f t="shared" si="13"/>
        <v>4672034.912257832</v>
      </c>
      <c r="S44" s="85">
        <f t="shared" si="14"/>
        <v>4449557.059293174</v>
      </c>
      <c r="T44" s="85">
        <f t="shared" si="15"/>
        <v>4227079.206328515</v>
      </c>
      <c r="U44" s="85">
        <f t="shared" si="36"/>
        <v>4004601.3533638557</v>
      </c>
    </row>
    <row r="45" spans="1:21" ht="12.75">
      <c r="A45" s="85" t="s">
        <v>41</v>
      </c>
      <c r="B45" s="85">
        <f t="shared" si="20"/>
        <v>16953796.965</v>
      </c>
      <c r="C45" s="85">
        <f t="shared" si="21"/>
        <v>16146473.3</v>
      </c>
      <c r="D45" s="85">
        <f t="shared" si="22"/>
        <v>15339149.635</v>
      </c>
      <c r="E45" s="85">
        <f t="shared" si="23"/>
        <v>14531825.969999999</v>
      </c>
      <c r="F45" s="85">
        <f t="shared" si="24"/>
        <v>17175081.46353916</v>
      </c>
      <c r="G45" s="85">
        <f t="shared" si="25"/>
        <v>16357220.441465868</v>
      </c>
      <c r="H45" s="85">
        <f t="shared" si="26"/>
        <v>15539359.419392573</v>
      </c>
      <c r="I45" s="85">
        <f t="shared" si="27"/>
        <v>14721498.397319278</v>
      </c>
      <c r="J45" s="85">
        <f t="shared" si="28"/>
        <v>17782422.30260663</v>
      </c>
      <c r="K45" s="85">
        <f t="shared" si="29"/>
        <v>16935640.28819679</v>
      </c>
      <c r="L45" s="85">
        <f t="shared" si="30"/>
        <v>16088858.273786949</v>
      </c>
      <c r="M45" s="85">
        <f t="shared" si="31"/>
        <v>15242076.259377109</v>
      </c>
      <c r="N45" s="85">
        <f t="shared" si="32"/>
        <v>18432402.962354146</v>
      </c>
      <c r="O45" s="85">
        <f t="shared" si="33"/>
        <v>17554669.48795633</v>
      </c>
      <c r="P45" s="85">
        <f t="shared" si="34"/>
        <v>16676936.01355851</v>
      </c>
      <c r="Q45" s="85">
        <f t="shared" si="35"/>
        <v>15799202.539160693</v>
      </c>
      <c r="R45" s="85">
        <f t="shared" si="13"/>
        <v>18713178.94723133</v>
      </c>
      <c r="S45" s="85">
        <f t="shared" si="14"/>
        <v>17822075.187839363</v>
      </c>
      <c r="T45" s="85">
        <f t="shared" si="15"/>
        <v>16930971.42844739</v>
      </c>
      <c r="U45" s="85">
        <f t="shared" si="36"/>
        <v>16039867.669055423</v>
      </c>
    </row>
    <row r="46" spans="1:21" ht="12.75">
      <c r="A46" s="85" t="s">
        <v>42</v>
      </c>
      <c r="B46" s="85">
        <f t="shared" si="20"/>
        <v>3020734.29</v>
      </c>
      <c r="C46" s="85">
        <f t="shared" si="21"/>
        <v>2876889.8000000003</v>
      </c>
      <c r="D46" s="85">
        <f t="shared" si="22"/>
        <v>2733045.31</v>
      </c>
      <c r="E46" s="85">
        <f t="shared" si="23"/>
        <v>2589200.82</v>
      </c>
      <c r="F46" s="85">
        <f t="shared" si="24"/>
        <v>3060161.5447891573</v>
      </c>
      <c r="G46" s="85">
        <f t="shared" si="25"/>
        <v>2914439.5664658644</v>
      </c>
      <c r="H46" s="85">
        <f t="shared" si="26"/>
        <v>2768717.5881425706</v>
      </c>
      <c r="I46" s="85">
        <f t="shared" si="27"/>
        <v>2622995.609819277</v>
      </c>
      <c r="J46" s="85">
        <f t="shared" si="28"/>
        <v>3168374.194856627</v>
      </c>
      <c r="K46" s="85">
        <f t="shared" si="29"/>
        <v>3017499.233196788</v>
      </c>
      <c r="L46" s="85">
        <f t="shared" si="30"/>
        <v>2866624.271536948</v>
      </c>
      <c r="M46" s="85">
        <f t="shared" si="31"/>
        <v>2715749.3098771083</v>
      </c>
      <c r="N46" s="85">
        <f t="shared" si="32"/>
        <v>3284184.173635392</v>
      </c>
      <c r="O46" s="85">
        <f t="shared" si="33"/>
        <v>3127794.451081326</v>
      </c>
      <c r="P46" s="85">
        <f t="shared" si="34"/>
        <v>2971404.7285272595</v>
      </c>
      <c r="Q46" s="85">
        <f t="shared" si="35"/>
        <v>2815015.005973193</v>
      </c>
      <c r="R46" s="85">
        <f t="shared" si="13"/>
        <v>3334211.294231326</v>
      </c>
      <c r="S46" s="85">
        <f t="shared" si="14"/>
        <v>3175439.3278393582</v>
      </c>
      <c r="T46" s="85">
        <f t="shared" si="15"/>
        <v>3016667.36144739</v>
      </c>
      <c r="U46" s="85">
        <f t="shared" si="36"/>
        <v>2857895.3950554216</v>
      </c>
    </row>
    <row r="47" spans="1:21" ht="12.75">
      <c r="A47" s="85" t="s">
        <v>43</v>
      </c>
      <c r="B47" s="85">
        <f t="shared" si="20"/>
        <v>22573151.369999997</v>
      </c>
      <c r="C47" s="85">
        <f t="shared" si="21"/>
        <v>21498239.400000002</v>
      </c>
      <c r="D47" s="85">
        <f t="shared" si="22"/>
        <v>20423327.43</v>
      </c>
      <c r="E47" s="85">
        <f t="shared" si="23"/>
        <v>19348415.46</v>
      </c>
      <c r="F47" s="85">
        <f t="shared" si="24"/>
        <v>22867780.855753012</v>
      </c>
      <c r="G47" s="85">
        <f t="shared" si="25"/>
        <v>21778838.91024097</v>
      </c>
      <c r="H47" s="85">
        <f t="shared" si="26"/>
        <v>20689896.964728918</v>
      </c>
      <c r="I47" s="85">
        <f t="shared" si="27"/>
        <v>19600955.019216873</v>
      </c>
      <c r="J47" s="85">
        <f t="shared" si="28"/>
        <v>23676425.475112047</v>
      </c>
      <c r="K47" s="85">
        <f t="shared" si="29"/>
        <v>22548976.64296386</v>
      </c>
      <c r="L47" s="85">
        <f t="shared" si="30"/>
        <v>21421527.810815662</v>
      </c>
      <c r="M47" s="85">
        <f t="shared" si="31"/>
        <v>20294078.978667475</v>
      </c>
      <c r="N47" s="85">
        <f t="shared" si="32"/>
        <v>24541842.92999503</v>
      </c>
      <c r="O47" s="85">
        <f t="shared" si="33"/>
        <v>23373183.742852416</v>
      </c>
      <c r="P47" s="85">
        <f t="shared" si="34"/>
        <v>22204524.55570979</v>
      </c>
      <c r="Q47" s="85">
        <f t="shared" si="35"/>
        <v>21035865.368567176</v>
      </c>
      <c r="R47" s="85">
        <f t="shared" si="13"/>
        <v>24915682.41980241</v>
      </c>
      <c r="S47" s="85">
        <f t="shared" si="14"/>
        <v>23729221.35219278</v>
      </c>
      <c r="T47" s="85">
        <f t="shared" si="15"/>
        <v>22542760.284583133</v>
      </c>
      <c r="U47" s="85">
        <f t="shared" si="36"/>
        <v>21356299.216973502</v>
      </c>
    </row>
    <row r="48" spans="1:21" ht="12.75">
      <c r="A48" s="85" t="s">
        <v>44</v>
      </c>
      <c r="B48" s="85">
        <f t="shared" si="20"/>
        <v>93268248.045</v>
      </c>
      <c r="C48" s="85">
        <f t="shared" si="21"/>
        <v>88826902.9</v>
      </c>
      <c r="D48" s="85">
        <f t="shared" si="22"/>
        <v>84385557.755</v>
      </c>
      <c r="E48" s="85">
        <f t="shared" si="23"/>
        <v>79944212.61</v>
      </c>
      <c r="F48" s="85">
        <f t="shared" si="24"/>
        <v>94485604.69618978</v>
      </c>
      <c r="G48" s="85">
        <f t="shared" si="25"/>
        <v>89986290.1868474</v>
      </c>
      <c r="H48" s="85">
        <f t="shared" si="26"/>
        <v>85486975.67750503</v>
      </c>
      <c r="I48" s="85">
        <f t="shared" si="27"/>
        <v>80987661.16816266</v>
      </c>
      <c r="J48" s="85">
        <f t="shared" si="28"/>
        <v>97826780.48960905</v>
      </c>
      <c r="K48" s="85">
        <f t="shared" si="29"/>
        <v>93168362.37105623</v>
      </c>
      <c r="L48" s="85">
        <f t="shared" si="30"/>
        <v>88509944.25250342</v>
      </c>
      <c r="M48" s="85">
        <f t="shared" si="31"/>
        <v>83851526.1339506</v>
      </c>
      <c r="N48" s="85">
        <f t="shared" si="32"/>
        <v>101402531.54543066</v>
      </c>
      <c r="O48" s="85">
        <f t="shared" si="33"/>
        <v>96573839.56707682</v>
      </c>
      <c r="P48" s="85">
        <f t="shared" si="34"/>
        <v>91745147.58872299</v>
      </c>
      <c r="Q48" s="85">
        <f t="shared" si="35"/>
        <v>86916455.61036913</v>
      </c>
      <c r="R48" s="85">
        <f t="shared" si="13"/>
        <v>102947169.85015182</v>
      </c>
      <c r="S48" s="85">
        <f t="shared" si="14"/>
        <v>98044923.66681126</v>
      </c>
      <c r="T48" s="85">
        <f t="shared" si="15"/>
        <v>93142677.48347071</v>
      </c>
      <c r="U48" s="85">
        <f t="shared" si="36"/>
        <v>88240431.30013013</v>
      </c>
    </row>
    <row r="49" spans="1:21" ht="12.75">
      <c r="A49" s="85" t="s">
        <v>45</v>
      </c>
      <c r="B49" s="85">
        <f t="shared" si="20"/>
        <v>10324299.825</v>
      </c>
      <c r="C49" s="85">
        <f t="shared" si="21"/>
        <v>9832666.5</v>
      </c>
      <c r="D49" s="85">
        <f t="shared" si="22"/>
        <v>9341033.175</v>
      </c>
      <c r="E49" s="85">
        <f t="shared" si="23"/>
        <v>8849399.85</v>
      </c>
      <c r="F49" s="85">
        <f t="shared" si="24"/>
        <v>10459054.74239458</v>
      </c>
      <c r="G49" s="85">
        <f t="shared" si="25"/>
        <v>9961004.516566267</v>
      </c>
      <c r="H49" s="85">
        <f t="shared" si="26"/>
        <v>9462954.290737955</v>
      </c>
      <c r="I49" s="85">
        <f t="shared" si="27"/>
        <v>8964904.064909639</v>
      </c>
      <c r="J49" s="85">
        <f t="shared" si="28"/>
        <v>10828905.161828315</v>
      </c>
      <c r="K49" s="85">
        <f t="shared" si="29"/>
        <v>10313243.011265062</v>
      </c>
      <c r="L49" s="85">
        <f t="shared" si="30"/>
        <v>9797580.86070181</v>
      </c>
      <c r="M49" s="85">
        <f t="shared" si="31"/>
        <v>9281918.710138554</v>
      </c>
      <c r="N49" s="85">
        <f t="shared" si="32"/>
        <v>11224721.817267697</v>
      </c>
      <c r="O49" s="85">
        <f t="shared" si="33"/>
        <v>10690211.254540665</v>
      </c>
      <c r="P49" s="85">
        <f t="shared" si="34"/>
        <v>10155700.691813633</v>
      </c>
      <c r="Q49" s="85">
        <f t="shared" si="35"/>
        <v>9621190.129086597</v>
      </c>
      <c r="R49" s="85">
        <f t="shared" si="13"/>
        <v>11395705.075915664</v>
      </c>
      <c r="S49" s="85">
        <f t="shared" si="14"/>
        <v>10853052.453253014</v>
      </c>
      <c r="T49" s="85">
        <f t="shared" si="15"/>
        <v>10310399.830590365</v>
      </c>
      <c r="U49" s="85">
        <f t="shared" si="36"/>
        <v>9767747.207927711</v>
      </c>
    </row>
    <row r="50" spans="1:21" ht="12.75">
      <c r="A50" s="85" t="s">
        <v>46</v>
      </c>
      <c r="B50" s="85">
        <f t="shared" si="20"/>
        <v>2444944.215</v>
      </c>
      <c r="C50" s="85">
        <f t="shared" si="21"/>
        <v>2328518.3000000003</v>
      </c>
      <c r="D50" s="85">
        <f t="shared" si="22"/>
        <v>2212092.3850000002</v>
      </c>
      <c r="E50" s="85">
        <f t="shared" si="23"/>
        <v>2095666.47</v>
      </c>
      <c r="F50" s="85">
        <f t="shared" si="24"/>
        <v>2476856.1374849402</v>
      </c>
      <c r="G50" s="85">
        <f t="shared" si="25"/>
        <v>2358910.607128515</v>
      </c>
      <c r="H50" s="85">
        <f t="shared" si="26"/>
        <v>2240965.076772089</v>
      </c>
      <c r="I50" s="85">
        <f t="shared" si="27"/>
        <v>2123019.546415663</v>
      </c>
      <c r="J50" s="85">
        <f t="shared" si="28"/>
        <v>2564442.0908897594</v>
      </c>
      <c r="K50" s="85">
        <f t="shared" si="29"/>
        <v>2442325.80084739</v>
      </c>
      <c r="L50" s="85">
        <f t="shared" si="30"/>
        <v>2320209.5108050206</v>
      </c>
      <c r="M50" s="85">
        <f t="shared" si="31"/>
        <v>2198093.2207626505</v>
      </c>
      <c r="N50" s="85">
        <f t="shared" si="32"/>
        <v>2658177.2262811</v>
      </c>
      <c r="O50" s="85">
        <f t="shared" si="33"/>
        <v>2531597.3583629527</v>
      </c>
      <c r="P50" s="85">
        <f t="shared" si="34"/>
        <v>2405017.490444805</v>
      </c>
      <c r="Q50" s="85">
        <f t="shared" si="35"/>
        <v>2278437.6225266564</v>
      </c>
      <c r="R50" s="85">
        <f t="shared" si="13"/>
        <v>2698668.5463879523</v>
      </c>
      <c r="S50" s="85">
        <f t="shared" si="14"/>
        <v>2570160.520369479</v>
      </c>
      <c r="T50" s="85">
        <f t="shared" si="15"/>
        <v>2441652.4943510047</v>
      </c>
      <c r="U50" s="85">
        <f t="shared" si="36"/>
        <v>2313144.46833253</v>
      </c>
    </row>
    <row r="51" spans="1:21" ht="12.75">
      <c r="A51" s="85" t="s">
        <v>47</v>
      </c>
      <c r="B51" s="85">
        <f t="shared" si="20"/>
        <v>27262343.64</v>
      </c>
      <c r="C51" s="85">
        <f t="shared" si="21"/>
        <v>25964136.8</v>
      </c>
      <c r="D51" s="85">
        <f t="shared" si="22"/>
        <v>24665929.96</v>
      </c>
      <c r="E51" s="85">
        <f t="shared" si="23"/>
        <v>23367723.119999997</v>
      </c>
      <c r="F51" s="85">
        <f t="shared" si="24"/>
        <v>27618177.442530125</v>
      </c>
      <c r="G51" s="85">
        <f t="shared" si="25"/>
        <v>26303026.135742977</v>
      </c>
      <c r="H51" s="85">
        <f t="shared" si="26"/>
        <v>24987874.82895583</v>
      </c>
      <c r="I51" s="85">
        <f t="shared" si="27"/>
        <v>23672723.522168677</v>
      </c>
      <c r="J51" s="85">
        <f t="shared" si="28"/>
        <v>28594804.371320486</v>
      </c>
      <c r="K51" s="85">
        <f t="shared" si="29"/>
        <v>27233147.020305224</v>
      </c>
      <c r="L51" s="85">
        <f t="shared" si="30"/>
        <v>25871489.669289965</v>
      </c>
      <c r="M51" s="85">
        <f t="shared" si="31"/>
        <v>24509832.3182747</v>
      </c>
      <c r="N51" s="85">
        <f t="shared" si="32"/>
        <v>29639997.736675307</v>
      </c>
      <c r="O51" s="85">
        <f t="shared" si="33"/>
        <v>28228569.2730241</v>
      </c>
      <c r="P51" s="85">
        <f t="shared" si="34"/>
        <v>26817140.8093729</v>
      </c>
      <c r="Q51" s="85">
        <f t="shared" si="35"/>
        <v>25405712.345721688</v>
      </c>
      <c r="R51" s="85">
        <f t="shared" si="13"/>
        <v>30091496.0884241</v>
      </c>
      <c r="S51" s="85">
        <f t="shared" si="14"/>
        <v>28658567.703261048</v>
      </c>
      <c r="T51" s="85">
        <f t="shared" si="15"/>
        <v>27225639.318097997</v>
      </c>
      <c r="U51" s="85">
        <f t="shared" si="36"/>
        <v>25792710.93293494</v>
      </c>
    </row>
    <row r="52" spans="1:21" ht="12.75">
      <c r="A52" s="85" t="s">
        <v>48</v>
      </c>
      <c r="B52" s="85">
        <f t="shared" si="20"/>
        <v>21423891.404999997</v>
      </c>
      <c r="C52" s="85">
        <f t="shared" si="21"/>
        <v>20403706.1</v>
      </c>
      <c r="D52" s="85">
        <f t="shared" si="22"/>
        <v>19383520.795</v>
      </c>
      <c r="E52" s="85">
        <f t="shared" si="23"/>
        <v>18363335.49</v>
      </c>
      <c r="F52" s="85">
        <f t="shared" si="24"/>
        <v>21703520.509683736</v>
      </c>
      <c r="G52" s="85">
        <f t="shared" si="25"/>
        <v>20670019.533032134</v>
      </c>
      <c r="H52" s="85">
        <f t="shared" si="26"/>
        <v>19636518.556380525</v>
      </c>
      <c r="I52" s="85">
        <f t="shared" si="27"/>
        <v>18603017.579728916</v>
      </c>
      <c r="J52" s="85">
        <f t="shared" si="28"/>
        <v>22470994.85238494</v>
      </c>
      <c r="K52" s="85">
        <f t="shared" si="29"/>
        <v>21400947.47846185</v>
      </c>
      <c r="L52" s="85">
        <f t="shared" si="30"/>
        <v>20330900.104538757</v>
      </c>
      <c r="M52" s="85">
        <f t="shared" si="31"/>
        <v>19260852.73061566</v>
      </c>
      <c r="N52" s="85">
        <f t="shared" si="32"/>
        <v>23292351.57256559</v>
      </c>
      <c r="O52" s="85">
        <f t="shared" si="33"/>
        <v>22183191.97387199</v>
      </c>
      <c r="P52" s="85">
        <f t="shared" si="34"/>
        <v>21074032.375178393</v>
      </c>
      <c r="Q52" s="85">
        <f t="shared" si="35"/>
        <v>19964872.776484787</v>
      </c>
      <c r="R52" s="85">
        <f t="shared" si="13"/>
        <v>23647157.88654699</v>
      </c>
      <c r="S52" s="85">
        <f t="shared" si="14"/>
        <v>22521102.749092374</v>
      </c>
      <c r="T52" s="85">
        <f t="shared" si="15"/>
        <v>21395047.611637756</v>
      </c>
      <c r="U52" s="85">
        <f t="shared" si="36"/>
        <v>20268992.47418313</v>
      </c>
    </row>
    <row r="53" spans="1:21" ht="12.75">
      <c r="A53" s="85" t="s">
        <v>49</v>
      </c>
      <c r="B53" s="85">
        <f t="shared" si="20"/>
        <v>7350948.255</v>
      </c>
      <c r="C53" s="85">
        <f t="shared" si="21"/>
        <v>7000903.100000001</v>
      </c>
      <c r="D53" s="85">
        <f t="shared" si="22"/>
        <v>6650857.945</v>
      </c>
      <c r="E53" s="85">
        <f t="shared" si="23"/>
        <v>6300812.79</v>
      </c>
      <c r="F53" s="85">
        <f t="shared" si="24"/>
        <v>7446894.3667620495</v>
      </c>
      <c r="G53" s="85">
        <f t="shared" si="25"/>
        <v>7092280.34929719</v>
      </c>
      <c r="H53" s="85">
        <f t="shared" si="26"/>
        <v>6737666.331832331</v>
      </c>
      <c r="I53" s="85">
        <f t="shared" si="27"/>
        <v>6383052.314367471</v>
      </c>
      <c r="J53" s="85">
        <f t="shared" si="28"/>
        <v>7710229.541198194</v>
      </c>
      <c r="K53" s="85">
        <f t="shared" si="29"/>
        <v>7343075.75352209</v>
      </c>
      <c r="L53" s="85">
        <f t="shared" si="30"/>
        <v>6975921.965845985</v>
      </c>
      <c r="M53" s="85">
        <f t="shared" si="31"/>
        <v>6608768.178169881</v>
      </c>
      <c r="N53" s="85">
        <f t="shared" si="32"/>
        <v>7992052.793323872</v>
      </c>
      <c r="O53" s="85">
        <f t="shared" si="33"/>
        <v>7611478.85078464</v>
      </c>
      <c r="P53" s="85">
        <f t="shared" si="34"/>
        <v>7230904.908245408</v>
      </c>
      <c r="Q53" s="85">
        <f t="shared" si="35"/>
        <v>6850330.965706176</v>
      </c>
      <c r="R53" s="85">
        <f t="shared" si="13"/>
        <v>8113793.64820964</v>
      </c>
      <c r="S53" s="85">
        <f t="shared" si="14"/>
        <v>7727422.522104419</v>
      </c>
      <c r="T53" s="85">
        <f t="shared" si="15"/>
        <v>7341051.395999198</v>
      </c>
      <c r="U53" s="85">
        <f t="shared" si="36"/>
        <v>6954680.269893978</v>
      </c>
    </row>
    <row r="54" spans="1:21" ht="12.75">
      <c r="A54" s="85" t="s">
        <v>50</v>
      </c>
      <c r="B54" s="85">
        <f t="shared" si="20"/>
        <v>20150468.415</v>
      </c>
      <c r="C54" s="85">
        <f t="shared" si="21"/>
        <v>19190922.3</v>
      </c>
      <c r="D54" s="85">
        <f t="shared" si="22"/>
        <v>18231376.185</v>
      </c>
      <c r="E54" s="85">
        <f t="shared" si="23"/>
        <v>17271830.07</v>
      </c>
      <c r="F54" s="85">
        <f t="shared" si="24"/>
        <v>20413476.53688253</v>
      </c>
      <c r="G54" s="85">
        <f t="shared" si="25"/>
        <v>19441406.225602414</v>
      </c>
      <c r="H54" s="85">
        <f t="shared" si="26"/>
        <v>18469335.91432229</v>
      </c>
      <c r="I54" s="85">
        <f t="shared" si="27"/>
        <v>17497265.60304217</v>
      </c>
      <c r="J54" s="85">
        <f t="shared" si="28"/>
        <v>21135332.67448012</v>
      </c>
      <c r="K54" s="85">
        <f t="shared" si="29"/>
        <v>20128888.261409644</v>
      </c>
      <c r="L54" s="85">
        <f t="shared" si="30"/>
        <v>19122443.84833916</v>
      </c>
      <c r="M54" s="85">
        <f t="shared" si="31"/>
        <v>18115999.435268674</v>
      </c>
      <c r="N54" s="85">
        <f t="shared" si="32"/>
        <v>21907868.45402508</v>
      </c>
      <c r="O54" s="85">
        <f t="shared" si="33"/>
        <v>20864636.62288103</v>
      </c>
      <c r="P54" s="85">
        <f t="shared" si="34"/>
        <v>19821404.791736975</v>
      </c>
      <c r="Q54" s="85">
        <f t="shared" si="35"/>
        <v>18778172.96059292</v>
      </c>
      <c r="R54" s="85">
        <f t="shared" si="13"/>
        <v>22241585.297906026</v>
      </c>
      <c r="S54" s="85">
        <f t="shared" si="14"/>
        <v>21182462.188481934</v>
      </c>
      <c r="T54" s="85">
        <f t="shared" si="15"/>
        <v>20123339.079057835</v>
      </c>
      <c r="U54" s="85">
        <f t="shared" si="36"/>
        <v>19064215.969633736</v>
      </c>
    </row>
    <row r="55" spans="1:21" ht="12.75">
      <c r="A55" s="85" t="s">
        <v>51</v>
      </c>
      <c r="B55" s="85">
        <f t="shared" si="20"/>
        <v>2564988.7199999997</v>
      </c>
      <c r="C55" s="85">
        <f t="shared" si="21"/>
        <v>2442846.4</v>
      </c>
      <c r="D55" s="85">
        <f t="shared" si="22"/>
        <v>2320704.08</v>
      </c>
      <c r="E55" s="85">
        <f t="shared" si="23"/>
        <v>2198561.76</v>
      </c>
      <c r="F55" s="85">
        <f t="shared" si="24"/>
        <v>2598467.488433735</v>
      </c>
      <c r="G55" s="85">
        <f t="shared" si="25"/>
        <v>2474730.9413654623</v>
      </c>
      <c r="H55" s="85">
        <f t="shared" si="26"/>
        <v>2350994.394297189</v>
      </c>
      <c r="I55" s="85">
        <f t="shared" si="27"/>
        <v>2227257.847228916</v>
      </c>
      <c r="J55" s="85">
        <f t="shared" si="28"/>
        <v>2690353.8313349397</v>
      </c>
      <c r="K55" s="85">
        <f t="shared" si="29"/>
        <v>2562241.7441285145</v>
      </c>
      <c r="L55" s="85">
        <f t="shared" si="30"/>
        <v>2434129.6569220885</v>
      </c>
      <c r="M55" s="85">
        <f t="shared" si="31"/>
        <v>2306017.569715663</v>
      </c>
      <c r="N55" s="85">
        <f t="shared" si="32"/>
        <v>2788691.275384337</v>
      </c>
      <c r="O55" s="85">
        <f t="shared" si="33"/>
        <v>2655896.4527469887</v>
      </c>
      <c r="P55" s="85">
        <f t="shared" si="34"/>
        <v>2523101.630109639</v>
      </c>
      <c r="Q55" s="85">
        <f t="shared" si="35"/>
        <v>2390306.8074722895</v>
      </c>
      <c r="R55" s="85">
        <f t="shared" si="13"/>
        <v>2831170.6819469878</v>
      </c>
      <c r="S55" s="85">
        <f t="shared" si="14"/>
        <v>2696353.0304257036</v>
      </c>
      <c r="T55" s="85">
        <f t="shared" si="15"/>
        <v>2561535.378904418</v>
      </c>
      <c r="U55" s="85">
        <f t="shared" si="36"/>
        <v>2426717.727383133</v>
      </c>
    </row>
    <row r="56" ht="12.75">
      <c r="A56" s="85" t="s">
        <v>52</v>
      </c>
    </row>
    <row r="57" ht="12.75">
      <c r="A57" s="85" t="s">
        <v>53</v>
      </c>
    </row>
    <row r="58" ht="12.75">
      <c r="A58" s="85" t="s">
        <v>54</v>
      </c>
    </row>
    <row r="59" spans="1:21" ht="12.75">
      <c r="A59" s="85" t="s">
        <v>55</v>
      </c>
      <c r="B59" s="85">
        <f>0.105*VLOOKUP($A59,fund_table,MATCH(B$3,year_row,0),0)</f>
        <v>10418858.94</v>
      </c>
      <c r="C59" s="85">
        <f>0.1*VLOOKUP($A59,fund_table,MATCH(C$3,year_row,0),0)</f>
        <v>9922722.8</v>
      </c>
      <c r="D59" s="85">
        <f>0.095*VLOOKUP($A59,fund_table,MATCH(D$3,year_row,0),0)</f>
        <v>9426586.66</v>
      </c>
      <c r="E59" s="85">
        <f>0.09*VLOOKUP($A59,fund_table,MATCH(E$3,year_row,0),0)</f>
        <v>8930450.52</v>
      </c>
      <c r="F59" s="85">
        <f aca="true" t="shared" si="37" ref="F59:Q59">B59*(VLOOKUP("FY Inflation",FY_Inflation,MATCH(F$3-1,FY_Inflation_year_row,0),0)+1)</f>
        <v>10554848.062710844</v>
      </c>
      <c r="G59" s="85">
        <f t="shared" si="37"/>
        <v>10052236.250200806</v>
      </c>
      <c r="H59" s="85">
        <f t="shared" si="37"/>
        <v>9549624.437690765</v>
      </c>
      <c r="I59" s="85">
        <f t="shared" si="37"/>
        <v>9047012.625180723</v>
      </c>
      <c r="J59" s="85">
        <f t="shared" si="37"/>
        <v>10928085.901043374</v>
      </c>
      <c r="K59" s="85">
        <f t="shared" si="37"/>
        <v>10407700.85813655</v>
      </c>
      <c r="L59" s="85">
        <f t="shared" si="37"/>
        <v>9887315.81522972</v>
      </c>
      <c r="M59" s="85">
        <f t="shared" si="37"/>
        <v>9366930.772322891</v>
      </c>
      <c r="N59" s="85">
        <f t="shared" si="37"/>
        <v>11327527.79725211</v>
      </c>
      <c r="O59" s="85">
        <f t="shared" si="37"/>
        <v>10788121.71166868</v>
      </c>
      <c r="P59" s="85">
        <f t="shared" si="37"/>
        <v>10248715.626085242</v>
      </c>
      <c r="Q59" s="85">
        <f t="shared" si="37"/>
        <v>9709309.540501807</v>
      </c>
      <c r="R59" s="85">
        <f t="shared" si="13"/>
        <v>11500077.072568676</v>
      </c>
      <c r="S59" s="85">
        <f t="shared" si="14"/>
        <v>10952454.354827315</v>
      </c>
      <c r="T59" s="85">
        <f t="shared" si="15"/>
        <v>10404831.637085944</v>
      </c>
      <c r="U59" s="85">
        <f>Q59*(VLOOKUP("FY Inflation",FY_Inflation,MATCH(U$3-1,FY_Inflation_year_row,0),0)+1)</f>
        <v>9857208.919344578</v>
      </c>
    </row>
    <row r="60" ht="12.75">
      <c r="A60" s="85" t="s">
        <v>56</v>
      </c>
    </row>
    <row r="61" ht="12.75">
      <c r="A61" s="85" t="s">
        <v>57</v>
      </c>
    </row>
    <row r="62" ht="12.75">
      <c r="A62" s="85" t="s">
        <v>92</v>
      </c>
    </row>
  </sheetData>
  <sheetProtection password="87AF" sheet="1" objects="1" scenarios="1" selectLockedCells="1" selectUnlockedCell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jessie.bailey</dc:creator>
  <cp:keywords/>
  <dc:description/>
  <cp:lastModifiedBy>csde</cp:lastModifiedBy>
  <cp:lastPrinted>2009-04-02T15:34:40Z</cp:lastPrinted>
  <dcterms:created xsi:type="dcterms:W3CDTF">2008-10-09T18:10:38Z</dcterms:created>
  <dcterms:modified xsi:type="dcterms:W3CDTF">2009-04-15T13:21:35Z</dcterms:modified>
  <cp:category/>
  <cp:version/>
  <cp:contentType/>
  <cp:contentStatus/>
</cp:coreProperties>
</file>