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deepisilon\horizon\redirectedfolders\lindeeez\My Documents\Website Adds\"/>
    </mc:Choice>
  </mc:AlternateContent>
  <xr:revisionPtr revIDLastSave="0" documentId="8_{49A85CB2-B407-4270-86A4-739B91AB20EB}" xr6:coauthVersionLast="47" xr6:coauthVersionMax="47" xr10:uidLastSave="{00000000-0000-0000-0000-000000000000}"/>
  <bookViews>
    <workbookView xWindow="-120" yWindow="-120" windowWidth="23280" windowHeight="10050" tabRatio="608" xr2:uid="{00000000-000D-0000-FFFF-FFFF00000000}"/>
  </bookViews>
  <sheets>
    <sheet name="Instruction Sheet" sheetId="3" r:id="rId1"/>
    <sheet name="23 RPS Annual Compliance Filing" sheetId="4" r:id="rId2"/>
    <sheet name="RPS Affidavit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4" l="1"/>
  <c r="M8" i="4" l="1"/>
  <c r="P40" i="4"/>
  <c r="O40" i="4"/>
  <c r="I40" i="4"/>
  <c r="F40" i="4"/>
  <c r="E40" i="4"/>
  <c r="L39" i="4"/>
  <c r="J39" i="4"/>
  <c r="O22" i="4" s="1"/>
  <c r="L38" i="4"/>
  <c r="J38" i="4"/>
  <c r="M21" i="4" s="1"/>
  <c r="L37" i="4"/>
  <c r="J37" i="4"/>
  <c r="O20" i="4" s="1"/>
  <c r="N23" i="4"/>
  <c r="L23" i="4"/>
  <c r="K23" i="4"/>
  <c r="J23" i="4"/>
  <c r="I23" i="4"/>
  <c r="E23" i="4"/>
  <c r="B24" i="4" s="1"/>
  <c r="B22" i="4"/>
  <c r="M10" i="4" s="1"/>
  <c r="O21" i="4"/>
  <c r="M11" i="4" l="1"/>
  <c r="F20" i="4"/>
  <c r="P20" i="4" s="1"/>
  <c r="M22" i="4"/>
  <c r="L40" i="4"/>
  <c r="N43" i="4" s="1"/>
  <c r="O23" i="4"/>
  <c r="M20" i="4"/>
  <c r="F21" i="4"/>
  <c r="P21" i="4" s="1"/>
  <c r="R21" i="4" s="1"/>
  <c r="J40" i="4"/>
  <c r="F22" i="4"/>
  <c r="B25" i="4"/>
  <c r="M13" i="4" l="1"/>
  <c r="M37" i="4"/>
  <c r="F23" i="4"/>
  <c r="M23" i="4"/>
  <c r="P22" i="4"/>
  <c r="R22" i="4" s="1"/>
  <c r="K29" i="4" s="1"/>
  <c r="M39" i="4"/>
  <c r="M38" i="4"/>
  <c r="R20" i="4"/>
  <c r="M14" i="4" l="1"/>
  <c r="M16" i="4" s="1"/>
  <c r="P23" i="4"/>
  <c r="R23" i="4"/>
  <c r="K27" i="4" s="1"/>
  <c r="M40" i="4"/>
  <c r="N44" i="4" s="1"/>
  <c r="K42" i="4"/>
  <c r="K28" i="4" l="1"/>
</calcChain>
</file>

<file path=xl/sharedStrings.xml><?xml version="1.0" encoding="utf-8"?>
<sst xmlns="http://schemas.openxmlformats.org/spreadsheetml/2006/main" count="85" uniqueCount="75">
  <si>
    <t>Compliance Year</t>
  </si>
  <si>
    <t>RPS Class Requirements</t>
  </si>
  <si>
    <t>Class</t>
  </si>
  <si>
    <t>Percent</t>
  </si>
  <si>
    <t>Q1</t>
  </si>
  <si>
    <t>Q2</t>
  </si>
  <si>
    <t>Q3</t>
  </si>
  <si>
    <t>Q4</t>
  </si>
  <si>
    <t>Class Totals</t>
  </si>
  <si>
    <t>Class Deficiency</t>
  </si>
  <si>
    <t>ACP</t>
  </si>
  <si>
    <t xml:space="preserve">Class I </t>
  </si>
  <si>
    <t xml:space="preserve">Class II </t>
  </si>
  <si>
    <t>Class III</t>
  </si>
  <si>
    <t>Total</t>
  </si>
  <si>
    <t>Totals</t>
  </si>
  <si>
    <t>Annual RPS Percentage</t>
  </si>
  <si>
    <t>Total RPS Certificate Obligation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</si>
  <si>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 Must match EDC filing in the RPS docket.</t>
    </r>
  </si>
  <si>
    <t>RPS RECs</t>
  </si>
  <si>
    <t>*Load in MWh</t>
  </si>
  <si>
    <t>Total Load*</t>
  </si>
  <si>
    <t>ACP Payment</t>
  </si>
  <si>
    <t>ACP Payment &amp; Allocation</t>
  </si>
  <si>
    <t>ACP to Eversource</t>
  </si>
  <si>
    <t>ACP to UI</t>
  </si>
  <si>
    <t>ACP to CT Green Bank</t>
  </si>
  <si>
    <r>
      <t>Annual Load* - Eversource</t>
    </r>
    <r>
      <rPr>
        <vertAlign val="superscript"/>
        <sz val="12"/>
        <color theme="1"/>
        <rFont val="Arial"/>
        <family val="2"/>
      </rPr>
      <t>1</t>
    </r>
  </si>
  <si>
    <r>
      <t>Annual Load* - UI</t>
    </r>
    <r>
      <rPr>
        <vertAlign val="superscript"/>
        <sz val="12"/>
        <color theme="1"/>
        <rFont val="Arial"/>
        <family val="2"/>
      </rPr>
      <t>1</t>
    </r>
  </si>
  <si>
    <t>The following must be submitted with the Compliance Report:</t>
  </si>
  <si>
    <t>1. Supporting documentation from NEPOOL-GIS, submitted as Excel spreadsheets</t>
  </si>
  <si>
    <t>Electricity Supplier:</t>
  </si>
  <si>
    <t>License Type:</t>
  </si>
  <si>
    <t>Address:</t>
  </si>
  <si>
    <t>Address Line 1</t>
  </si>
  <si>
    <t>Address Line 2</t>
  </si>
  <si>
    <t>City, State Zip Code</t>
  </si>
  <si>
    <t>Phone:</t>
  </si>
  <si>
    <t>E-mail:</t>
  </si>
  <si>
    <t>email@mail.com</t>
  </si>
  <si>
    <r>
      <t xml:space="preserve">Supplier </t>
    </r>
    <r>
      <rPr>
        <b/>
        <u/>
        <sz val="12"/>
        <rFont val="Arial"/>
        <family val="2"/>
      </rPr>
      <t>or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Utility</t>
    </r>
  </si>
  <si>
    <t>Contact Person:</t>
  </si>
  <si>
    <t>REC Bank</t>
  </si>
  <si>
    <t>Beginning REC Balance From Past Years</t>
  </si>
  <si>
    <t>Previously Banked RECs Used for Current Year Compliance</t>
  </si>
  <si>
    <t>Two Years Prior to the Current Filing Year</t>
  </si>
  <si>
    <t>One Year Prior to the Current Filing Year</t>
  </si>
  <si>
    <t>Current Filing Year (Not to exceed 30% of Load Served)</t>
  </si>
  <si>
    <t>Class I</t>
  </si>
  <si>
    <t>Class II</t>
  </si>
  <si>
    <t>VRO
RECs</t>
  </si>
  <si>
    <t>TOTAL</t>
  </si>
  <si>
    <t>Eversource ISO-NE Asset No.</t>
  </si>
  <si>
    <t>UI ISO-NE Asset No.</t>
  </si>
  <si>
    <t>Banked RECs</t>
  </si>
  <si>
    <t>Name</t>
  </si>
  <si>
    <t xml:space="preserve">NEPOOL GIS REC Settlement </t>
  </si>
  <si>
    <r>
      <rPr>
        <b/>
        <sz val="12"/>
        <rFont val="Arial"/>
        <family val="2"/>
      </rPr>
      <t>Note</t>
    </r>
    <r>
      <rPr>
        <sz val="12"/>
        <rFont val="Arial"/>
        <family val="2"/>
      </rPr>
      <t xml:space="preserve">: Enter the total number of banked RECs that are intended to be applied before newly settled RECs.  </t>
    </r>
  </si>
  <si>
    <r>
      <rPr>
        <b/>
        <sz val="12"/>
        <color theme="1"/>
        <rFont val="Arial"/>
        <family val="2"/>
      </rPr>
      <t>Calculated</t>
    </r>
    <r>
      <rPr>
        <sz val="12"/>
        <color theme="1"/>
        <rFont val="Arial"/>
        <family val="2"/>
      </rPr>
      <t xml:space="preserve"> Excess RECs Available to be Banked for Future Use</t>
    </r>
  </si>
  <si>
    <t>Supplier must fill in all contact information and applicable GREEN boxes.  All information in yellow boxes is calculated.</t>
  </si>
  <si>
    <r>
      <rPr>
        <b/>
        <sz val="12"/>
        <color theme="1"/>
        <rFont val="Arial"/>
        <family val="2"/>
      </rPr>
      <t>Requested</t>
    </r>
    <r>
      <rPr>
        <sz val="12"/>
        <color theme="1"/>
        <rFont val="Arial"/>
        <family val="2"/>
      </rPr>
      <t xml:space="preserve"> Excess RECs to be Banked for Future Use</t>
    </r>
  </si>
  <si>
    <t xml:space="preserve">Actual </t>
  </si>
  <si>
    <t>Carried Renewable Energy Portfolio Standard Security (Sec. 16-245a-1):</t>
  </si>
  <si>
    <t>Carried Financial Responsibility Security (Reg Sec. 16-245-4):</t>
  </si>
  <si>
    <t>Total Carried Security:</t>
  </si>
  <si>
    <t>Forecast Year Full ACP:</t>
  </si>
  <si>
    <t>Rounded Forecast Year Full ACP:</t>
  </si>
  <si>
    <t>Attestation Required</t>
  </si>
  <si>
    <t>Generally $250k</t>
  </si>
  <si>
    <t>Current Compliance Year Security Requirement:</t>
  </si>
  <si>
    <t>Preliminary Supplemental Security Increase:</t>
  </si>
  <si>
    <t>Minimum of $25k</t>
  </si>
  <si>
    <t>90% ACP Requirement -Sec. 16-245a-1(b)(2):</t>
  </si>
  <si>
    <t>Supplier Security Requirement Details (Not Applicable for EDCs)</t>
  </si>
  <si>
    <t>Connecticut Annual RPS Compliance Report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</si>
</sst>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  <numFmt numFmtId="167" formatCode="[$-409]mmmm\ d\,\ yyyy;@"/>
    <numFmt numFmtId="168" formatCode="[&lt;=9999999]###\-####;\(###\)\ ###\-####"/>
    <numFmt numFmtId="169" formatCode="0.000000"/>
    <numFmt numFmtId="170" formatCode="_(&quot;$&quot;* #,##0_);_(&quot;$&quot;* \(#,##0\);_(&quot;$&quot;* &quot;-&quot;??_);_(@_)"/>
    <numFmt numFmtId="171" formatCode="_(&quot;$&quot;* #,##0.0_);_(&quot;$&quot;* \(#,##0.0\);_(&quot;$&quot;* &quot;-&quot;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2"/>
      <color theme="1"/>
      <name val="Arial"/>
      <family val="2"/>
    </font>
    <font>
      <vertAlign val="superscript"/>
      <sz val="11"/>
      <color theme="1"/>
      <name val="Arial"/>
      <family val="2"/>
    </font>
    <font>
      <sz val="9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FF0000"/>
      <name val="Arial"/>
      <family val="2"/>
    </font>
    <font>
      <b/>
      <u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3" fontId="3" fillId="2" borderId="1" xfId="0" applyNumberFormat="1" applyFont="1" applyFill="1" applyBorder="1" applyAlignment="1">
      <alignment horizontal="center" vertical="center"/>
    </xf>
    <xf numFmtId="3" fontId="3" fillId="7" borderId="10" xfId="0" applyNumberFormat="1" applyFont="1" applyFill="1" applyBorder="1" applyAlignment="1" applyProtection="1">
      <alignment horizontal="center"/>
      <protection locked="0"/>
    </xf>
    <xf numFmtId="3" fontId="3" fillId="7" borderId="9" xfId="0" applyNumberFormat="1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3" fontId="3" fillId="7" borderId="1" xfId="0" applyNumberFormat="1" applyFont="1" applyFill="1" applyBorder="1" applyAlignment="1" applyProtection="1">
      <alignment horizontal="center" vertical="center"/>
      <protection locked="0"/>
    </xf>
    <xf numFmtId="0" fontId="11" fillId="7" borderId="0" xfId="0" applyFont="1" applyFill="1" applyAlignment="1" applyProtection="1">
      <alignment vertical="center"/>
      <protection locked="0"/>
    </xf>
    <xf numFmtId="167" fontId="11" fillId="7" borderId="0" xfId="0" applyNumberFormat="1" applyFont="1" applyFill="1" applyAlignment="1" applyProtection="1">
      <alignment horizontal="left" vertical="center"/>
      <protection locked="0"/>
    </xf>
    <xf numFmtId="168" fontId="11" fillId="7" borderId="0" xfId="0" applyNumberFormat="1" applyFont="1" applyFill="1" applyAlignment="1" applyProtection="1">
      <alignment horizontal="left" vertical="center"/>
      <protection locked="0"/>
    </xf>
    <xf numFmtId="3" fontId="6" fillId="7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7" fontId="11" fillId="0" borderId="0" xfId="0" applyNumberFormat="1" applyFont="1" applyAlignment="1">
      <alignment horizontal="left" vertical="center"/>
    </xf>
    <xf numFmtId="168" fontId="11" fillId="0" borderId="0" xfId="0" applyNumberFormat="1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66" fontId="3" fillId="0" borderId="0" xfId="1" applyNumberFormat="1" applyFont="1" applyAlignment="1" applyProtection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165" fontId="3" fillId="2" borderId="19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3" fontId="2" fillId="2" borderId="12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65" fontId="2" fillId="2" borderId="1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0" xfId="0" applyFont="1"/>
    <xf numFmtId="0" fontId="3" fillId="0" borderId="5" xfId="0" applyFont="1" applyBorder="1"/>
    <xf numFmtId="166" fontId="5" fillId="0" borderId="0" xfId="1" applyNumberFormat="1" applyFont="1" applyBorder="1" applyAlignment="1" applyProtection="1">
      <alignment horizontal="center"/>
    </xf>
    <xf numFmtId="165" fontId="5" fillId="2" borderId="6" xfId="0" applyNumberFormat="1" applyFont="1" applyFill="1" applyBorder="1"/>
    <xf numFmtId="164" fontId="5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0" fontId="5" fillId="0" borderId="12" xfId="0" applyFont="1" applyBorder="1"/>
    <xf numFmtId="165" fontId="5" fillId="2" borderId="13" xfId="0" applyNumberFormat="1" applyFont="1" applyFill="1" applyBorder="1"/>
    <xf numFmtId="165" fontId="5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0" fillId="0" borderId="8" xfId="0" applyBorder="1"/>
    <xf numFmtId="0" fontId="3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/>
    <xf numFmtId="3" fontId="3" fillId="5" borderId="9" xfId="0" applyNumberFormat="1" applyFont="1" applyFill="1" applyBorder="1" applyAlignment="1">
      <alignment horizontal="center"/>
    </xf>
    <xf numFmtId="0" fontId="3" fillId="3" borderId="0" xfId="0" applyFont="1" applyFill="1"/>
    <xf numFmtId="0" fontId="3" fillId="0" borderId="8" xfId="0" applyFont="1" applyBorder="1"/>
    <xf numFmtId="0" fontId="3" fillId="3" borderId="6" xfId="0" applyFont="1" applyFill="1" applyBorder="1"/>
    <xf numFmtId="0" fontId="3" fillId="0" borderId="9" xfId="0" applyFont="1" applyBorder="1"/>
    <xf numFmtId="0" fontId="3" fillId="3" borderId="12" xfId="0" applyFont="1" applyFill="1" applyBorder="1"/>
    <xf numFmtId="0" fontId="4" fillId="0" borderId="0" xfId="0" applyFont="1" applyAlignment="1">
      <alignment horizontal="center"/>
    </xf>
    <xf numFmtId="3" fontId="2" fillId="6" borderId="9" xfId="0" applyNumberFormat="1" applyFont="1" applyFill="1" applyBorder="1" applyAlignment="1">
      <alignment horizontal="center"/>
    </xf>
    <xf numFmtId="3" fontId="2" fillId="5" borderId="9" xfId="0" applyNumberFormat="1" applyFont="1" applyFill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3" fontId="3" fillId="2" borderId="10" xfId="0" applyNumberFormat="1" applyFont="1" applyFill="1" applyBorder="1"/>
    <xf numFmtId="0" fontId="15" fillId="0" borderId="0" xfId="0" applyFont="1"/>
    <xf numFmtId="3" fontId="5" fillId="0" borderId="0" xfId="0" applyNumberFormat="1" applyFont="1"/>
    <xf numFmtId="165" fontId="3" fillId="3" borderId="0" xfId="0" applyNumberFormat="1" applyFont="1" applyFill="1" applyAlignment="1">
      <alignment horizontal="center" vertical="center"/>
    </xf>
    <xf numFmtId="166" fontId="3" fillId="0" borderId="0" xfId="1" applyNumberFormat="1" applyFont="1" applyFill="1" applyAlignment="1" applyProtection="1">
      <alignment horizontal="center" vertical="center"/>
    </xf>
    <xf numFmtId="9" fontId="3" fillId="0" borderId="0" xfId="1" applyFont="1" applyFill="1" applyAlignment="1" applyProtection="1">
      <alignment horizontal="center" vertical="center"/>
    </xf>
    <xf numFmtId="9" fontId="6" fillId="0" borderId="0" xfId="1" applyFont="1" applyFill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0" fontId="3" fillId="7" borderId="0" xfId="2" applyNumberFormat="1" applyFont="1" applyFill="1" applyBorder="1" applyAlignment="1" applyProtection="1">
      <alignment vertical="center"/>
      <protection locked="0"/>
    </xf>
    <xf numFmtId="0" fontId="3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70" fontId="11" fillId="2" borderId="0" xfId="2" applyNumberFormat="1" applyFont="1" applyFill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170" fontId="11" fillId="2" borderId="12" xfId="2" applyNumberFormat="1" applyFont="1" applyFill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70" fontId="10" fillId="2" borderId="0" xfId="0" applyNumberFormat="1" applyFont="1" applyFill="1" applyAlignment="1">
      <alignment vertical="center"/>
    </xf>
    <xf numFmtId="169" fontId="11" fillId="0" borderId="0" xfId="0" applyNumberFormat="1" applyFont="1" applyAlignment="1">
      <alignment vertical="center"/>
    </xf>
    <xf numFmtId="171" fontId="11" fillId="0" borderId="0" xfId="0" applyNumberFormat="1" applyFont="1" applyAlignment="1">
      <alignment vertical="center"/>
    </xf>
    <xf numFmtId="0" fontId="16" fillId="0" borderId="2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19050</xdr:rowOff>
    </xdr:from>
    <xdr:to>
      <xdr:col>8</xdr:col>
      <xdr:colOff>504825</xdr:colOff>
      <xdr:row>32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" y="19050"/>
          <a:ext cx="5305425" cy="592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Exhibit A Instructions:</a:t>
          </a:r>
        </a:p>
        <a:p>
          <a:endParaRPr lang="en-US" sz="1100"/>
        </a:p>
        <a:p>
          <a:r>
            <a:rPr lang="en-US" sz="1100" u="sng"/>
            <a:t>Completing the Spreadsheet: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Load Servicing</a:t>
          </a:r>
          <a:r>
            <a:rPr lang="en-US" sz="1100" baseline="0"/>
            <a:t> Entities (LSE's) / Suppliers </a:t>
          </a:r>
          <a:r>
            <a:rPr lang="en-US" sz="1100"/>
            <a:t>must fill in all contact information and applicable GREEN boxes.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All information in yellow boxes is calculated.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NEPOOL</a:t>
          </a:r>
          <a:r>
            <a:rPr lang="en-US" sz="1100" baseline="0"/>
            <a:t>-GIS information must agree to supporting documentation.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Spreadsheet calculates the 'Excess RECs Available to be Banked for Future Use'; however, the LSE/Supplier </a:t>
          </a:r>
          <a:r>
            <a:rPr lang="en-US" sz="1100" b="1" u="sng" baseline="0">
              <a:solidFill>
                <a:srgbClr val="FF0000"/>
              </a:solidFill>
            </a:rPr>
            <a:t>is required </a:t>
          </a:r>
          <a:r>
            <a:rPr lang="en-US" sz="1100" baseline="0"/>
            <a:t>to identify the '</a:t>
          </a:r>
          <a:r>
            <a:rPr lang="en-US" sz="1100" b="0" baseline="0"/>
            <a:t>Requested</a:t>
          </a:r>
          <a:r>
            <a:rPr lang="en-US" sz="1100" baseline="0"/>
            <a:t> Excess RECs to be Banked for Future Use'.   If this information is not identified by the LSE/Supplier then it will not be considered as Banked.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US" sz="1100" baseline="0"/>
        </a:p>
        <a:p>
          <a:pPr marL="0" indent="0">
            <a:buFont typeface="Arial" panose="020B0604020202020204" pitchFamily="34" charset="0"/>
            <a:buNone/>
          </a:pPr>
          <a:r>
            <a:rPr lang="en-US" sz="1100" u="sng" baseline="0"/>
            <a:t>NEW for 2022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Spreadsheet calculates the required Security based on the forecast year full ACP as defined within Sec. 16-245a-1. This Security obligation is in addition to the Security required within Reg Sec. 16-245-4 (generally $250,000). User should input both amounts to derive the overall Security obligation.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Suppliers will need to provide an affirmation and copies of Securities.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EDC's are not required to complete the Security assessment.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Suppliers must print the RPS Affidavit, complete the form, and submit the Affidavit as a pdf. Additionally, the Exhibit A must be submitted as an unlocked Excel file.  </a:t>
          </a:r>
        </a:p>
        <a:p>
          <a:endParaRPr lang="en-US" sz="1100"/>
        </a:p>
        <a:p>
          <a:r>
            <a:rPr lang="en-US" sz="1100" u="sng"/>
            <a:t>NEW for 2023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RPS Class %s increased per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Conn. Gen. Stat. § 16‑1(a)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en-US" sz="1100"/>
        </a:p>
        <a:p>
          <a:r>
            <a:rPr lang="en-US" sz="1100" u="sng"/>
            <a:t>Additional Points: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Both the NEPOOL-GIS and Exhibit A</a:t>
          </a:r>
          <a:r>
            <a:rPr lang="en-US" sz="1100" baseline="0"/>
            <a:t> MUST be </a:t>
          </a:r>
          <a:r>
            <a:rPr lang="en-US" sz="1100"/>
            <a:t>submitted as Excel spreadsheets.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/>
            <a:t>Additional guidance is included within the</a:t>
          </a:r>
          <a:r>
            <a:rPr lang="en-US" sz="1100" baseline="0"/>
            <a:t> "RPS Guide &amp; FAQ" on PURA's website.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US" sz="1100" baseline="0"/>
            <a:t>Spreadsheet is password protected.  Any party requiring modification to the spreadsheet should engage directly with the Office of Education, Outreach, &amp; Enforcement.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561974</xdr:colOff>
      <xdr:row>48</xdr:row>
      <xdr:rowOff>84132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0D1F62-46FE-A036-78ED-B881F9FE9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67574" cy="9228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="115" zoomScaleNormal="115" workbookViewId="0">
      <selection activeCell="L14" sqref="L14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48"/>
  <sheetViews>
    <sheetView zoomScale="85" zoomScaleNormal="85" workbookViewId="0">
      <selection activeCell="L24" sqref="L24"/>
    </sheetView>
  </sheetViews>
  <sheetFormatPr defaultColWidth="9.140625" defaultRowHeight="14.25" x14ac:dyDescent="0.2"/>
  <cols>
    <col min="1" max="1" width="33.140625" style="44" customWidth="1"/>
    <col min="2" max="2" width="31.42578125" style="44" customWidth="1"/>
    <col min="3" max="3" width="2" style="44" customWidth="1"/>
    <col min="4" max="4" width="12.85546875" style="44" customWidth="1"/>
    <col min="5" max="6" width="17.85546875" style="44" customWidth="1"/>
    <col min="7" max="7" width="1.42578125" style="44" customWidth="1"/>
    <col min="8" max="13" width="18" style="44" customWidth="1"/>
    <col min="14" max="14" width="14.7109375" style="44" customWidth="1"/>
    <col min="15" max="16" width="18" style="44" customWidth="1"/>
    <col min="17" max="17" width="8.42578125" style="44" customWidth="1"/>
    <col min="18" max="18" width="19.85546875" style="44" customWidth="1"/>
    <col min="19" max="20" width="17.85546875" style="44" customWidth="1"/>
    <col min="21" max="21" width="15.42578125" style="44" customWidth="1"/>
    <col min="22" max="23" width="16.85546875" style="44" customWidth="1"/>
    <col min="24" max="24" width="4.85546875" style="44" customWidth="1"/>
    <col min="25" max="26" width="16.85546875" style="44" customWidth="1"/>
    <col min="27" max="27" width="3.140625" style="44" customWidth="1"/>
    <col min="28" max="30" width="16.85546875" style="44" customWidth="1"/>
    <col min="31" max="16384" width="9.140625" style="44"/>
  </cols>
  <sheetData>
    <row r="1" spans="1:18" s="10" customFormat="1" ht="23.45" customHeight="1" x14ac:dyDescent="0.25">
      <c r="A1" s="99" t="s">
        <v>74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18" s="10" customFormat="1" ht="15.75" x14ac:dyDescent="0.25">
      <c r="A2" s="11" t="s">
        <v>0</v>
      </c>
      <c r="B2" s="12">
        <v>2023</v>
      </c>
    </row>
    <row r="3" spans="1:18" s="10" customFormat="1" ht="15" x14ac:dyDescent="0.25">
      <c r="B3" s="12"/>
    </row>
    <row r="4" spans="1:18" s="10" customFormat="1" ht="16.5" thickBot="1" x14ac:dyDescent="0.3">
      <c r="A4" s="13" t="s">
        <v>59</v>
      </c>
      <c r="B4" s="12"/>
    </row>
    <row r="5" spans="1:18" s="10" customFormat="1" ht="15.75" x14ac:dyDescent="0.25">
      <c r="A5" s="13" t="s">
        <v>29</v>
      </c>
      <c r="B5" s="12"/>
      <c r="H5" s="95" t="s">
        <v>73</v>
      </c>
      <c r="I5" s="21"/>
      <c r="J5" s="21"/>
      <c r="K5" s="21"/>
      <c r="L5" s="21"/>
      <c r="M5" s="21"/>
      <c r="N5" s="21"/>
      <c r="O5" s="43"/>
    </row>
    <row r="6" spans="1:18" s="10" customFormat="1" ht="15.75" x14ac:dyDescent="0.25">
      <c r="A6" s="13" t="s">
        <v>30</v>
      </c>
      <c r="B6" s="12"/>
      <c r="H6" s="28"/>
      <c r="L6" s="90" t="s">
        <v>62</v>
      </c>
      <c r="M6" s="80"/>
      <c r="N6" s="10" t="s">
        <v>71</v>
      </c>
      <c r="O6" s="81"/>
    </row>
    <row r="7" spans="1:18" s="10" customFormat="1" ht="14.1" customHeight="1" x14ac:dyDescent="0.2">
      <c r="A7" s="14"/>
      <c r="H7" s="82"/>
      <c r="I7" s="16"/>
      <c r="J7" s="16"/>
      <c r="K7" s="16"/>
      <c r="L7" s="91" t="s">
        <v>63</v>
      </c>
      <c r="M7" s="80"/>
      <c r="N7" s="16" t="s">
        <v>68</v>
      </c>
      <c r="O7" s="83"/>
    </row>
    <row r="8" spans="1:18" s="16" customFormat="1" ht="15" customHeight="1" x14ac:dyDescent="0.25">
      <c r="A8" s="15" t="s">
        <v>31</v>
      </c>
      <c r="B8" s="6" t="s">
        <v>55</v>
      </c>
      <c r="C8" s="15"/>
      <c r="H8" s="82"/>
      <c r="L8" s="91" t="s">
        <v>64</v>
      </c>
      <c r="M8" s="92">
        <f>SUM(M6:M7)</f>
        <v>0</v>
      </c>
      <c r="O8" s="83"/>
    </row>
    <row r="9" spans="1:18" s="16" customFormat="1" ht="15" customHeight="1" x14ac:dyDescent="0.25">
      <c r="A9" s="15" t="s">
        <v>32</v>
      </c>
      <c r="B9" s="6" t="s">
        <v>40</v>
      </c>
      <c r="C9" s="15"/>
      <c r="D9" s="17"/>
      <c r="H9" s="82"/>
      <c r="O9" s="83"/>
    </row>
    <row r="10" spans="1:18" s="16" customFormat="1" ht="15" customHeight="1" x14ac:dyDescent="0.25">
      <c r="A10" s="15" t="s">
        <v>33</v>
      </c>
      <c r="B10" s="6" t="s">
        <v>34</v>
      </c>
      <c r="C10" s="15"/>
      <c r="H10" s="82"/>
      <c r="L10" s="91" t="s">
        <v>65</v>
      </c>
      <c r="M10" s="84">
        <f>IF(((ROUND($B$22*E20,0)*Q20)+(ROUND($B$22*E21,0)*Q21)+(ROUND($B$22*E22,0)*Q22))&gt;25000,(ROUND($B$22*E20,0)*Q20)+(ROUND($B$22*E21,0)*Q21)+(ROUND($B$22*E22,0)*Q22),25000)</f>
        <v>25000</v>
      </c>
      <c r="O10" s="83"/>
    </row>
    <row r="11" spans="1:18" s="16" customFormat="1" ht="15" customHeight="1" x14ac:dyDescent="0.25">
      <c r="A11" s="15"/>
      <c r="B11" s="7" t="s">
        <v>35</v>
      </c>
      <c r="C11" s="15"/>
      <c r="D11" s="17"/>
      <c r="H11" s="82"/>
      <c r="L11" s="91" t="s">
        <v>66</v>
      </c>
      <c r="M11" s="84">
        <f>MROUND(M10,1000)</f>
        <v>25000</v>
      </c>
      <c r="O11" s="83"/>
    </row>
    <row r="12" spans="1:18" s="16" customFormat="1" ht="15" customHeight="1" x14ac:dyDescent="0.25">
      <c r="A12" s="15"/>
      <c r="B12" s="7" t="s">
        <v>36</v>
      </c>
      <c r="C12" s="15"/>
      <c r="D12" s="17"/>
      <c r="H12" s="82"/>
      <c r="O12" s="83"/>
    </row>
    <row r="13" spans="1:18" s="16" customFormat="1" ht="15" customHeight="1" x14ac:dyDescent="0.25">
      <c r="A13" s="15" t="s">
        <v>37</v>
      </c>
      <c r="B13" s="8">
        <v>8005555555</v>
      </c>
      <c r="C13" s="15"/>
      <c r="D13" s="18"/>
      <c r="H13" s="82"/>
      <c r="I13" s="93"/>
      <c r="L13" s="91" t="s">
        <v>70</v>
      </c>
      <c r="M13" s="84">
        <f>IF(M11&gt;M6,M11-M6,0)</f>
        <v>25000</v>
      </c>
      <c r="N13" s="94"/>
      <c r="O13" s="83"/>
    </row>
    <row r="14" spans="1:18" s="16" customFormat="1" ht="15" customHeight="1" x14ac:dyDescent="0.25">
      <c r="A14" s="15" t="s">
        <v>41</v>
      </c>
      <c r="B14" s="8"/>
      <c r="C14" s="15"/>
      <c r="D14" s="18"/>
      <c r="H14" s="82"/>
      <c r="L14" s="91" t="s">
        <v>72</v>
      </c>
      <c r="M14" s="84">
        <f>IF((M13&gt;(0.1*M6)),M13,0)</f>
        <v>25000</v>
      </c>
      <c r="O14" s="83"/>
    </row>
    <row r="15" spans="1:18" s="16" customFormat="1" ht="15" customHeight="1" x14ac:dyDescent="0.25">
      <c r="A15" s="15" t="s">
        <v>38</v>
      </c>
      <c r="B15" s="6" t="s">
        <v>39</v>
      </c>
      <c r="C15" s="15"/>
      <c r="H15" s="82"/>
      <c r="O15" s="83"/>
    </row>
    <row r="16" spans="1:18" s="16" customFormat="1" ht="15" customHeight="1" thickBot="1" x14ac:dyDescent="0.3">
      <c r="A16" s="15"/>
      <c r="C16" s="15"/>
      <c r="H16" s="85"/>
      <c r="I16" s="86"/>
      <c r="J16" s="86"/>
      <c r="K16" s="86"/>
      <c r="L16" s="87" t="s">
        <v>69</v>
      </c>
      <c r="M16" s="88">
        <f>IF(M13+M14=0,M11+M7,M14+M8)</f>
        <v>25000</v>
      </c>
      <c r="N16" s="86" t="s">
        <v>67</v>
      </c>
      <c r="O16" s="89"/>
    </row>
    <row r="17" spans="1:18" s="10" customFormat="1" ht="15" customHeight="1" thickBot="1" x14ac:dyDescent="0.3">
      <c r="B17" s="19"/>
    </row>
    <row r="18" spans="1:18" s="10" customFormat="1" ht="15" customHeight="1" x14ac:dyDescent="0.25">
      <c r="A18" s="10" t="s">
        <v>52</v>
      </c>
      <c r="B18" s="4"/>
      <c r="D18" s="100" t="s">
        <v>1</v>
      </c>
      <c r="E18" s="100"/>
      <c r="F18" s="100"/>
      <c r="H18" s="20" t="s">
        <v>56</v>
      </c>
      <c r="I18" s="21"/>
      <c r="J18" s="21"/>
      <c r="K18" s="21"/>
      <c r="L18" s="21"/>
      <c r="M18" s="101" t="s">
        <v>54</v>
      </c>
      <c r="N18" s="103" t="s">
        <v>50</v>
      </c>
      <c r="O18" s="101" t="s">
        <v>8</v>
      </c>
      <c r="P18" s="103" t="s">
        <v>9</v>
      </c>
      <c r="Q18" s="21"/>
      <c r="R18" s="79" t="s">
        <v>61</v>
      </c>
    </row>
    <row r="19" spans="1:18" s="10" customFormat="1" ht="15" customHeight="1" thickBot="1" x14ac:dyDescent="0.3">
      <c r="A19" s="10" t="s">
        <v>53</v>
      </c>
      <c r="B19" s="4"/>
      <c r="D19" s="22" t="s">
        <v>2</v>
      </c>
      <c r="E19" s="22" t="s">
        <v>3</v>
      </c>
      <c r="F19" s="11" t="s">
        <v>19</v>
      </c>
      <c r="H19" s="23"/>
      <c r="I19" s="24" t="s">
        <v>4</v>
      </c>
      <c r="J19" s="24" t="s">
        <v>5</v>
      </c>
      <c r="K19" s="12" t="s">
        <v>6</v>
      </c>
      <c r="L19" s="12" t="s">
        <v>7</v>
      </c>
      <c r="M19" s="102"/>
      <c r="N19" s="104"/>
      <c r="O19" s="102"/>
      <c r="P19" s="105"/>
      <c r="Q19" s="12" t="s">
        <v>10</v>
      </c>
      <c r="R19" s="25" t="s">
        <v>22</v>
      </c>
    </row>
    <row r="20" spans="1:18" s="10" customFormat="1" ht="15" customHeight="1" x14ac:dyDescent="0.25">
      <c r="A20" s="10" t="s">
        <v>27</v>
      </c>
      <c r="B20" s="5"/>
      <c r="D20" s="10" t="s">
        <v>11</v>
      </c>
      <c r="E20" s="76">
        <v>0.26</v>
      </c>
      <c r="F20" s="27">
        <f>ROUND($B$22*E20,0)</f>
        <v>0</v>
      </c>
      <c r="H20" s="28" t="s">
        <v>11</v>
      </c>
      <c r="I20" s="5"/>
      <c r="J20" s="5"/>
      <c r="K20" s="5"/>
      <c r="L20" s="5"/>
      <c r="M20" s="1">
        <f>J37</f>
        <v>0</v>
      </c>
      <c r="N20" s="5"/>
      <c r="O20" s="1">
        <f>SUM(I20:L20,J37)-N20</f>
        <v>0</v>
      </c>
      <c r="P20" s="1">
        <f>MAX(0,F20-O20)</f>
        <v>0</v>
      </c>
      <c r="Q20" s="75">
        <v>40</v>
      </c>
      <c r="R20" s="30">
        <f>IF(P20&lt;0,"$0",P20*Q20)</f>
        <v>0</v>
      </c>
    </row>
    <row r="21" spans="1:18" s="10" customFormat="1" ht="15" customHeight="1" x14ac:dyDescent="0.25">
      <c r="A21" s="10" t="s">
        <v>28</v>
      </c>
      <c r="B21" s="5"/>
      <c r="D21" s="10" t="s">
        <v>12</v>
      </c>
      <c r="E21" s="77">
        <v>0.04</v>
      </c>
      <c r="F21" s="31">
        <f>ROUND($B$22*E21,0)</f>
        <v>0</v>
      </c>
      <c r="H21" s="28" t="s">
        <v>12</v>
      </c>
      <c r="I21" s="5"/>
      <c r="J21" s="5"/>
      <c r="K21" s="5"/>
      <c r="L21" s="5"/>
      <c r="M21" s="1">
        <f>J38</f>
        <v>0</v>
      </c>
      <c r="N21" s="5"/>
      <c r="O21" s="1">
        <f>SUM(I21:L21,J38)-N21</f>
        <v>0</v>
      </c>
      <c r="P21" s="1">
        <f>MAX(0,F21-O21)</f>
        <v>0</v>
      </c>
      <c r="Q21" s="29">
        <v>25</v>
      </c>
      <c r="R21" s="30">
        <f t="shared" ref="R21:R22" si="0">IF(P21&lt;0,"$0",P21*Q21)</f>
        <v>0</v>
      </c>
    </row>
    <row r="22" spans="1:18" s="10" customFormat="1" ht="15" customHeight="1" thickBot="1" x14ac:dyDescent="0.3">
      <c r="A22" s="10" t="s">
        <v>21</v>
      </c>
      <c r="B22" s="1">
        <f>B21+B20</f>
        <v>0</v>
      </c>
      <c r="D22" s="10" t="s">
        <v>13</v>
      </c>
      <c r="E22" s="78">
        <v>0.05</v>
      </c>
      <c r="F22" s="32">
        <f>ROUND($B$22*E22,0)</f>
        <v>0</v>
      </c>
      <c r="H22" s="28" t="s">
        <v>13</v>
      </c>
      <c r="I22" s="9"/>
      <c r="J22" s="9"/>
      <c r="K22" s="9"/>
      <c r="L22" s="9"/>
      <c r="M22" s="1">
        <f>J39</f>
        <v>0</v>
      </c>
      <c r="N22" s="9"/>
      <c r="O22" s="1">
        <f>SUM(I22:L22,J39)-N22</f>
        <v>0</v>
      </c>
      <c r="P22" s="33">
        <f>MAX(0,F22-O22)</f>
        <v>0</v>
      </c>
      <c r="Q22" s="29">
        <v>31</v>
      </c>
      <c r="R22" s="30">
        <f t="shared" si="0"/>
        <v>0</v>
      </c>
    </row>
    <row r="23" spans="1:18" s="10" customFormat="1" ht="15" customHeight="1" thickBot="1" x14ac:dyDescent="0.3">
      <c r="A23" s="34" t="s">
        <v>20</v>
      </c>
      <c r="B23" s="12"/>
      <c r="D23" s="35" t="s">
        <v>14</v>
      </c>
      <c r="E23" s="36">
        <f>SUM(E20:E22)</f>
        <v>0.35</v>
      </c>
      <c r="F23" s="37">
        <f>SUM(F20:F22)</f>
        <v>0</v>
      </c>
      <c r="H23" s="38" t="s">
        <v>15</v>
      </c>
      <c r="I23" s="39">
        <f>SUM(I20:I22)</f>
        <v>0</v>
      </c>
      <c r="J23" s="39">
        <f t="shared" ref="J23:N23" si="1">SUM(J20:J22)</f>
        <v>0</v>
      </c>
      <c r="K23" s="39">
        <f t="shared" si="1"/>
        <v>0</v>
      </c>
      <c r="L23" s="39">
        <f t="shared" si="1"/>
        <v>0</v>
      </c>
      <c r="M23" s="39">
        <f>SUM(M20:M22)</f>
        <v>0</v>
      </c>
      <c r="N23" s="39">
        <f t="shared" si="1"/>
        <v>0</v>
      </c>
      <c r="O23" s="39">
        <f>SUM(O20:O22)</f>
        <v>0</v>
      </c>
      <c r="P23" s="39">
        <f>SUM(P20:P22)</f>
        <v>0</v>
      </c>
      <c r="Q23" s="40"/>
      <c r="R23" s="41">
        <f>SUM(R20:R22)</f>
        <v>0</v>
      </c>
    </row>
    <row r="24" spans="1:18" s="10" customFormat="1" ht="15.75" thickBot="1" x14ac:dyDescent="0.3">
      <c r="A24" s="10" t="s">
        <v>16</v>
      </c>
      <c r="B24" s="26">
        <f>+E23</f>
        <v>0.35</v>
      </c>
    </row>
    <row r="25" spans="1:18" s="10" customFormat="1" ht="15.75" thickBot="1" x14ac:dyDescent="0.3">
      <c r="A25" s="10" t="s">
        <v>17</v>
      </c>
      <c r="B25" s="37">
        <f>$B$22*$B$24</f>
        <v>0</v>
      </c>
    </row>
    <row r="26" spans="1:18" s="10" customFormat="1" ht="15.75" x14ac:dyDescent="0.25">
      <c r="H26" s="20" t="s">
        <v>23</v>
      </c>
      <c r="I26" s="42"/>
      <c r="J26" s="21"/>
      <c r="K26" s="43"/>
    </row>
    <row r="27" spans="1:18" ht="16.5" x14ac:dyDescent="0.2">
      <c r="A27" s="44" t="s">
        <v>18</v>
      </c>
      <c r="D27" s="10"/>
      <c r="E27" s="76"/>
      <c r="H27" s="45" t="s">
        <v>24</v>
      </c>
      <c r="I27" s="14"/>
      <c r="J27" s="46"/>
      <c r="K27" s="47">
        <f>IFERROR((B20/$B$22)*($R$23-$K$29),0)</f>
        <v>0</v>
      </c>
      <c r="Q27" s="48"/>
    </row>
    <row r="28" spans="1:18" ht="15" x14ac:dyDescent="0.2">
      <c r="D28" s="10"/>
      <c r="E28" s="77"/>
      <c r="H28" s="45" t="s">
        <v>25</v>
      </c>
      <c r="I28" s="14"/>
      <c r="J28" s="46"/>
      <c r="K28" s="47">
        <f>IFERROR((B21/$B$22)*($R$23-$K$29),0)</f>
        <v>0</v>
      </c>
      <c r="Q28" s="48"/>
    </row>
    <row r="29" spans="1:18" ht="15.75" thickBot="1" x14ac:dyDescent="0.25">
      <c r="D29" s="10"/>
      <c r="E29" s="78"/>
      <c r="H29" s="49" t="s">
        <v>26</v>
      </c>
      <c r="I29" s="50"/>
      <c r="J29" s="51"/>
      <c r="K29" s="52">
        <f>R22*0.25</f>
        <v>0</v>
      </c>
      <c r="Q29" s="48"/>
    </row>
    <row r="30" spans="1:18" ht="15" x14ac:dyDescent="0.2">
      <c r="D30" s="35"/>
      <c r="E30" s="36"/>
      <c r="O30" s="53"/>
      <c r="Q30" s="48"/>
    </row>
    <row r="33" spans="4:17" ht="15" thickBot="1" x14ac:dyDescent="0.25"/>
    <row r="34" spans="4:17" ht="21" thickBot="1" x14ac:dyDescent="0.35">
      <c r="D34" s="106" t="s">
        <v>42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8"/>
    </row>
    <row r="35" spans="4:17" ht="56.45" customHeight="1" thickBot="1" x14ac:dyDescent="0.3">
      <c r="D35" s="55"/>
      <c r="E35" s="109" t="s">
        <v>43</v>
      </c>
      <c r="F35" s="110"/>
      <c r="G35" s="14"/>
      <c r="H35" s="109" t="s">
        <v>44</v>
      </c>
      <c r="I35" s="111"/>
      <c r="J35" s="110"/>
      <c r="K35" s="54"/>
      <c r="L35" s="109" t="s">
        <v>58</v>
      </c>
      <c r="M35" s="110"/>
      <c r="O35" s="109" t="s">
        <v>60</v>
      </c>
      <c r="P35" s="110"/>
    </row>
    <row r="36" spans="4:17" ht="60.75" thickBot="1" x14ac:dyDescent="0.3">
      <c r="D36" s="55"/>
      <c r="E36" s="56" t="s">
        <v>45</v>
      </c>
      <c r="F36" s="57" t="s">
        <v>46</v>
      </c>
      <c r="G36" s="10"/>
      <c r="H36" s="56" t="s">
        <v>45</v>
      </c>
      <c r="I36" s="57" t="s">
        <v>46</v>
      </c>
      <c r="J36" s="57" t="s">
        <v>14</v>
      </c>
      <c r="K36" s="58"/>
      <c r="L36" s="57" t="s">
        <v>46</v>
      </c>
      <c r="M36" s="59" t="s">
        <v>47</v>
      </c>
      <c r="O36" s="57" t="s">
        <v>46</v>
      </c>
      <c r="P36" s="59" t="s">
        <v>47</v>
      </c>
    </row>
    <row r="37" spans="4:17" ht="15.75" thickBot="1" x14ac:dyDescent="0.25">
      <c r="D37" s="60" t="s">
        <v>48</v>
      </c>
      <c r="E37" s="2"/>
      <c r="F37" s="3"/>
      <c r="G37" s="14"/>
      <c r="H37" s="2"/>
      <c r="I37" s="3"/>
      <c r="J37" s="61">
        <f>SUM(H37:I37)</f>
        <v>0</v>
      </c>
      <c r="K37" s="62"/>
      <c r="L37" s="71">
        <f>+F37-I37</f>
        <v>0</v>
      </c>
      <c r="M37" s="72">
        <f>IF((O20-F20&lt;0),0,O20-F20)</f>
        <v>0</v>
      </c>
      <c r="O37" s="3"/>
      <c r="P37" s="3"/>
    </row>
    <row r="38" spans="4:17" ht="15.75" thickBot="1" x14ac:dyDescent="0.25">
      <c r="D38" s="60" t="s">
        <v>49</v>
      </c>
      <c r="E38" s="2"/>
      <c r="F38" s="3"/>
      <c r="G38" s="63"/>
      <c r="H38" s="2"/>
      <c r="I38" s="3"/>
      <c r="J38" s="61">
        <f t="shared" ref="J38:J39" si="2">SUM(H38:I38)</f>
        <v>0</v>
      </c>
      <c r="K38" s="64"/>
      <c r="L38" s="71">
        <f>+F38-I38</f>
        <v>0</v>
      </c>
      <c r="M38" s="72">
        <f>IF((O21-F21&lt;0),0,O21-F21)</f>
        <v>0</v>
      </c>
      <c r="O38" s="3"/>
      <c r="P38" s="3"/>
    </row>
    <row r="39" spans="4:17" ht="15.75" thickBot="1" x14ac:dyDescent="0.25">
      <c r="D39" s="60" t="s">
        <v>13</v>
      </c>
      <c r="E39" s="2"/>
      <c r="F39" s="3"/>
      <c r="G39" s="65"/>
      <c r="H39" s="2"/>
      <c r="I39" s="3"/>
      <c r="J39" s="61">
        <f t="shared" si="2"/>
        <v>0</v>
      </c>
      <c r="K39" s="66"/>
      <c r="L39" s="71">
        <f>+F39-I39</f>
        <v>0</v>
      </c>
      <c r="M39" s="72">
        <f>IF((O22-F22&lt;0),0,O22-F22)</f>
        <v>0</v>
      </c>
      <c r="O39" s="3"/>
      <c r="P39" s="3"/>
    </row>
    <row r="40" spans="4:17" ht="21.95" customHeight="1" thickBot="1" x14ac:dyDescent="0.3">
      <c r="D40" s="67" t="s">
        <v>51</v>
      </c>
      <c r="E40" s="68">
        <f t="shared" ref="E40:F40" si="3">SUM(E37:E39)</f>
        <v>0</v>
      </c>
      <c r="F40" s="69">
        <f t="shared" si="3"/>
        <v>0</v>
      </c>
      <c r="H40" s="68">
        <f t="shared" ref="H40:I40" si="4">SUM(H37:H39)</f>
        <v>0</v>
      </c>
      <c r="I40" s="69">
        <f t="shared" si="4"/>
        <v>0</v>
      </c>
      <c r="J40" s="69">
        <f>SUM(J37:J39)</f>
        <v>0</v>
      </c>
      <c r="L40" s="69">
        <f t="shared" ref="L40" si="5">SUM(L37:L39)</f>
        <v>0</v>
      </c>
      <c r="M40" s="70">
        <f>IF(SUM(M37:M39)&gt;(B22*0.3),(B22*0.3),SUM(M37:M39))</f>
        <v>0</v>
      </c>
      <c r="O40" s="69">
        <f t="shared" ref="O40:P40" si="6">SUM(O37:O39)</f>
        <v>0</v>
      </c>
      <c r="P40" s="70">
        <f t="shared" si="6"/>
        <v>0</v>
      </c>
    </row>
    <row r="41" spans="4:17" ht="14.1" customHeight="1" x14ac:dyDescent="0.2">
      <c r="H41" s="96" t="s">
        <v>57</v>
      </c>
      <c r="I41" s="96"/>
      <c r="J41" s="96"/>
    </row>
    <row r="42" spans="4:17" ht="14.1" customHeight="1" x14ac:dyDescent="0.25">
      <c r="H42" s="97"/>
      <c r="I42" s="97"/>
      <c r="J42" s="97"/>
      <c r="K42" s="98" t="str">
        <f>IF(SUM(M37:M39)&gt;(B22*0.3),"Sum of REC's Banked by Class Exceed allowable %","")</f>
        <v/>
      </c>
      <c r="L42" s="98"/>
      <c r="M42" s="98"/>
      <c r="N42" s="98"/>
      <c r="O42" s="73"/>
      <c r="P42" s="73"/>
    </row>
    <row r="43" spans="4:17" ht="14.1" customHeight="1" x14ac:dyDescent="0.25">
      <c r="H43" s="97"/>
      <c r="I43" s="97"/>
      <c r="J43" s="97"/>
      <c r="N43" s="98" t="str">
        <f>IF(O40&gt;(L40),"Requested Current Bank REC Exceeded-correction required","")</f>
        <v/>
      </c>
      <c r="O43" s="98"/>
      <c r="P43" s="98"/>
      <c r="Q43" s="98"/>
    </row>
    <row r="44" spans="4:17" ht="15" x14ac:dyDescent="0.25">
      <c r="H44" s="97"/>
      <c r="I44" s="97"/>
      <c r="J44" s="97"/>
      <c r="N44" s="98" t="str">
        <f>IF(P40&gt;(M40),"Requested Prior Bank REC Exceeded-correction required","")</f>
        <v/>
      </c>
      <c r="O44" s="98"/>
      <c r="P44" s="98"/>
      <c r="Q44" s="98"/>
    </row>
    <row r="47" spans="4:17" x14ac:dyDescent="0.2">
      <c r="M47" s="74"/>
    </row>
    <row r="48" spans="4:17" x14ac:dyDescent="0.2">
      <c r="M48" s="53"/>
    </row>
  </sheetData>
  <sheetProtection sheet="1" objects="1" scenarios="1"/>
  <mergeCells count="15">
    <mergeCell ref="H41:J44"/>
    <mergeCell ref="K42:N42"/>
    <mergeCell ref="N43:Q43"/>
    <mergeCell ref="N44:Q44"/>
    <mergeCell ref="A1:R1"/>
    <mergeCell ref="D18:F18"/>
    <mergeCell ref="M18:M19"/>
    <mergeCell ref="N18:N19"/>
    <mergeCell ref="O18:O19"/>
    <mergeCell ref="P18:P19"/>
    <mergeCell ref="D34:P34"/>
    <mergeCell ref="E35:F35"/>
    <mergeCell ref="H35:J35"/>
    <mergeCell ref="L35:M35"/>
    <mergeCell ref="O35:P35"/>
  </mergeCells>
  <pageMargins left="0.7" right="0.7" top="0.75" bottom="0.75" header="0.3" footer="0.3"/>
  <pageSetup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"/>
  <sheetViews>
    <sheetView view="pageBreakPreview" zoomScaleNormal="100" zoomScaleSheetLayoutView="100" workbookViewId="0">
      <selection activeCell="N38" sqref="N38"/>
    </sheetView>
  </sheetViews>
  <sheetFormatPr defaultRowHeight="15" x14ac:dyDescent="0.25"/>
  <sheetData/>
  <pageMargins left="0.7" right="0.7" top="0.75" bottom="0.7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 Sheet</vt:lpstr>
      <vt:lpstr>23 RPS Annual Compliance Filing</vt:lpstr>
      <vt:lpstr>RPS Affidavit</vt:lpstr>
    </vt:vector>
  </TitlesOfParts>
  <Company>CTDEEP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White</dc:creator>
  <cp:lastModifiedBy>Lindee, Ezra</cp:lastModifiedBy>
  <cp:lastPrinted>2023-04-03T18:31:02Z</cp:lastPrinted>
  <dcterms:created xsi:type="dcterms:W3CDTF">2020-05-18T20:42:15Z</dcterms:created>
  <dcterms:modified xsi:type="dcterms:W3CDTF">2024-04-18T17:43:43Z</dcterms:modified>
</cp:coreProperties>
</file>