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eepisilon\horizon\redirectedfolders\lindeeez\My Documents\Website Adds\"/>
    </mc:Choice>
  </mc:AlternateContent>
  <xr:revisionPtr revIDLastSave="0" documentId="8_{A68D3B9E-97FF-4695-BA9E-9E87CD2E936D}" xr6:coauthVersionLast="47" xr6:coauthVersionMax="47" xr10:uidLastSave="{00000000-0000-0000-0000-000000000000}"/>
  <bookViews>
    <workbookView xWindow="1425" yWindow="1140" windowWidth="21600" windowHeight="9390" tabRatio="735" xr2:uid="{00000000-000D-0000-FFFF-FFFF00000000}"/>
  </bookViews>
  <sheets>
    <sheet name="Instruction Sheet" sheetId="3" r:id="rId1"/>
    <sheet name="24 RPS Annual Compliance Filing" sheetId="4" r:id="rId2"/>
    <sheet name="RPS Affidavit" sheetId="5" r:id="rId3"/>
    <sheet name="License Security" sheetId="7" r:id="rId4"/>
    <sheet name="RPS Security" sheetId="8" r:id="rId5"/>
    <sheet name="24 EDC RPS Annual Compliance" sheetId="9" r:id="rId6"/>
  </sheets>
  <definedNames>
    <definedName name="_xlnm.Print_Area" localSheetId="3">'License Security'!$A$1:$H$41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 l="1"/>
  <c r="F22" i="4" l="1"/>
  <c r="E23" i="4"/>
  <c r="A31" i="4"/>
  <c r="P40" i="9"/>
  <c r="O40" i="9"/>
  <c r="N43" i="9" s="1"/>
  <c r="L40" i="9"/>
  <c r="I40" i="9"/>
  <c r="H40" i="9"/>
  <c r="F40" i="9"/>
  <c r="E40" i="9"/>
  <c r="L39" i="9"/>
  <c r="J39" i="9"/>
  <c r="O22" i="9" s="1"/>
  <c r="L38" i="9"/>
  <c r="J38" i="9"/>
  <c r="L37" i="9"/>
  <c r="J37" i="9"/>
  <c r="O20" i="9" s="1"/>
  <c r="N23" i="9"/>
  <c r="L23" i="9"/>
  <c r="K23" i="9"/>
  <c r="J23" i="9"/>
  <c r="I23" i="9"/>
  <c r="E23" i="9"/>
  <c r="B24" i="9" s="1"/>
  <c r="B22" i="9"/>
  <c r="F22" i="9" s="1"/>
  <c r="O21" i="9"/>
  <c r="M21" i="9"/>
  <c r="E10" i="8" l="1"/>
  <c r="B24" i="4"/>
  <c r="F21" i="9"/>
  <c r="P21" i="9" s="1"/>
  <c r="R21" i="9" s="1"/>
  <c r="B25" i="9"/>
  <c r="F20" i="9"/>
  <c r="P20" i="9" s="1"/>
  <c r="R20" i="9" s="1"/>
  <c r="M39" i="9"/>
  <c r="P22" i="9"/>
  <c r="R22" i="9" s="1"/>
  <c r="K29" i="9" s="1"/>
  <c r="M37" i="9"/>
  <c r="O23" i="9"/>
  <c r="M22" i="9"/>
  <c r="J40" i="9"/>
  <c r="M20" i="9"/>
  <c r="F23" i="9"/>
  <c r="C10" i="8"/>
  <c r="C9" i="8"/>
  <c r="C8" i="8"/>
  <c r="C15" i="8"/>
  <c r="F10" i="8" s="1"/>
  <c r="B10" i="8"/>
  <c r="B9" i="8"/>
  <c r="B8" i="8"/>
  <c r="A1" i="8"/>
  <c r="G7" i="7"/>
  <c r="H7" i="7" s="1"/>
  <c r="A1" i="7"/>
  <c r="H40" i="4"/>
  <c r="B11" i="8" l="1"/>
  <c r="M38" i="9"/>
  <c r="K42" i="9"/>
  <c r="P23" i="9"/>
  <c r="R23" i="9"/>
  <c r="M23" i="9"/>
  <c r="M40" i="9"/>
  <c r="N44" i="9" s="1"/>
  <c r="F9" i="8"/>
  <c r="F8" i="8"/>
  <c r="M6" i="4"/>
  <c r="P40" i="4"/>
  <c r="O40" i="4"/>
  <c r="I40" i="4"/>
  <c r="F40" i="4"/>
  <c r="E40" i="4"/>
  <c r="L39" i="4"/>
  <c r="J39" i="4"/>
  <c r="O22" i="4" s="1"/>
  <c r="L38" i="4"/>
  <c r="J38" i="4"/>
  <c r="M21" i="4" s="1"/>
  <c r="L37" i="4"/>
  <c r="J37" i="4"/>
  <c r="O20" i="4" s="1"/>
  <c r="N23" i="4"/>
  <c r="L23" i="4"/>
  <c r="K23" i="4"/>
  <c r="J23" i="4"/>
  <c r="I23" i="4"/>
  <c r="O21" i="4" l="1"/>
  <c r="O23" i="4" s="1"/>
  <c r="K27" i="9"/>
  <c r="K28" i="9"/>
  <c r="F11" i="8"/>
  <c r="C19" i="8" s="1"/>
  <c r="F20" i="4"/>
  <c r="P20" i="4" s="1"/>
  <c r="G8" i="7"/>
  <c r="C14" i="8"/>
  <c r="E8" i="8" s="1"/>
  <c r="M22" i="4"/>
  <c r="L40" i="4"/>
  <c r="N43" i="4" s="1"/>
  <c r="M20" i="4"/>
  <c r="F21" i="4"/>
  <c r="J40" i="4"/>
  <c r="P21" i="4" l="1"/>
  <c r="R21" i="4" s="1"/>
  <c r="H8" i="7"/>
  <c r="H10" i="7" s="1"/>
  <c r="M14" i="4" s="1"/>
  <c r="E9" i="8"/>
  <c r="M37" i="4"/>
  <c r="F23" i="4"/>
  <c r="B27" i="4" s="1"/>
  <c r="M23" i="4"/>
  <c r="P22" i="4"/>
  <c r="R22" i="4" s="1"/>
  <c r="M39" i="4"/>
  <c r="M38" i="4"/>
  <c r="R20" i="4"/>
  <c r="K29" i="4" l="1"/>
  <c r="E11" i="8"/>
  <c r="C18" i="8" s="1"/>
  <c r="M8" i="4" s="1"/>
  <c r="M9" i="4" s="1"/>
  <c r="M11" i="4" s="1"/>
  <c r="P23" i="4"/>
  <c r="R23" i="4"/>
  <c r="M40" i="4"/>
  <c r="N44" i="4" s="1"/>
  <c r="K42" i="4"/>
  <c r="K28" i="4" l="1"/>
  <c r="K27" i="4"/>
  <c r="M12" i="4"/>
  <c r="M16" i="4" s="1"/>
</calcChain>
</file>

<file path=xl/sharedStrings.xml><?xml version="1.0" encoding="utf-8"?>
<sst xmlns="http://schemas.openxmlformats.org/spreadsheetml/2006/main" count="198" uniqueCount="108">
  <si>
    <t>Compliance Year</t>
  </si>
  <si>
    <t>RPS Class Requirements</t>
  </si>
  <si>
    <t>Class</t>
  </si>
  <si>
    <t>Percent</t>
  </si>
  <si>
    <t>Q1</t>
  </si>
  <si>
    <t>Q2</t>
  </si>
  <si>
    <t>Q3</t>
  </si>
  <si>
    <t>Q4</t>
  </si>
  <si>
    <t>Class Totals</t>
  </si>
  <si>
    <t>Class Deficiency</t>
  </si>
  <si>
    <t>ACP</t>
  </si>
  <si>
    <t xml:space="preserve">Class I </t>
  </si>
  <si>
    <t xml:space="preserve">Class II </t>
  </si>
  <si>
    <t>Class III</t>
  </si>
  <si>
    <t>Total</t>
  </si>
  <si>
    <t>Totals</t>
  </si>
  <si>
    <t>Annual RPS Percentage</t>
  </si>
  <si>
    <t>Total RPS Certificate Obligation</t>
  </si>
  <si>
    <r>
      <rPr>
        <vertAlign val="superscript"/>
        <sz val="11"/>
        <color theme="1"/>
        <rFont val="Arial"/>
        <family val="2"/>
      </rPr>
      <t>1</t>
    </r>
    <r>
      <rPr>
        <sz val="11"/>
        <color theme="1"/>
        <rFont val="Arial"/>
        <family val="2"/>
      </rPr>
      <t xml:space="preserve"> Must match EDC filing in the RPS docket.</t>
    </r>
  </si>
  <si>
    <t>RPS RECs</t>
  </si>
  <si>
    <t>*Load in MWh</t>
  </si>
  <si>
    <t>Total Load*</t>
  </si>
  <si>
    <t>ACP Payment</t>
  </si>
  <si>
    <t>ACP Payment &amp; Allocation</t>
  </si>
  <si>
    <t>ACP to Eversource</t>
  </si>
  <si>
    <t>ACP to UI</t>
  </si>
  <si>
    <t>ACP to CT Green Bank</t>
  </si>
  <si>
    <r>
      <t>Annual Load* - Eversource</t>
    </r>
    <r>
      <rPr>
        <vertAlign val="superscript"/>
        <sz val="12"/>
        <color theme="1"/>
        <rFont val="Arial"/>
        <family val="2"/>
      </rPr>
      <t>1</t>
    </r>
  </si>
  <si>
    <r>
      <t>Annual Load* - UI</t>
    </r>
    <r>
      <rPr>
        <vertAlign val="superscript"/>
        <sz val="12"/>
        <color theme="1"/>
        <rFont val="Arial"/>
        <family val="2"/>
      </rPr>
      <t>1</t>
    </r>
  </si>
  <si>
    <t>The following must be submitted with the Compliance Report:</t>
  </si>
  <si>
    <t>1. Supporting documentation from NEPOOL-GIS, submitted as Excel spreadsheets</t>
  </si>
  <si>
    <t>Electricity Supplier:</t>
  </si>
  <si>
    <t>License Type:</t>
  </si>
  <si>
    <t>Address:</t>
  </si>
  <si>
    <t>Address Line 1</t>
  </si>
  <si>
    <t>Address Line 2</t>
  </si>
  <si>
    <t>City, State Zip Code</t>
  </si>
  <si>
    <t>Phone:</t>
  </si>
  <si>
    <t>E-mail:</t>
  </si>
  <si>
    <t>email@mail.com</t>
  </si>
  <si>
    <r>
      <t xml:space="preserve">Supplier </t>
    </r>
    <r>
      <rPr>
        <b/>
        <u/>
        <sz val="12"/>
        <rFont val="Arial"/>
        <family val="2"/>
      </rPr>
      <t>or</t>
    </r>
    <r>
      <rPr>
        <b/>
        <sz val="12"/>
        <rFont val="Arial"/>
        <family val="2"/>
      </rPr>
      <t xml:space="preserve"> </t>
    </r>
    <r>
      <rPr>
        <sz val="12"/>
        <rFont val="Arial"/>
        <family val="2"/>
      </rPr>
      <t>Utility</t>
    </r>
  </si>
  <si>
    <t>Contact Person:</t>
  </si>
  <si>
    <t>REC Bank</t>
  </si>
  <si>
    <t>Beginning REC Balance From Past Years</t>
  </si>
  <si>
    <t>Previously Banked RECs Used for Current Year Compliance</t>
  </si>
  <si>
    <t>Two Years Prior to the Current Filing Year</t>
  </si>
  <si>
    <t>One Year Prior to the Current Filing Year</t>
  </si>
  <si>
    <t>Current Filing Year (Not to exceed 30% of Load Served)</t>
  </si>
  <si>
    <t>Class I</t>
  </si>
  <si>
    <t>Class II</t>
  </si>
  <si>
    <t>VRO
RECs</t>
  </si>
  <si>
    <t>TOTAL</t>
  </si>
  <si>
    <t>Eversource ISO-NE Asset No.</t>
  </si>
  <si>
    <t>UI ISO-NE Asset No.</t>
  </si>
  <si>
    <t>Banked RECs</t>
  </si>
  <si>
    <t>Name</t>
  </si>
  <si>
    <t xml:space="preserve">NEPOOL GIS REC Settlement </t>
  </si>
  <si>
    <r>
      <rPr>
        <b/>
        <sz val="12"/>
        <rFont val="Arial"/>
        <family val="2"/>
      </rPr>
      <t>Note</t>
    </r>
    <r>
      <rPr>
        <sz val="12"/>
        <rFont val="Arial"/>
        <family val="2"/>
      </rPr>
      <t xml:space="preserve">: Enter the total number of banked RECs that are intended to be applied before newly settled RECs.  </t>
    </r>
  </si>
  <si>
    <r>
      <rPr>
        <b/>
        <sz val="12"/>
        <color theme="1"/>
        <rFont val="Arial"/>
        <family val="2"/>
      </rPr>
      <t>Calculated</t>
    </r>
    <r>
      <rPr>
        <sz val="12"/>
        <color theme="1"/>
        <rFont val="Arial"/>
        <family val="2"/>
      </rPr>
      <t xml:space="preserve"> Excess RECs Available to be Banked for Future Use</t>
    </r>
  </si>
  <si>
    <t>Supplier must fill in all contact information and applicable GREEN boxes.  All information in yellow boxes is calculated.</t>
  </si>
  <si>
    <r>
      <rPr>
        <b/>
        <sz val="12"/>
        <color theme="1"/>
        <rFont val="Arial"/>
        <family val="2"/>
      </rPr>
      <t>Requested</t>
    </r>
    <r>
      <rPr>
        <sz val="12"/>
        <color theme="1"/>
        <rFont val="Arial"/>
        <family val="2"/>
      </rPr>
      <t xml:space="preserve"> Excess RECs to be Banked for Future Use</t>
    </r>
  </si>
  <si>
    <t xml:space="preserve">Actual </t>
  </si>
  <si>
    <t>Carried Renewable Energy Portfolio Standard Security (Sec. 16-245a-1):</t>
  </si>
  <si>
    <t>Carried Financial Responsibility Security (Reg Sec. 16-245-4):</t>
  </si>
  <si>
    <t>Total Carried Security:</t>
  </si>
  <si>
    <t>Attestation Required</t>
  </si>
  <si>
    <t>Current Compliance Year Security Requirement:</t>
  </si>
  <si>
    <t>Preliminary Supplemental Security Increase:</t>
  </si>
  <si>
    <t>Minimum of $25k</t>
  </si>
  <si>
    <t>90% ACP Requirement -Sec. 16-245a-1(b)(2):</t>
  </si>
  <si>
    <t>Supplier Security Requirement Details (Not Applicable for EDCs)</t>
  </si>
  <si>
    <r>
      <t>Forecast Year Load (in MWh) (</t>
    </r>
    <r>
      <rPr>
        <b/>
        <sz val="11"/>
        <color theme="1"/>
        <rFont val="Arial"/>
        <family val="2"/>
      </rPr>
      <t>2025</t>
    </r>
    <r>
      <rPr>
        <sz val="11"/>
        <color theme="1"/>
        <rFont val="Arial"/>
        <family val="2"/>
      </rPr>
      <t>)</t>
    </r>
  </si>
  <si>
    <t>Licensing Security Calculation</t>
  </si>
  <si>
    <t>MWh's</t>
  </si>
  <si>
    <t>Low</t>
  </si>
  <si>
    <t>High</t>
  </si>
  <si>
    <t>Security</t>
  </si>
  <si>
    <t>Load</t>
  </si>
  <si>
    <t>Forecast Load:</t>
  </si>
  <si>
    <t>Calendar Year Load:</t>
  </si>
  <si>
    <t>Security Obligation:</t>
  </si>
  <si>
    <t>The Security Obligation is calculated using the greater of the forecast year load versus the prior calendar year load. Suppliers who are anticipating a significant reduction in the forecast year load and who wish to provide a lower Security should engage directly with EOE.  The Suppliers will be required to provide supporting documentation  before a reduced Security will be permitted.</t>
  </si>
  <si>
    <t>RPS Security Calculation</t>
  </si>
  <si>
    <t>Forecast Year Load</t>
  </si>
  <si>
    <t>Total Calendar Year Load</t>
  </si>
  <si>
    <t>Calendar Year Full ACP:</t>
  </si>
  <si>
    <t>Forecast  Year Full ACP:</t>
  </si>
  <si>
    <t>Calendar</t>
  </si>
  <si>
    <t>Forecast</t>
  </si>
  <si>
    <t>Calendar/Forecast Year Full ACP:</t>
  </si>
  <si>
    <t>Rounded Calendar/Forecast Year Full ACP:</t>
  </si>
  <si>
    <t>eRegulations - Browse Regulations of Connecticut State Agencies</t>
  </si>
  <si>
    <t>Required Financial Responsibility (License) Security (Reg Sec. 16-245-4):</t>
  </si>
  <si>
    <t>Connecticut Annual RPS Compliance Report 2024 - EDCs ONLY</t>
  </si>
  <si>
    <t xml:space="preserve">Load pertaining to Last Resort Service for Electric Distribution Companies are exempt from Class III RPS (ACP) obligations, pursuant to General Stat. §16-243q.  </t>
  </si>
  <si>
    <t>LRS</t>
  </si>
  <si>
    <t>See Below</t>
  </si>
  <si>
    <t xml:space="preserve">Class III </t>
  </si>
  <si>
    <r>
      <t>Eversource Load</t>
    </r>
    <r>
      <rPr>
        <vertAlign val="superscript"/>
        <sz val="12"/>
        <color theme="1"/>
        <rFont val="Arial"/>
        <family val="2"/>
      </rPr>
      <t>1*</t>
    </r>
  </si>
  <si>
    <r>
      <t>UI Load</t>
    </r>
    <r>
      <rPr>
        <vertAlign val="superscript"/>
        <sz val="12"/>
        <color theme="1"/>
        <rFont val="Arial"/>
        <family val="2"/>
      </rPr>
      <t>1*</t>
    </r>
  </si>
  <si>
    <r>
      <rPr>
        <vertAlign val="superscript"/>
        <sz val="11"/>
        <color theme="1"/>
        <rFont val="Arial"/>
        <family val="2"/>
      </rPr>
      <t>1</t>
    </r>
    <r>
      <rPr>
        <sz val="11"/>
        <color theme="1"/>
        <rFont val="Arial"/>
        <family val="2"/>
      </rPr>
      <t xml:space="preserve"> Total EDC Loads must match EDC filing in the RPS docket.</t>
    </r>
  </si>
  <si>
    <r>
      <t xml:space="preserve">Eversource </t>
    </r>
    <r>
      <rPr>
        <b/>
        <u/>
        <sz val="12"/>
        <color theme="1"/>
        <rFont val="Arial"/>
        <family val="2"/>
      </rPr>
      <t>Exception</t>
    </r>
    <r>
      <rPr>
        <sz val="12"/>
        <color theme="1"/>
        <rFont val="Arial"/>
        <family val="2"/>
      </rPr>
      <t xml:space="preserve"> Load</t>
    </r>
    <r>
      <rPr>
        <vertAlign val="superscript"/>
        <sz val="12"/>
        <color theme="1"/>
        <rFont val="Arial"/>
        <family val="2"/>
      </rPr>
      <t>1*</t>
    </r>
  </si>
  <si>
    <r>
      <t xml:space="preserve">UI </t>
    </r>
    <r>
      <rPr>
        <b/>
        <u/>
        <sz val="12"/>
        <color theme="1"/>
        <rFont val="Arial"/>
        <family val="2"/>
      </rPr>
      <t>Exception</t>
    </r>
    <r>
      <rPr>
        <sz val="12"/>
        <color theme="1"/>
        <rFont val="Arial"/>
        <family val="2"/>
      </rPr>
      <t xml:space="preserve"> Load</t>
    </r>
    <r>
      <rPr>
        <vertAlign val="superscript"/>
        <sz val="12"/>
        <color theme="1"/>
        <rFont val="Arial"/>
        <family val="2"/>
      </rPr>
      <t>1*</t>
    </r>
  </si>
  <si>
    <t>Public Act 24-38 - 2024</t>
  </si>
  <si>
    <t>Minimum of $250k</t>
  </si>
  <si>
    <t>The "Exception" applies to Public Act 24-38 and represents load that must comport with General Statutes § 16-243q(a)(4).</t>
  </si>
  <si>
    <t>Class III (Exception)</t>
  </si>
  <si>
    <r>
      <t>Connecticut Annual RPS Compliance Report 2024 -</t>
    </r>
    <r>
      <rPr>
        <b/>
        <sz val="14"/>
        <color rgb="FFFF0000"/>
        <rFont val="Arial"/>
        <family val="2"/>
      </rPr>
      <t xml:space="preserve"> Public Act 24-38 Version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</si>
</sst>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quot;$&quot;#,##0"/>
    <numFmt numFmtId="166" formatCode="0.0%"/>
    <numFmt numFmtId="167" formatCode="[$-409]mmmm\ d\,\ yyyy;@"/>
    <numFmt numFmtId="168" formatCode="[&lt;=9999999]###\-####;\(###\)\ ###\-####"/>
    <numFmt numFmtId="169" formatCode="0.000000"/>
    <numFmt numFmtId="170" formatCode="_(&quot;$&quot;* #,##0_);_(&quot;$&quot;* \(#,##0\);_(&quot;$&quot;* &quot;-&quot;??_);_(@_)"/>
    <numFmt numFmtId="171" formatCode="_(&quot;$&quot;* #,##0.0_);_(&quot;$&quot;* \(#,##0.0\);_(&quot;$&quot;* &quot;-&quot;?_);_(@_)"/>
    <numFmt numFmtId="172" formatCode="_(* #,##0_);_(* \(#,##0\);_(* &quot;-&quot;??_);_(@_)"/>
  </numFmts>
  <fonts count="24"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u/>
      <sz val="12"/>
      <color theme="1"/>
      <name val="Arial"/>
      <family val="2"/>
    </font>
    <font>
      <vertAlign val="superscript"/>
      <sz val="11"/>
      <color theme="1"/>
      <name val="Arial"/>
      <family val="2"/>
    </font>
    <font>
      <sz val="9"/>
      <color theme="1"/>
      <name val="Arial"/>
      <family val="2"/>
    </font>
    <font>
      <vertAlign val="superscript"/>
      <sz val="12"/>
      <color theme="1"/>
      <name val="Arial"/>
      <family val="2"/>
    </font>
    <font>
      <b/>
      <sz val="12"/>
      <name val="Arial"/>
      <family val="2"/>
    </font>
    <font>
      <sz val="12"/>
      <name val="Arial"/>
      <family val="2"/>
    </font>
    <font>
      <b/>
      <u/>
      <sz val="12"/>
      <name val="Arial"/>
      <family val="2"/>
    </font>
    <font>
      <b/>
      <sz val="14"/>
      <color theme="1"/>
      <name val="Arial"/>
      <family val="2"/>
    </font>
    <font>
      <b/>
      <sz val="16"/>
      <color theme="1"/>
      <name val="Arial"/>
      <family val="2"/>
    </font>
    <font>
      <b/>
      <sz val="11"/>
      <color rgb="FFFF0000"/>
      <name val="Arial"/>
      <family val="2"/>
    </font>
    <font>
      <b/>
      <u/>
      <sz val="12"/>
      <color theme="1"/>
      <name val="Arial"/>
      <family val="2"/>
    </font>
    <font>
      <b/>
      <sz val="11"/>
      <color theme="1"/>
      <name val="Calibri"/>
      <family val="2"/>
      <scheme val="minor"/>
    </font>
    <font>
      <b/>
      <u/>
      <sz val="11"/>
      <color theme="1"/>
      <name val="Calibri"/>
      <family val="2"/>
      <scheme val="minor"/>
    </font>
    <font>
      <u/>
      <sz val="11"/>
      <color theme="10"/>
      <name val="Calibri"/>
      <family val="2"/>
      <scheme val="minor"/>
    </font>
    <font>
      <u val="singleAccounting"/>
      <sz val="11"/>
      <color theme="1"/>
      <name val="Calibri"/>
      <family val="2"/>
      <scheme val="minor"/>
    </font>
    <font>
      <b/>
      <sz val="11"/>
      <name val="Calibri"/>
      <family val="2"/>
      <scheme val="minor"/>
    </font>
    <font>
      <sz val="8"/>
      <color theme="1"/>
      <name val="Arial"/>
      <family val="2"/>
    </font>
    <font>
      <b/>
      <sz val="14"/>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cellStyleXfs>
  <cellXfs count="172">
    <xf numFmtId="0" fontId="0" fillId="0" borderId="0" xfId="0"/>
    <xf numFmtId="3" fontId="3" fillId="2" borderId="1" xfId="0" applyNumberFormat="1" applyFont="1" applyFill="1" applyBorder="1" applyAlignment="1">
      <alignment horizontal="center" vertical="center"/>
    </xf>
    <xf numFmtId="3" fontId="3" fillId="7" borderId="10" xfId="0" applyNumberFormat="1" applyFont="1" applyFill="1" applyBorder="1" applyAlignment="1" applyProtection="1">
      <alignment horizontal="center"/>
      <protection locked="0"/>
    </xf>
    <xf numFmtId="3" fontId="3" fillId="7" borderId="9" xfId="0" applyNumberFormat="1" applyFont="1" applyFill="1" applyBorder="1" applyAlignment="1" applyProtection="1">
      <alignment horizontal="center"/>
      <protection locked="0"/>
    </xf>
    <xf numFmtId="0" fontId="3" fillId="7" borderId="1" xfId="0" applyFont="1" applyFill="1" applyBorder="1" applyAlignment="1" applyProtection="1">
      <alignment horizontal="center" vertical="center"/>
      <protection locked="0"/>
    </xf>
    <xf numFmtId="3" fontId="3" fillId="7" borderId="1" xfId="0" applyNumberFormat="1" applyFont="1" applyFill="1" applyBorder="1" applyAlignment="1" applyProtection="1">
      <alignment horizontal="center" vertical="center"/>
      <protection locked="0"/>
    </xf>
    <xf numFmtId="0" fontId="11" fillId="7" borderId="0" xfId="0" applyFont="1" applyFill="1" applyAlignment="1" applyProtection="1">
      <alignment vertical="center"/>
      <protection locked="0"/>
    </xf>
    <xf numFmtId="167" fontId="11" fillId="7" borderId="0" xfId="0" applyNumberFormat="1" applyFont="1" applyFill="1" applyAlignment="1" applyProtection="1">
      <alignment horizontal="left" vertical="center"/>
      <protection locked="0"/>
    </xf>
    <xf numFmtId="168" fontId="11" fillId="7" borderId="0" xfId="0" applyNumberFormat="1" applyFont="1" applyFill="1" applyAlignment="1" applyProtection="1">
      <alignment horizontal="left" vertical="center"/>
      <protection locked="0"/>
    </xf>
    <xf numFmtId="3" fontId="6" fillId="7" borderId="1" xfId="0" applyNumberFormat="1" applyFont="1" applyFill="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xf numFmtId="0" fontId="3" fillId="0" borderId="0" xfId="0" applyFont="1"/>
    <xf numFmtId="0" fontId="10" fillId="0" borderId="0" xfId="0" applyFont="1" applyAlignment="1">
      <alignment vertical="center"/>
    </xf>
    <xf numFmtId="0" fontId="11" fillId="0" borderId="0" xfId="0" applyFont="1" applyAlignment="1">
      <alignment vertical="center"/>
    </xf>
    <xf numFmtId="167" fontId="11" fillId="0" borderId="0" xfId="0" applyNumberFormat="1" applyFont="1" applyAlignment="1">
      <alignment horizontal="left" vertical="center"/>
    </xf>
    <xf numFmtId="168" fontId="11" fillId="0" borderId="0" xfId="0" applyNumberFormat="1" applyFont="1" applyAlignment="1">
      <alignment horizontal="left" vertical="center"/>
    </xf>
    <xf numFmtId="0" fontId="3" fillId="3" borderId="0" xfId="0" applyFont="1" applyFill="1" applyAlignment="1">
      <alignment horizontal="lef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0" xfId="0" applyFont="1" applyAlignment="1">
      <alignment horizontal="center" vertical="center"/>
    </xf>
    <xf numFmtId="0" fontId="5" fillId="0" borderId="5" xfId="0" applyFont="1" applyBorder="1" applyAlignment="1">
      <alignment vertical="center"/>
    </xf>
    <xf numFmtId="0" fontId="5" fillId="0" borderId="0" xfId="0" applyFont="1" applyAlignment="1">
      <alignment horizontal="center" vertical="center"/>
    </xf>
    <xf numFmtId="0" fontId="3" fillId="0" borderId="15" xfId="0" applyFont="1" applyBorder="1" applyAlignment="1">
      <alignment horizontal="center" vertical="center" wrapText="1"/>
    </xf>
    <xf numFmtId="166" fontId="3" fillId="0" borderId="0" xfId="1" applyNumberFormat="1" applyFont="1" applyAlignment="1" applyProtection="1">
      <alignment horizontal="center" vertical="center"/>
    </xf>
    <xf numFmtId="3" fontId="3" fillId="2" borderId="7" xfId="0" applyNumberFormat="1" applyFont="1" applyFill="1" applyBorder="1" applyAlignment="1">
      <alignment horizontal="center" vertical="center"/>
    </xf>
    <xf numFmtId="0" fontId="3" fillId="0" borderId="5" xfId="0" applyFont="1" applyBorder="1" applyAlignment="1">
      <alignment vertical="center"/>
    </xf>
    <xf numFmtId="165" fontId="3" fillId="0" borderId="0" xfId="0" applyNumberFormat="1" applyFont="1" applyAlignment="1">
      <alignment horizontal="center" vertical="center"/>
    </xf>
    <xf numFmtId="165" fontId="3" fillId="2" borderId="19" xfId="0" applyNumberFormat="1" applyFont="1" applyFill="1" applyBorder="1" applyAlignment="1">
      <alignment horizontal="center" vertical="center"/>
    </xf>
    <xf numFmtId="3" fontId="3" fillId="2" borderId="8"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Alignment="1">
      <alignment horizontal="left" vertical="center"/>
    </xf>
    <xf numFmtId="166" fontId="3" fillId="0" borderId="0" xfId="0" applyNumberFormat="1" applyFont="1" applyAlignment="1">
      <alignment horizontal="center" vertical="center"/>
    </xf>
    <xf numFmtId="3" fontId="3" fillId="2" borderId="10" xfId="0" applyNumberFormat="1" applyFont="1" applyFill="1" applyBorder="1" applyAlignment="1">
      <alignment horizontal="center" vertical="center"/>
    </xf>
    <xf numFmtId="0" fontId="4" fillId="0" borderId="11" xfId="0" applyFont="1" applyBorder="1" applyAlignment="1">
      <alignment horizontal="left" vertical="center"/>
    </xf>
    <xf numFmtId="3" fontId="2" fillId="2" borderId="12" xfId="0" applyNumberFormat="1" applyFont="1" applyFill="1" applyBorder="1" applyAlignment="1">
      <alignment horizontal="center" vertical="center"/>
    </xf>
    <xf numFmtId="0" fontId="3" fillId="0" borderId="12" xfId="0" applyFont="1" applyBorder="1" applyAlignment="1">
      <alignment vertical="center"/>
    </xf>
    <xf numFmtId="165" fontId="2" fillId="2" borderId="13" xfId="0" applyNumberFormat="1" applyFont="1" applyFill="1" applyBorder="1" applyAlignment="1">
      <alignment horizontal="center" vertical="center"/>
    </xf>
    <xf numFmtId="0" fontId="2" fillId="0" borderId="3" xfId="0" applyFont="1" applyBorder="1" applyAlignment="1">
      <alignment vertical="center"/>
    </xf>
    <xf numFmtId="0" fontId="3" fillId="0" borderId="4" xfId="0" applyFont="1" applyBorder="1" applyAlignment="1">
      <alignment vertical="center"/>
    </xf>
    <xf numFmtId="0" fontId="5" fillId="0" borderId="0" xfId="0" applyFont="1"/>
    <xf numFmtId="0" fontId="3" fillId="0" borderId="5" xfId="0" applyFont="1" applyBorder="1"/>
    <xf numFmtId="166" fontId="5" fillId="0" borderId="0" xfId="1" applyNumberFormat="1" applyFont="1" applyBorder="1" applyAlignment="1" applyProtection="1">
      <alignment horizontal="center"/>
    </xf>
    <xf numFmtId="165" fontId="5" fillId="2" borderId="6" xfId="0" applyNumberFormat="1" applyFont="1" applyFill="1" applyBorder="1"/>
    <xf numFmtId="164" fontId="5" fillId="0" borderId="0" xfId="0" applyNumberFormat="1" applyFont="1"/>
    <xf numFmtId="0" fontId="3" fillId="0" borderId="11" xfId="0" applyFont="1" applyBorder="1"/>
    <xf numFmtId="0" fontId="3" fillId="0" borderId="12" xfId="0" applyFont="1" applyBorder="1"/>
    <xf numFmtId="0" fontId="5" fillId="0" borderId="12" xfId="0" applyFont="1" applyBorder="1"/>
    <xf numFmtId="165" fontId="5" fillId="2" borderId="13" xfId="0" applyNumberFormat="1" applyFont="1" applyFill="1" applyBorder="1"/>
    <xf numFmtId="165" fontId="5" fillId="0" borderId="0" xfId="0" applyNumberFormat="1" applyFont="1"/>
    <xf numFmtId="0" fontId="3" fillId="0" borderId="0" xfId="0" applyFont="1" applyAlignment="1">
      <alignment horizontal="center" vertical="center" wrapText="1"/>
    </xf>
    <xf numFmtId="0" fontId="0" fillId="0" borderId="8" xfId="0" applyBorder="1"/>
    <xf numFmtId="0" fontId="3" fillId="4"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xf numFmtId="3" fontId="3" fillId="5" borderId="9" xfId="0" applyNumberFormat="1" applyFont="1" applyFill="1" applyBorder="1" applyAlignment="1">
      <alignment horizontal="center"/>
    </xf>
    <xf numFmtId="0" fontId="3" fillId="3" borderId="0" xfId="0" applyFont="1" applyFill="1"/>
    <xf numFmtId="0" fontId="3" fillId="0" borderId="8" xfId="0" applyFont="1" applyBorder="1"/>
    <xf numFmtId="0" fontId="3" fillId="3" borderId="6" xfId="0" applyFont="1" applyFill="1" applyBorder="1"/>
    <xf numFmtId="0" fontId="3" fillId="0" borderId="9" xfId="0" applyFont="1" applyBorder="1"/>
    <xf numFmtId="0" fontId="3" fillId="3" borderId="12" xfId="0" applyFont="1" applyFill="1" applyBorder="1"/>
    <xf numFmtId="0" fontId="4" fillId="0" borderId="0" xfId="0" applyFont="1" applyAlignment="1">
      <alignment horizontal="center"/>
    </xf>
    <xf numFmtId="3" fontId="2" fillId="6" borderId="9" xfId="0" applyNumberFormat="1" applyFont="1" applyFill="1" applyBorder="1" applyAlignment="1">
      <alignment horizontal="center"/>
    </xf>
    <xf numFmtId="3" fontId="2" fillId="5" borderId="9" xfId="0" applyNumberFormat="1" applyFont="1" applyFill="1" applyBorder="1" applyAlignment="1">
      <alignment horizontal="center"/>
    </xf>
    <xf numFmtId="3" fontId="2" fillId="0" borderId="9" xfId="0" applyNumberFormat="1" applyFont="1" applyBorder="1" applyAlignment="1">
      <alignment horizontal="center"/>
    </xf>
    <xf numFmtId="3" fontId="3" fillId="2" borderId="9" xfId="0" applyNumberFormat="1" applyFont="1" applyFill="1" applyBorder="1" applyAlignment="1">
      <alignment horizontal="center"/>
    </xf>
    <xf numFmtId="3" fontId="3" fillId="2" borderId="10" xfId="0" applyNumberFormat="1" applyFont="1" applyFill="1" applyBorder="1"/>
    <xf numFmtId="0" fontId="15" fillId="0" borderId="0" xfId="0" applyFont="1"/>
    <xf numFmtId="3" fontId="5" fillId="0" borderId="0" xfId="0" applyNumberFormat="1" applyFont="1"/>
    <xf numFmtId="165" fontId="3" fillId="3" borderId="0" xfId="0" applyNumberFormat="1" applyFont="1" applyFill="1" applyAlignment="1">
      <alignment horizontal="center" vertical="center"/>
    </xf>
    <xf numFmtId="166" fontId="3" fillId="0" borderId="0" xfId="1" applyNumberFormat="1" applyFont="1" applyFill="1" applyAlignment="1" applyProtection="1">
      <alignment horizontal="center" vertical="center"/>
    </xf>
    <xf numFmtId="9" fontId="3" fillId="0" borderId="0" xfId="1" applyFont="1" applyFill="1" applyAlignment="1" applyProtection="1">
      <alignment horizontal="center" vertical="center"/>
    </xf>
    <xf numFmtId="9" fontId="6" fillId="0" borderId="0" xfId="1" applyFont="1" applyFill="1" applyAlignment="1" applyProtection="1">
      <alignment horizontal="center" vertical="center"/>
    </xf>
    <xf numFmtId="0" fontId="2" fillId="0" borderId="4" xfId="0" applyFont="1" applyBorder="1" applyAlignment="1">
      <alignment horizontal="center" vertical="center" wrapText="1"/>
    </xf>
    <xf numFmtId="170" fontId="3" fillId="7" borderId="0" xfId="2" applyNumberFormat="1" applyFont="1" applyFill="1" applyBorder="1" applyAlignment="1" applyProtection="1">
      <alignment vertical="center"/>
      <protection locked="0"/>
    </xf>
    <xf numFmtId="170" fontId="11" fillId="2" borderId="0" xfId="2" applyNumberFormat="1" applyFont="1" applyFill="1" applyBorder="1" applyAlignment="1">
      <alignment vertical="center"/>
    </xf>
    <xf numFmtId="0" fontId="18" fillId="0" borderId="0" xfId="0" applyFont="1" applyAlignment="1">
      <alignment horizontal="center"/>
    </xf>
    <xf numFmtId="0" fontId="0" fillId="0" borderId="1" xfId="0" applyBorder="1" applyAlignment="1">
      <alignment horizontal="center"/>
    </xf>
    <xf numFmtId="3" fontId="0" fillId="0" borderId="1" xfId="0" applyNumberFormat="1" applyBorder="1" applyAlignment="1">
      <alignment horizontal="center"/>
    </xf>
    <xf numFmtId="170" fontId="0" fillId="0" borderId="1" xfId="2" applyNumberFormat="1" applyFont="1" applyBorder="1"/>
    <xf numFmtId="0" fontId="0" fillId="0" borderId="0" xfId="0" applyAlignment="1">
      <alignment horizontal="right"/>
    </xf>
    <xf numFmtId="172" fontId="0" fillId="0" borderId="0" xfId="3" applyNumberFormat="1" applyFont="1"/>
    <xf numFmtId="170" fontId="0" fillId="0" borderId="0" xfId="2" applyNumberFormat="1" applyFont="1"/>
    <xf numFmtId="170" fontId="17" fillId="0" borderId="10" xfId="2" applyNumberFormat="1" applyFont="1" applyBorder="1"/>
    <xf numFmtId="0" fontId="19" fillId="0" borderId="0" xfId="4"/>
    <xf numFmtId="0" fontId="17" fillId="0" borderId="1" xfId="0" applyFont="1" applyBorder="1" applyAlignment="1">
      <alignment horizontal="center" vertical="center"/>
    </xf>
    <xf numFmtId="0" fontId="0" fillId="0" borderId="1" xfId="0" applyBorder="1" applyAlignment="1">
      <alignment horizontal="center" vertical="center"/>
    </xf>
    <xf numFmtId="166" fontId="0" fillId="0" borderId="1" xfId="1" applyNumberFormat="1" applyFont="1" applyFill="1" applyBorder="1" applyAlignment="1" applyProtection="1">
      <alignment horizontal="center" vertical="center"/>
    </xf>
    <xf numFmtId="170" fontId="0" fillId="0" borderId="0" xfId="0" applyNumberFormat="1"/>
    <xf numFmtId="170" fontId="20" fillId="0" borderId="0" xfId="0" applyNumberFormat="1" applyFont="1"/>
    <xf numFmtId="0" fontId="17" fillId="0" borderId="0" xfId="0" applyFont="1" applyAlignment="1">
      <alignment horizontal="center" vertical="center"/>
    </xf>
    <xf numFmtId="166" fontId="0" fillId="0" borderId="0" xfId="0" applyNumberFormat="1" applyAlignment="1">
      <alignment horizontal="center" vertical="center"/>
    </xf>
    <xf numFmtId="0" fontId="17" fillId="0" borderId="0" xfId="0" applyFont="1" applyAlignment="1">
      <alignment horizontal="right" vertical="center"/>
    </xf>
    <xf numFmtId="3" fontId="0" fillId="0" borderId="1" xfId="0" applyNumberFormat="1" applyBorder="1"/>
    <xf numFmtId="0" fontId="0" fillId="0" borderId="0" xfId="0" applyAlignment="1">
      <alignment horizontal="center"/>
    </xf>
    <xf numFmtId="0" fontId="21" fillId="0" borderId="0" xfId="0" applyFont="1" applyAlignment="1">
      <alignment horizontal="right" vertical="center"/>
    </xf>
    <xf numFmtId="0" fontId="16"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2" fillId="0" borderId="0" xfId="0" applyFont="1" applyAlignment="1">
      <alignment horizontal="right" vertical="center"/>
    </xf>
    <xf numFmtId="0" fontId="3" fillId="0" borderId="24" xfId="0" applyFont="1" applyBorder="1" applyAlignment="1">
      <alignment vertical="center"/>
    </xf>
    <xf numFmtId="0" fontId="11" fillId="0" borderId="23" xfId="0" applyFont="1" applyBorder="1" applyAlignment="1">
      <alignment vertical="center"/>
    </xf>
    <xf numFmtId="0" fontId="10" fillId="0" borderId="0" xfId="0" applyFont="1" applyAlignment="1">
      <alignment horizontal="right" vertical="center"/>
    </xf>
    <xf numFmtId="0" fontId="11" fillId="0" borderId="24" xfId="0" applyFont="1" applyBorder="1" applyAlignment="1">
      <alignment vertical="center"/>
    </xf>
    <xf numFmtId="170" fontId="10" fillId="2" borderId="0" xfId="0" applyNumberFormat="1" applyFont="1" applyFill="1" applyAlignment="1">
      <alignment vertical="center"/>
    </xf>
    <xf numFmtId="169" fontId="11" fillId="0" borderId="0" xfId="0" applyNumberFormat="1" applyFont="1" applyAlignment="1">
      <alignment vertical="center"/>
    </xf>
    <xf numFmtId="171" fontId="11" fillId="0" borderId="0" xfId="0" applyNumberFormat="1" applyFont="1" applyAlignment="1">
      <alignment vertical="center"/>
    </xf>
    <xf numFmtId="0" fontId="11" fillId="0" borderId="25" xfId="0" applyFont="1" applyBorder="1" applyAlignment="1">
      <alignment vertical="center"/>
    </xf>
    <xf numFmtId="0" fontId="11" fillId="0" borderId="14" xfId="0" applyFont="1" applyBorder="1" applyAlignment="1">
      <alignment vertical="center"/>
    </xf>
    <xf numFmtId="0" fontId="10" fillId="0" borderId="14" xfId="0" applyFont="1" applyBorder="1" applyAlignment="1">
      <alignment horizontal="right" vertical="center"/>
    </xf>
    <xf numFmtId="170" fontId="11" fillId="2" borderId="14" xfId="2" applyNumberFormat="1" applyFont="1" applyFill="1" applyBorder="1" applyAlignment="1">
      <alignment vertical="center"/>
    </xf>
    <xf numFmtId="0" fontId="11" fillId="0" borderId="26" xfId="0" applyFont="1" applyBorder="1" applyAlignment="1">
      <alignment vertical="center"/>
    </xf>
    <xf numFmtId="0" fontId="3" fillId="0" borderId="0" xfId="0" applyFont="1" applyAlignment="1">
      <alignment vertical="center" wrapText="1"/>
    </xf>
    <xf numFmtId="0" fontId="4" fillId="0" borderId="0" xfId="0" applyFont="1"/>
    <xf numFmtId="0" fontId="22" fillId="8" borderId="5" xfId="0" applyFont="1" applyFill="1" applyBorder="1" applyAlignment="1">
      <alignment vertical="center"/>
    </xf>
    <xf numFmtId="9" fontId="6" fillId="8" borderId="6" xfId="1" applyFont="1" applyFill="1" applyBorder="1" applyAlignment="1" applyProtection="1">
      <alignment horizontal="center" vertical="center"/>
    </xf>
    <xf numFmtId="0" fontId="22" fillId="8" borderId="11" xfId="0" applyFont="1" applyFill="1" applyBorder="1" applyAlignment="1">
      <alignment vertical="center"/>
    </xf>
    <xf numFmtId="9" fontId="6" fillId="8" borderId="13" xfId="1" applyFont="1" applyFill="1" applyBorder="1" applyAlignment="1" applyProtection="1">
      <alignment horizontal="center" vertical="center"/>
    </xf>
    <xf numFmtId="166" fontId="0" fillId="8" borderId="1" xfId="1" applyNumberFormat="1" applyFont="1" applyFill="1" applyBorder="1" applyAlignment="1" applyProtection="1">
      <alignment horizontal="center" vertical="center"/>
    </xf>
    <xf numFmtId="0" fontId="5" fillId="9" borderId="0" xfId="0" applyFont="1" applyFill="1"/>
    <xf numFmtId="0" fontId="4" fillId="9" borderId="0" xfId="0" applyFont="1" applyFill="1" applyAlignment="1">
      <alignment horizontal="left" vertical="center"/>
    </xf>
    <xf numFmtId="166" fontId="3" fillId="9" borderId="0" xfId="0" applyNumberFormat="1" applyFont="1" applyFill="1" applyAlignment="1">
      <alignment horizontal="center" vertical="center"/>
    </xf>
    <xf numFmtId="0" fontId="3" fillId="9" borderId="0" xfId="0" applyFont="1" applyFill="1" applyAlignment="1">
      <alignment vertical="center"/>
    </xf>
    <xf numFmtId="3" fontId="3" fillId="9" borderId="9" xfId="0" applyNumberFormat="1" applyFont="1" applyFill="1" applyBorder="1" applyAlignment="1">
      <alignment horizontal="center" vertical="center"/>
    </xf>
    <xf numFmtId="3" fontId="3" fillId="9" borderId="1" xfId="0" applyNumberFormat="1" applyFont="1" applyFill="1" applyBorder="1" applyAlignment="1" applyProtection="1">
      <alignment horizontal="center" vertical="center"/>
      <protection locked="0"/>
    </xf>
    <xf numFmtId="0" fontId="15" fillId="0" borderId="0" xfId="0" applyFont="1" applyAlignment="1">
      <alignment horizontal="left"/>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2" fillId="8" borderId="2" xfId="0" applyFont="1" applyFill="1" applyBorder="1" applyAlignment="1">
      <alignment horizontal="center" vertical="center"/>
    </xf>
    <xf numFmtId="0" fontId="2" fillId="8" borderId="4" xfId="0" applyFont="1" applyFill="1" applyBorder="1" applyAlignment="1">
      <alignment horizontal="center" vertical="center"/>
    </xf>
    <xf numFmtId="0" fontId="17" fillId="0" borderId="0" xfId="0" applyFont="1" applyAlignment="1">
      <alignment horizontal="center"/>
    </xf>
    <xf numFmtId="0" fontId="18" fillId="0" borderId="0" xfId="0" applyFont="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7" fillId="0" borderId="1" xfId="0" applyFont="1" applyBorder="1" applyAlignment="1">
      <alignment horizontal="center" vertical="center"/>
    </xf>
  </cellXfs>
  <cellStyles count="5">
    <cellStyle name="Comma" xfId="3" builtinId="3"/>
    <cellStyle name="Currency" xfId="2" builtinId="4"/>
    <cellStyle name="Hyperlink" xfId="4" builtinId="8"/>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9</xdr:col>
      <xdr:colOff>392458</xdr:colOff>
      <xdr:row>39</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19050"/>
          <a:ext cx="5832475" cy="7087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Exhibit A Instructions:</a:t>
          </a:r>
        </a:p>
        <a:p>
          <a:endParaRPr lang="en-US" sz="1100"/>
        </a:p>
        <a:p>
          <a:r>
            <a:rPr lang="en-US" sz="1100" u="sng"/>
            <a:t>Completing the Spreadsheet:</a:t>
          </a:r>
        </a:p>
        <a:p>
          <a:pPr marL="171450" indent="-171450">
            <a:buFont typeface="Arial" panose="020B0604020202020204" pitchFamily="34" charset="0"/>
            <a:buChar char="•"/>
          </a:pPr>
          <a:r>
            <a:rPr lang="en-US" sz="1100"/>
            <a:t>Load Servicing</a:t>
          </a:r>
          <a:r>
            <a:rPr lang="en-US" sz="1100" baseline="0"/>
            <a:t> Entities (LSE's) / Suppliers </a:t>
          </a:r>
          <a:r>
            <a:rPr lang="en-US" sz="1100"/>
            <a:t>must fill in all contact information and applicable GREEN boxes.  </a:t>
          </a:r>
        </a:p>
        <a:p>
          <a:pPr marL="171450" indent="-171450">
            <a:buFont typeface="Arial" panose="020B0604020202020204" pitchFamily="34" charset="0"/>
            <a:buChar char="•"/>
          </a:pPr>
          <a:r>
            <a:rPr lang="en-US" sz="1100"/>
            <a:t>All information in yellow boxes is calculated. </a:t>
          </a:r>
        </a:p>
        <a:p>
          <a:pPr marL="171450" indent="-171450">
            <a:buFont typeface="Arial" panose="020B0604020202020204" pitchFamily="34" charset="0"/>
            <a:buChar char="•"/>
          </a:pPr>
          <a:r>
            <a:rPr lang="en-US" sz="1100"/>
            <a:t>NEPOOL</a:t>
          </a:r>
          <a:r>
            <a:rPr lang="en-US" sz="1100" baseline="0"/>
            <a:t>-GIS information must agree to supporting documentation.  </a:t>
          </a:r>
        </a:p>
        <a:p>
          <a:pPr marL="171450" indent="-171450">
            <a:buFont typeface="Arial" panose="020B0604020202020204" pitchFamily="34" charset="0"/>
            <a:buChar char="•"/>
          </a:pPr>
          <a:r>
            <a:rPr lang="en-US" sz="1100" baseline="0"/>
            <a:t>Spreadsheet calculates the 'Excess RECs Available to be Banked for Future Use'; however, the LSE/Supplier </a:t>
          </a:r>
          <a:r>
            <a:rPr lang="en-US" sz="1100" b="1" u="sng" baseline="0">
              <a:solidFill>
                <a:srgbClr val="FF0000"/>
              </a:solidFill>
            </a:rPr>
            <a:t>is required </a:t>
          </a:r>
          <a:r>
            <a:rPr lang="en-US" sz="1100" baseline="0"/>
            <a:t>to identify the '</a:t>
          </a:r>
          <a:r>
            <a:rPr lang="en-US" sz="1100" b="0" baseline="0"/>
            <a:t>Requested</a:t>
          </a:r>
          <a:r>
            <a:rPr lang="en-US" sz="1100" baseline="0"/>
            <a:t> Excess RECs to be Banked for Future Use'.   If this information is not identified by the LSE/Supplier then it will not be considered as Banked.</a:t>
          </a:r>
        </a:p>
        <a:p>
          <a:pPr marL="171450" indent="-171450">
            <a:buFont typeface="Arial" panose="020B0604020202020204" pitchFamily="34" charset="0"/>
            <a:buChar char="•"/>
          </a:pPr>
          <a:r>
            <a:rPr lang="en-US" sz="1100" baseline="0"/>
            <a:t>Suppliers will need to provide an affirmation and copies of Securities.</a:t>
          </a:r>
        </a:p>
        <a:p>
          <a:pPr marL="171450" indent="-171450">
            <a:buFont typeface="Arial" panose="020B0604020202020204" pitchFamily="34" charset="0"/>
            <a:buChar char="•"/>
          </a:pPr>
          <a:r>
            <a:rPr lang="en-US" sz="1100" baseline="0"/>
            <a:t>Suppliers must print the RPS Affidavit, complete the form, and submit the Affidavit as a pdf.  Additionally, the Exhibit A must be submitted as an Excel file.  </a:t>
          </a:r>
        </a:p>
        <a:p>
          <a:pPr marL="171450" indent="-171450">
            <a:buFont typeface="Arial" panose="020B0604020202020204" pitchFamily="34" charset="0"/>
            <a:buChar char="•"/>
          </a:pPr>
          <a:endParaRPr lang="en-US" sz="1100" u="sng" baseline="0">
            <a:solidFill>
              <a:schemeClr val="dk1"/>
            </a:solidFill>
            <a:effectLst/>
            <a:latin typeface="+mn-lt"/>
            <a:ea typeface="+mn-ea"/>
            <a:cs typeface="+mn-cs"/>
          </a:endParaRPr>
        </a:p>
        <a:p>
          <a:pPr marL="0" indent="0">
            <a:buFont typeface="Arial" panose="020B0604020202020204" pitchFamily="34" charset="0"/>
            <a:buNone/>
          </a:pPr>
          <a:r>
            <a:rPr lang="en-US" sz="1100" u="sng">
              <a:solidFill>
                <a:schemeClr val="dk1"/>
              </a:solidFill>
              <a:effectLst/>
              <a:latin typeface="+mn-lt"/>
              <a:ea typeface="+mn-ea"/>
              <a:cs typeface="+mn-cs"/>
            </a:rPr>
            <a:t>NEW for 2024</a:t>
          </a:r>
          <a:endParaRPr lang="en-US" sz="1100" baseline="0">
            <a:solidFill>
              <a:schemeClr val="dk1"/>
            </a:solidFill>
            <a:effectLst/>
            <a:latin typeface="+mn-lt"/>
            <a:ea typeface="+mn-ea"/>
            <a:cs typeface="+mn-cs"/>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RPS Class %s increased per </a:t>
          </a:r>
          <a:r>
            <a:rPr lang="en-US" sz="1100">
              <a:solidFill>
                <a:schemeClr val="dk1"/>
              </a:solidFill>
              <a:effectLst/>
              <a:latin typeface="+mn-lt"/>
              <a:ea typeface="+mn-ea"/>
              <a:cs typeface="+mn-cs"/>
            </a:rPr>
            <a:t>Conn. Gen. Stat. § 16-245a(19).</a:t>
          </a:r>
          <a:endParaRPr lang="en-US" sz="1100" baseline="0">
            <a:solidFill>
              <a:schemeClr val="dk1"/>
            </a:solidFill>
            <a:effectLst/>
            <a:latin typeface="+mn-lt"/>
            <a:ea typeface="+mn-ea"/>
            <a:cs typeface="+mn-cs"/>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Forecast Year Load included within Security calculations as outlined within the revised Notice of Proceeding (June 12, 2025).</a:t>
          </a:r>
        </a:p>
        <a:p>
          <a:pPr marL="171450" indent="-171450">
            <a:buFont typeface="Arial" panose="020B0604020202020204" pitchFamily="34" charset="0"/>
            <a:buChar char="•"/>
          </a:pPr>
          <a:r>
            <a:rPr lang="en-US" sz="1100" baseline="0">
              <a:solidFill>
                <a:schemeClr val="dk1"/>
              </a:solidFill>
              <a:effectLst/>
              <a:latin typeface="+mn-lt"/>
              <a:ea typeface="+mn-ea"/>
              <a:cs typeface="+mn-cs"/>
            </a:rPr>
            <a:t>License Security and RPS Security tabs have been added for transparency of calculations.</a:t>
          </a:r>
        </a:p>
        <a:p>
          <a:pPr marL="171450" indent="-171450">
            <a:buFont typeface="Arial" panose="020B0604020202020204" pitchFamily="34" charset="0"/>
            <a:buChar char="•"/>
          </a:pPr>
          <a:r>
            <a:rPr lang="en-US" sz="1100" baseline="0">
              <a:solidFill>
                <a:schemeClr val="dk1"/>
              </a:solidFill>
              <a:effectLst/>
              <a:latin typeface="+mn-lt"/>
              <a:ea typeface="+mn-ea"/>
              <a:cs typeface="+mn-cs"/>
            </a:rPr>
            <a:t>Created new EDC RPS Annual compliance tab that requires input for Last Resort Service load which is exempt from Class III RPS (ACP) obligations, pursuant to General Stat. §16-243q; the elimination of the Security calculations; and the increased Class II requirements ($30) for wholesale suppliers as defined within General Stat. §16-244c(h) versus Suppliers ($25) at General Stat. §16-245k.</a:t>
          </a:r>
          <a:endParaRPr lang="en-US">
            <a:effectLst/>
          </a:endParaRPr>
        </a:p>
        <a:p>
          <a:endParaRPr lang="en-US" sz="1100"/>
        </a:p>
        <a:p>
          <a:r>
            <a:rPr lang="en-US" sz="1100" u="sng"/>
            <a:t>Additional Points:</a:t>
          </a:r>
        </a:p>
        <a:p>
          <a:pPr marL="171450" indent="-171450">
            <a:buFont typeface="Arial" panose="020B0604020202020204" pitchFamily="34" charset="0"/>
            <a:buChar char="•"/>
          </a:pPr>
          <a:r>
            <a:rPr lang="en-US" sz="1100"/>
            <a:t>Both the NEPOOL-GIS and Exhibit A</a:t>
          </a:r>
          <a:r>
            <a:rPr lang="en-US" sz="1100" baseline="0"/>
            <a:t> MUST be </a:t>
          </a:r>
          <a:r>
            <a:rPr lang="en-US" sz="1100"/>
            <a:t>submitted as Excel spreadsheets.</a:t>
          </a:r>
        </a:p>
        <a:p>
          <a:pPr marL="171450" indent="-171450">
            <a:buFont typeface="Arial" panose="020B0604020202020204" pitchFamily="34" charset="0"/>
            <a:buChar char="•"/>
          </a:pPr>
          <a:r>
            <a:rPr lang="en-US" sz="1100"/>
            <a:t>Additional guidance is included within the</a:t>
          </a:r>
          <a:r>
            <a:rPr lang="en-US" sz="1100" baseline="0"/>
            <a:t> "RPS Guide &amp; FAQ" on PURA's website.</a:t>
          </a:r>
        </a:p>
        <a:p>
          <a:pPr marL="171450" indent="-171450">
            <a:buFont typeface="Arial" panose="020B0604020202020204" pitchFamily="34" charset="0"/>
            <a:buChar char="•"/>
          </a:pPr>
          <a:r>
            <a:rPr lang="en-US" sz="1100" baseline="0"/>
            <a:t>Spreadsheet is password protected.  Any party requiring modification to the spreadsheet should engage directly with the Office of Education, Outreach, &amp; Enforcement.</a:t>
          </a:r>
        </a:p>
        <a:p>
          <a:pPr marL="171450" indent="-171450">
            <a:buFont typeface="Arial" panose="020B0604020202020204" pitchFamily="34" charset="0"/>
            <a:buChar char="•"/>
          </a:pPr>
          <a:endParaRPr lang="en-US" sz="1100"/>
        </a:p>
        <a:p>
          <a:endParaRPr lang="en-US" sz="1100" u="sng">
            <a:solidFill>
              <a:srgbClr val="0000FF"/>
            </a:solidFill>
          </a:endParaRPr>
        </a:p>
        <a:p>
          <a:r>
            <a:rPr lang="en-US" sz="1100" u="sng">
              <a:solidFill>
                <a:srgbClr val="0000FF"/>
              </a:solidFill>
            </a:rPr>
            <a:t>Public Act 24-38 </a:t>
          </a:r>
          <a:r>
            <a:rPr lang="en-US" sz="1100" u="sng" baseline="0">
              <a:solidFill>
                <a:srgbClr val="0000FF"/>
              </a:solidFill>
            </a:rPr>
            <a:t>Exception:</a:t>
          </a:r>
        </a:p>
        <a:p>
          <a:pPr marL="171450" indent="-171450">
            <a:buFont typeface="Arial" panose="020B0604020202020204" pitchFamily="34" charset="0"/>
            <a:buChar char="•"/>
          </a:pPr>
          <a:r>
            <a:rPr lang="en-US" sz="1100" u="none">
              <a:solidFill>
                <a:srgbClr val="0000FF"/>
              </a:solidFill>
            </a:rPr>
            <a:t>Public Act 24-38 (also</a:t>
          </a:r>
          <a:r>
            <a:rPr lang="en-US" sz="1100" u="none" baseline="0">
              <a:solidFill>
                <a:srgbClr val="0000FF"/>
              </a:solidFill>
            </a:rPr>
            <a:t> referred to as </a:t>
          </a:r>
          <a:r>
            <a:rPr lang="en-US" sz="1100" u="none">
              <a:solidFill>
                <a:srgbClr val="0000FF"/>
              </a:solidFill>
            </a:rPr>
            <a:t>SB 385) includes an exception that allows for a lower Class III obligation (4%) for the July</a:t>
          </a:r>
          <a:r>
            <a:rPr lang="en-US" sz="1100" u="none" baseline="0">
              <a:solidFill>
                <a:srgbClr val="0000FF"/>
              </a:solidFill>
            </a:rPr>
            <a:t> - December period </a:t>
          </a:r>
          <a:r>
            <a:rPr lang="en-US" sz="1100" u="none">
              <a:solidFill>
                <a:srgbClr val="0000FF"/>
              </a:solidFill>
            </a:rPr>
            <a:t>if certain</a:t>
          </a:r>
          <a:r>
            <a:rPr lang="en-US" sz="1100" u="none" baseline="0">
              <a:solidFill>
                <a:srgbClr val="0000FF"/>
              </a:solidFill>
            </a:rPr>
            <a:t> circumstances apply.  This reduced obligation (from 5%) requires separate inputs to support the 4% and 5% obligations.  The LSE is required to provide its Load split between the separate inputs by EDC to allow for the correct obligation percentages to be used.  The LSE is also required to provide additional documentation, as requested.  The calculation of the minimum RPS Security continues to use the greater of the actual ACP or forecast year load based on the 5% obligation percentage.  Refer to the Eversource Exception Load and UI Exception Load inputs.</a:t>
          </a:r>
        </a:p>
        <a:p>
          <a:pPr marL="171450" indent="-171450">
            <a:buFont typeface="Arial" panose="020B0604020202020204" pitchFamily="34" charset="0"/>
            <a:buChar char="•"/>
          </a:pPr>
          <a:endParaRPr lang="en-US" sz="1100" u="none" baseline="0">
            <a:solidFill>
              <a:srgbClr val="0000FF"/>
            </a:solidFill>
          </a:endParaRPr>
        </a:p>
        <a:p>
          <a:pPr marL="171450" indent="-171450">
            <a:buFont typeface="Arial" panose="020B0604020202020204" pitchFamily="34" charset="0"/>
            <a:buChar char="•"/>
          </a:pPr>
          <a:endParaRPr lang="en-US" sz="1100" u="none">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561974</xdr:colOff>
      <xdr:row>48</xdr:row>
      <xdr:rowOff>84132</xdr:rowOff>
    </xdr:to>
    <xdr:pic>
      <xdr:nvPicPr>
        <xdr:cNvPr id="3" name="Picture 2">
          <a:extLst>
            <a:ext uri="{FF2B5EF4-FFF2-40B4-BE49-F238E27FC236}">
              <a16:creationId xmlns:a16="http://schemas.microsoft.com/office/drawing/2014/main" id="{A50D1F62-46FE-A036-78ED-B881F9FE9BE5}"/>
            </a:ext>
          </a:extLst>
        </xdr:cNvPr>
        <xdr:cNvPicPr>
          <a:picLocks noChangeAspect="1"/>
        </xdr:cNvPicPr>
      </xdr:nvPicPr>
      <xdr:blipFill>
        <a:blip xmlns:r="http://schemas.openxmlformats.org/officeDocument/2006/relationships" r:embed="rId1"/>
        <a:stretch>
          <a:fillRect/>
        </a:stretch>
      </xdr:blipFill>
      <xdr:spPr>
        <a:xfrm>
          <a:off x="0" y="0"/>
          <a:ext cx="7267574" cy="92281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regulations.ct.gov/eRegsPortal/Browse/RCSA/Title_16Subtitle_16-245Section_16-245-4/"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regulations.ct.gov/eRegsPortal/Browse/RCSA/Title_16Subtitle_16-245aSection_16-245a-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115" zoomScaleNormal="115" workbookViewId="0">
      <selection activeCell="L11" sqref="L11"/>
    </sheetView>
  </sheetViews>
  <sheetFormatPr defaultRowHeight="15" x14ac:dyDescent="0.25"/>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48"/>
  <sheetViews>
    <sheetView zoomScale="55" zoomScaleNormal="55" workbookViewId="0">
      <selection activeCell="H16" sqref="H16"/>
    </sheetView>
  </sheetViews>
  <sheetFormatPr defaultColWidth="9.140625" defaultRowHeight="14.25" x14ac:dyDescent="0.2"/>
  <cols>
    <col min="1" max="1" width="41.7109375" style="44" customWidth="1"/>
    <col min="2" max="2" width="31.42578125" style="44" customWidth="1"/>
    <col min="3" max="3" width="2" style="44" customWidth="1"/>
    <col min="4" max="4" width="12.85546875" style="44" customWidth="1"/>
    <col min="5" max="6" width="17.85546875" style="44" customWidth="1"/>
    <col min="7" max="7" width="1.42578125" style="44" customWidth="1"/>
    <col min="8" max="13" width="18" style="44" customWidth="1"/>
    <col min="14" max="14" width="14.7109375" style="44" customWidth="1"/>
    <col min="15" max="16" width="18" style="44" customWidth="1"/>
    <col min="17" max="17" width="8.42578125" style="44" customWidth="1"/>
    <col min="18" max="18" width="19.85546875" style="44" customWidth="1"/>
    <col min="19" max="20" width="17.85546875" style="44" customWidth="1"/>
    <col min="21" max="21" width="15.42578125" style="44" customWidth="1"/>
    <col min="22" max="23" width="16.85546875" style="44" customWidth="1"/>
    <col min="24" max="24" width="4.85546875" style="44" customWidth="1"/>
    <col min="25" max="26" width="16.85546875" style="44" customWidth="1"/>
    <col min="27" max="27" width="3.140625" style="44" customWidth="1"/>
    <col min="28" max="30" width="16.85546875" style="44" customWidth="1"/>
    <col min="31" max="16384" width="9.140625" style="44"/>
  </cols>
  <sheetData>
    <row r="1" spans="1:18" s="10" customFormat="1" ht="23.45" customHeight="1" x14ac:dyDescent="0.25">
      <c r="A1" s="136" t="s">
        <v>107</v>
      </c>
      <c r="B1" s="136"/>
      <c r="C1" s="136"/>
      <c r="D1" s="136"/>
      <c r="E1" s="136"/>
      <c r="F1" s="136"/>
      <c r="G1" s="136"/>
      <c r="H1" s="136"/>
      <c r="I1" s="136"/>
      <c r="J1" s="136"/>
      <c r="K1" s="136"/>
      <c r="L1" s="136"/>
      <c r="M1" s="136"/>
      <c r="N1" s="136"/>
      <c r="O1" s="136"/>
      <c r="P1" s="136"/>
      <c r="Q1" s="136"/>
      <c r="R1" s="136"/>
    </row>
    <row r="2" spans="1:18" s="10" customFormat="1" ht="15.75" x14ac:dyDescent="0.25">
      <c r="A2" s="11" t="s">
        <v>0</v>
      </c>
      <c r="B2" s="12">
        <v>2024</v>
      </c>
    </row>
    <row r="3" spans="1:18" s="10" customFormat="1" ht="15.75" x14ac:dyDescent="0.25">
      <c r="B3" s="12"/>
      <c r="H3" s="102" t="s">
        <v>70</v>
      </c>
      <c r="I3" s="103"/>
      <c r="J3" s="103"/>
      <c r="K3" s="103"/>
      <c r="L3" s="103"/>
      <c r="M3" s="103"/>
      <c r="N3" s="103"/>
      <c r="O3" s="104"/>
    </row>
    <row r="4" spans="1:18" s="10" customFormat="1" ht="15.75" x14ac:dyDescent="0.25">
      <c r="A4" s="13" t="s">
        <v>59</v>
      </c>
      <c r="B4" s="12"/>
      <c r="H4" s="105"/>
      <c r="L4" s="106" t="s">
        <v>62</v>
      </c>
      <c r="M4" s="80"/>
      <c r="N4" s="10" t="s">
        <v>68</v>
      </c>
      <c r="O4" s="107"/>
    </row>
    <row r="5" spans="1:18" s="10" customFormat="1" ht="15.75" x14ac:dyDescent="0.25">
      <c r="A5" s="13" t="s">
        <v>29</v>
      </c>
      <c r="B5" s="12"/>
      <c r="H5" s="108"/>
      <c r="I5" s="16"/>
      <c r="J5" s="16"/>
      <c r="K5" s="16"/>
      <c r="L5" s="109" t="s">
        <v>63</v>
      </c>
      <c r="M5" s="80"/>
      <c r="N5" s="16" t="s">
        <v>104</v>
      </c>
      <c r="O5" s="110"/>
    </row>
    <row r="6" spans="1:18" s="10" customFormat="1" ht="15.75" x14ac:dyDescent="0.25">
      <c r="A6" s="13" t="s">
        <v>30</v>
      </c>
      <c r="B6" s="12"/>
      <c r="H6" s="108"/>
      <c r="I6" s="16"/>
      <c r="J6" s="16"/>
      <c r="K6" s="16"/>
      <c r="L6" s="109" t="s">
        <v>64</v>
      </c>
      <c r="M6" s="111">
        <f>SUM(M4:M5)</f>
        <v>0</v>
      </c>
      <c r="N6" s="16"/>
      <c r="O6" s="110"/>
    </row>
    <row r="7" spans="1:18" s="10" customFormat="1" ht="14.1" customHeight="1" x14ac:dyDescent="0.2">
      <c r="A7" s="14"/>
      <c r="H7" s="108"/>
      <c r="I7" s="16"/>
      <c r="J7" s="16"/>
      <c r="K7" s="16"/>
      <c r="L7" s="16"/>
      <c r="M7" s="16"/>
      <c r="N7" s="16"/>
      <c r="O7" s="110"/>
    </row>
    <row r="8" spans="1:18" s="16" customFormat="1" ht="15" customHeight="1" x14ac:dyDescent="0.25">
      <c r="A8" s="15" t="s">
        <v>31</v>
      </c>
      <c r="B8" s="6" t="s">
        <v>55</v>
      </c>
      <c r="C8" s="15"/>
      <c r="H8" s="108"/>
      <c r="L8" s="109" t="s">
        <v>89</v>
      </c>
      <c r="M8" s="81">
        <f>MAX('RPS Security'!C18:C19)</f>
        <v>25000</v>
      </c>
      <c r="O8" s="110"/>
    </row>
    <row r="9" spans="1:18" s="16" customFormat="1" ht="15" customHeight="1" x14ac:dyDescent="0.25">
      <c r="A9" s="15" t="s">
        <v>32</v>
      </c>
      <c r="B9" s="6" t="s">
        <v>40</v>
      </c>
      <c r="C9" s="15"/>
      <c r="D9" s="17"/>
      <c r="H9" s="108"/>
      <c r="L9" s="109" t="s">
        <v>90</v>
      </c>
      <c r="M9" s="81">
        <f>MROUND(M8,1000)</f>
        <v>25000</v>
      </c>
      <c r="O9" s="110"/>
    </row>
    <row r="10" spans="1:18" s="16" customFormat="1" ht="15" customHeight="1" x14ac:dyDescent="0.25">
      <c r="A10" s="15" t="s">
        <v>33</v>
      </c>
      <c r="B10" s="6" t="s">
        <v>34</v>
      </c>
      <c r="C10" s="15"/>
      <c r="H10" s="108"/>
      <c r="O10" s="110"/>
    </row>
    <row r="11" spans="1:18" s="16" customFormat="1" ht="15" customHeight="1" x14ac:dyDescent="0.25">
      <c r="A11" s="15"/>
      <c r="B11" s="7" t="s">
        <v>35</v>
      </c>
      <c r="C11" s="15"/>
      <c r="D11" s="17"/>
      <c r="H11" s="108"/>
      <c r="I11" s="112"/>
      <c r="L11" s="109" t="s">
        <v>67</v>
      </c>
      <c r="M11" s="81">
        <f>IF(M9&gt;M4,M9-M4,0)</f>
        <v>25000</v>
      </c>
      <c r="N11" s="113"/>
      <c r="O11" s="110"/>
    </row>
    <row r="12" spans="1:18" s="16" customFormat="1" ht="15" customHeight="1" x14ac:dyDescent="0.25">
      <c r="A12" s="15"/>
      <c r="B12" s="7" t="s">
        <v>36</v>
      </c>
      <c r="C12" s="15"/>
      <c r="D12" s="17"/>
      <c r="H12" s="108"/>
      <c r="L12" s="109" t="s">
        <v>69</v>
      </c>
      <c r="M12" s="81">
        <f>IF((M11&gt;(0.1*M4)),M11,0)</f>
        <v>25000</v>
      </c>
      <c r="O12" s="110"/>
    </row>
    <row r="13" spans="1:18" s="16" customFormat="1" ht="15" customHeight="1" x14ac:dyDescent="0.25">
      <c r="A13" s="15" t="s">
        <v>37</v>
      </c>
      <c r="B13" s="8">
        <v>8005555555</v>
      </c>
      <c r="C13" s="15"/>
      <c r="D13" s="17"/>
      <c r="H13" s="108"/>
      <c r="O13" s="110"/>
    </row>
    <row r="14" spans="1:18" s="16" customFormat="1" ht="15" customHeight="1" x14ac:dyDescent="0.25">
      <c r="A14" s="15" t="s">
        <v>41</v>
      </c>
      <c r="B14" s="8"/>
      <c r="C14" s="15"/>
      <c r="D14" s="17"/>
      <c r="H14" s="108"/>
      <c r="L14" s="109" t="s">
        <v>92</v>
      </c>
      <c r="M14" s="81">
        <f>+'License Security'!H10</f>
        <v>250000</v>
      </c>
      <c r="O14" s="110"/>
    </row>
    <row r="15" spans="1:18" s="16" customFormat="1" ht="15" customHeight="1" x14ac:dyDescent="0.25">
      <c r="A15" s="15" t="s">
        <v>38</v>
      </c>
      <c r="B15" s="6" t="s">
        <v>39</v>
      </c>
      <c r="C15" s="15"/>
      <c r="D15" s="17"/>
      <c r="H15" s="108"/>
      <c r="O15" s="110"/>
    </row>
    <row r="16" spans="1:18" s="16" customFormat="1" ht="15" customHeight="1" x14ac:dyDescent="0.25">
      <c r="A16" s="15"/>
      <c r="B16" s="15"/>
      <c r="C16" s="15"/>
      <c r="D16" s="17"/>
      <c r="H16" s="114"/>
      <c r="I16" s="115"/>
      <c r="J16" s="115"/>
      <c r="K16" s="115"/>
      <c r="L16" s="116" t="s">
        <v>66</v>
      </c>
      <c r="M16" s="117">
        <f>IF(M11+M12=0,M9+M14,M12+M4+M14)</f>
        <v>275000</v>
      </c>
      <c r="N16" s="115" t="s">
        <v>65</v>
      </c>
      <c r="O16" s="118"/>
    </row>
    <row r="17" spans="1:18" s="10" customFormat="1" ht="15" customHeight="1" thickBot="1" x14ac:dyDescent="0.3">
      <c r="A17" s="15"/>
      <c r="B17" s="15"/>
    </row>
    <row r="18" spans="1:18" s="10" customFormat="1" ht="15" customHeight="1" x14ac:dyDescent="0.25">
      <c r="A18" s="10" t="s">
        <v>52</v>
      </c>
      <c r="B18" s="4"/>
      <c r="D18" s="137" t="s">
        <v>1</v>
      </c>
      <c r="E18" s="137"/>
      <c r="F18" s="137"/>
      <c r="H18" s="20" t="s">
        <v>56</v>
      </c>
      <c r="I18" s="21"/>
      <c r="J18" s="21"/>
      <c r="K18" s="21"/>
      <c r="L18" s="21"/>
      <c r="M18" s="138" t="s">
        <v>54</v>
      </c>
      <c r="N18" s="140" t="s">
        <v>50</v>
      </c>
      <c r="O18" s="138" t="s">
        <v>8</v>
      </c>
      <c r="P18" s="140" t="s">
        <v>9</v>
      </c>
      <c r="Q18" s="21"/>
      <c r="R18" s="79" t="s">
        <v>61</v>
      </c>
    </row>
    <row r="19" spans="1:18" s="10" customFormat="1" ht="15" customHeight="1" thickBot="1" x14ac:dyDescent="0.3">
      <c r="A19" s="10" t="s">
        <v>53</v>
      </c>
      <c r="B19" s="4"/>
      <c r="D19" s="22" t="s">
        <v>2</v>
      </c>
      <c r="E19" s="22" t="s">
        <v>3</v>
      </c>
      <c r="F19" s="11" t="s">
        <v>19</v>
      </c>
      <c r="H19" s="23"/>
      <c r="I19" s="24" t="s">
        <v>4</v>
      </c>
      <c r="J19" s="24" t="s">
        <v>5</v>
      </c>
      <c r="K19" s="12" t="s">
        <v>6</v>
      </c>
      <c r="L19" s="12" t="s">
        <v>7</v>
      </c>
      <c r="M19" s="139"/>
      <c r="N19" s="141"/>
      <c r="O19" s="139"/>
      <c r="P19" s="142"/>
      <c r="Q19" s="12" t="s">
        <v>10</v>
      </c>
      <c r="R19" s="25" t="s">
        <v>22</v>
      </c>
    </row>
    <row r="20" spans="1:18" s="10" customFormat="1" ht="21.95" customHeight="1" x14ac:dyDescent="0.25">
      <c r="A20" s="10" t="s">
        <v>98</v>
      </c>
      <c r="B20" s="5"/>
      <c r="D20" s="10" t="s">
        <v>11</v>
      </c>
      <c r="E20" s="76">
        <v>0.28000000000000003</v>
      </c>
      <c r="F20" s="27">
        <f>ROUND($B$24*E20,0)</f>
        <v>0</v>
      </c>
      <c r="H20" s="28" t="s">
        <v>11</v>
      </c>
      <c r="I20" s="5"/>
      <c r="J20" s="5"/>
      <c r="K20" s="5"/>
      <c r="L20" s="5"/>
      <c r="M20" s="1">
        <f>J37</f>
        <v>0</v>
      </c>
      <c r="N20" s="5"/>
      <c r="O20" s="1">
        <f>SUM(I20:L20,J37)-N20</f>
        <v>0</v>
      </c>
      <c r="P20" s="1">
        <f>MAX(0,F20-O20)</f>
        <v>0</v>
      </c>
      <c r="Q20" s="75">
        <v>40</v>
      </c>
      <c r="R20" s="30">
        <f>IF(P20&lt;0,"$0",P20*Q20)</f>
        <v>0</v>
      </c>
    </row>
    <row r="21" spans="1:18" s="10" customFormat="1" ht="18" customHeight="1" x14ac:dyDescent="0.25">
      <c r="A21" s="129" t="s">
        <v>101</v>
      </c>
      <c r="B21" s="131"/>
      <c r="D21" s="10" t="s">
        <v>12</v>
      </c>
      <c r="E21" s="77">
        <v>0.04</v>
      </c>
      <c r="F21" s="31">
        <f>ROUND($B$24*E21,0)</f>
        <v>0</v>
      </c>
      <c r="H21" s="28" t="s">
        <v>12</v>
      </c>
      <c r="I21" s="5"/>
      <c r="J21" s="5"/>
      <c r="K21" s="5"/>
      <c r="L21" s="5"/>
      <c r="M21" s="1">
        <f>J38</f>
        <v>0</v>
      </c>
      <c r="N21" s="5"/>
      <c r="O21" s="1">
        <f>SUM(I21:L21,J38)-N21</f>
        <v>0</v>
      </c>
      <c r="P21" s="1">
        <f>MAX(0,F21-O21)</f>
        <v>0</v>
      </c>
      <c r="Q21" s="29">
        <v>25</v>
      </c>
      <c r="R21" s="30">
        <f t="shared" ref="R21:R22" si="0">IF(P21&lt;0,"$0",P21*Q21)</f>
        <v>0</v>
      </c>
    </row>
    <row r="22" spans="1:18" s="10" customFormat="1" ht="19.5" customHeight="1" thickBot="1" x14ac:dyDescent="0.3">
      <c r="A22" s="10" t="s">
        <v>99</v>
      </c>
      <c r="B22" s="5"/>
      <c r="D22" s="10" t="s">
        <v>13</v>
      </c>
      <c r="E22" s="78" t="s">
        <v>96</v>
      </c>
      <c r="F22" s="130">
        <f>ROUND(((B20+B22)*E26)+((B21+B23)*(E27)),0)</f>
        <v>0</v>
      </c>
      <c r="H22" s="28" t="s">
        <v>13</v>
      </c>
      <c r="I22" s="9"/>
      <c r="J22" s="9"/>
      <c r="K22" s="9"/>
      <c r="L22" s="9"/>
      <c r="M22" s="1">
        <f>J39</f>
        <v>0</v>
      </c>
      <c r="N22" s="9"/>
      <c r="O22" s="1">
        <f>SUM(I22:L22,J39)-N22</f>
        <v>0</v>
      </c>
      <c r="P22" s="33">
        <f>MAX(0,F22-O22)</f>
        <v>0</v>
      </c>
      <c r="Q22" s="29">
        <v>31</v>
      </c>
      <c r="R22" s="30">
        <f t="shared" si="0"/>
        <v>0</v>
      </c>
    </row>
    <row r="23" spans="1:18" s="10" customFormat="1" ht="18.75" thickBot="1" x14ac:dyDescent="0.3">
      <c r="A23" s="129" t="s">
        <v>102</v>
      </c>
      <c r="B23" s="131"/>
      <c r="D23" s="35" t="s">
        <v>14</v>
      </c>
      <c r="E23" s="36">
        <f>SUM(E20:E22)+0.05</f>
        <v>0.37</v>
      </c>
      <c r="F23" s="37">
        <f>SUM(F20:F22)</f>
        <v>0</v>
      </c>
      <c r="H23" s="38" t="s">
        <v>15</v>
      </c>
      <c r="I23" s="39">
        <f>SUM(I20:I22)</f>
        <v>0</v>
      </c>
      <c r="J23" s="39">
        <f t="shared" ref="J23:N23" si="1">SUM(J20:J22)</f>
        <v>0</v>
      </c>
      <c r="K23" s="39">
        <f t="shared" si="1"/>
        <v>0</v>
      </c>
      <c r="L23" s="39">
        <f t="shared" si="1"/>
        <v>0</v>
      </c>
      <c r="M23" s="39">
        <f>SUM(M20:M22)</f>
        <v>0</v>
      </c>
      <c r="N23" s="39">
        <f t="shared" si="1"/>
        <v>0</v>
      </c>
      <c r="O23" s="39">
        <f>SUM(O20:O22)</f>
        <v>0</v>
      </c>
      <c r="P23" s="39">
        <f>SUM(P20:P22)</f>
        <v>0</v>
      </c>
      <c r="Q23" s="40"/>
      <c r="R23" s="41">
        <f>SUM(R20:R22)</f>
        <v>0</v>
      </c>
    </row>
    <row r="24" spans="1:18" s="10" customFormat="1" ht="15.75" thickBot="1" x14ac:dyDescent="0.3">
      <c r="A24" s="10" t="s">
        <v>21</v>
      </c>
      <c r="B24" s="1">
        <f>+B20+B21+B22+B23</f>
        <v>0</v>
      </c>
    </row>
    <row r="25" spans="1:18" s="10" customFormat="1" ht="16.5" thickBot="1" x14ac:dyDescent="0.3">
      <c r="A25" s="34" t="s">
        <v>20</v>
      </c>
      <c r="B25" s="12"/>
      <c r="D25" s="149" t="s">
        <v>103</v>
      </c>
      <c r="E25" s="150"/>
    </row>
    <row r="26" spans="1:18" s="10" customFormat="1" ht="16.5" thickBot="1" x14ac:dyDescent="0.3">
      <c r="A26" s="10" t="s">
        <v>16</v>
      </c>
      <c r="B26" s="26">
        <f>+E23</f>
        <v>0.37</v>
      </c>
      <c r="D26" s="121" t="s">
        <v>97</v>
      </c>
      <c r="E26" s="122">
        <v>0.05</v>
      </c>
      <c r="H26" s="20" t="s">
        <v>23</v>
      </c>
      <c r="I26" s="42"/>
      <c r="J26" s="21"/>
      <c r="K26" s="43"/>
    </row>
    <row r="27" spans="1:18" ht="15.75" thickBot="1" x14ac:dyDescent="0.25">
      <c r="A27" s="10" t="s">
        <v>17</v>
      </c>
      <c r="B27" s="37">
        <f>+F23</f>
        <v>0</v>
      </c>
      <c r="D27" s="123" t="s">
        <v>106</v>
      </c>
      <c r="E27" s="124">
        <v>0.04</v>
      </c>
      <c r="H27" s="45" t="s">
        <v>24</v>
      </c>
      <c r="I27" s="14"/>
      <c r="J27" s="46"/>
      <c r="K27" s="47">
        <f>IFERROR(((B20+B21)/$B$24)*($R$23-$K$29),0)</f>
        <v>0</v>
      </c>
      <c r="Q27" s="48"/>
    </row>
    <row r="28" spans="1:18" ht="15" x14ac:dyDescent="0.2">
      <c r="A28" s="10"/>
      <c r="B28" s="10"/>
      <c r="D28" s="10"/>
      <c r="E28" s="77"/>
      <c r="H28" s="45" t="s">
        <v>25</v>
      </c>
      <c r="I28" s="14"/>
      <c r="J28" s="46"/>
      <c r="K28" s="47">
        <f>IFERROR(((B22+B23)/$B$24)*($R$23-$K$29),0)</f>
        <v>0</v>
      </c>
      <c r="Q28" s="48"/>
    </row>
    <row r="29" spans="1:18" ht="17.25" thickBot="1" x14ac:dyDescent="0.25">
      <c r="A29" s="44" t="s">
        <v>100</v>
      </c>
      <c r="D29" s="10"/>
      <c r="E29" s="78"/>
      <c r="H29" s="49" t="s">
        <v>26</v>
      </c>
      <c r="I29" s="50"/>
      <c r="J29" s="51"/>
      <c r="K29" s="52">
        <f>R22*0.25</f>
        <v>0</v>
      </c>
      <c r="Q29" s="48"/>
    </row>
    <row r="30" spans="1:18" ht="15" x14ac:dyDescent="0.2">
      <c r="A30" s="126" t="s">
        <v>105</v>
      </c>
      <c r="B30" s="126"/>
      <c r="C30" s="126"/>
      <c r="D30" s="127"/>
      <c r="E30" s="128"/>
      <c r="O30" s="53"/>
      <c r="Q30" s="48"/>
    </row>
    <row r="31" spans="1:18" ht="15" x14ac:dyDescent="0.25">
      <c r="A31" s="132" t="str">
        <f>IF((B21+B23)&gt;0,"Supplier input Exception Load.  Additional documentation required.", "")</f>
        <v/>
      </c>
    </row>
    <row r="32" spans="1:18" ht="15" x14ac:dyDescent="0.25">
      <c r="A32" s="44" t="s">
        <v>71</v>
      </c>
      <c r="B32" s="5"/>
    </row>
    <row r="33" spans="4:17" ht="15" thickBot="1" x14ac:dyDescent="0.25"/>
    <row r="34" spans="4:17" ht="21" thickBot="1" x14ac:dyDescent="0.35">
      <c r="D34" s="143" t="s">
        <v>42</v>
      </c>
      <c r="E34" s="144"/>
      <c r="F34" s="144"/>
      <c r="G34" s="144"/>
      <c r="H34" s="144"/>
      <c r="I34" s="144"/>
      <c r="J34" s="144"/>
      <c r="K34" s="144"/>
      <c r="L34" s="144"/>
      <c r="M34" s="144"/>
      <c r="N34" s="144"/>
      <c r="O34" s="144"/>
      <c r="P34" s="145"/>
    </row>
    <row r="35" spans="4:17" ht="56.45" customHeight="1" thickBot="1" x14ac:dyDescent="0.3">
      <c r="D35" s="55"/>
      <c r="E35" s="146" t="s">
        <v>43</v>
      </c>
      <c r="F35" s="147"/>
      <c r="G35" s="14"/>
      <c r="H35" s="146" t="s">
        <v>44</v>
      </c>
      <c r="I35" s="148"/>
      <c r="J35" s="147"/>
      <c r="K35" s="54"/>
      <c r="L35" s="146" t="s">
        <v>58</v>
      </c>
      <c r="M35" s="147"/>
      <c r="O35" s="146" t="s">
        <v>60</v>
      </c>
      <c r="P35" s="147"/>
    </row>
    <row r="36" spans="4:17" ht="60.75" thickBot="1" x14ac:dyDescent="0.3">
      <c r="D36" s="55"/>
      <c r="E36" s="56" t="s">
        <v>45</v>
      </c>
      <c r="F36" s="57" t="s">
        <v>46</v>
      </c>
      <c r="G36" s="10"/>
      <c r="H36" s="56" t="s">
        <v>45</v>
      </c>
      <c r="I36" s="57" t="s">
        <v>46</v>
      </c>
      <c r="J36" s="57" t="s">
        <v>14</v>
      </c>
      <c r="K36" s="58"/>
      <c r="L36" s="57" t="s">
        <v>46</v>
      </c>
      <c r="M36" s="59" t="s">
        <v>47</v>
      </c>
      <c r="O36" s="57" t="s">
        <v>46</v>
      </c>
      <c r="P36" s="59" t="s">
        <v>47</v>
      </c>
    </row>
    <row r="37" spans="4:17" ht="15.75" thickBot="1" x14ac:dyDescent="0.25">
      <c r="D37" s="60" t="s">
        <v>48</v>
      </c>
      <c r="E37" s="2"/>
      <c r="F37" s="3"/>
      <c r="G37" s="14"/>
      <c r="H37" s="2"/>
      <c r="I37" s="3"/>
      <c r="J37" s="61">
        <f>SUM(H37:I37)</f>
        <v>0</v>
      </c>
      <c r="K37" s="62"/>
      <c r="L37" s="71">
        <f>+F37-I37</f>
        <v>0</v>
      </c>
      <c r="M37" s="72">
        <f>IF((O20-F20&lt;0),0,O20-F20)</f>
        <v>0</v>
      </c>
      <c r="O37" s="3"/>
      <c r="P37" s="3"/>
    </row>
    <row r="38" spans="4:17" ht="15.75" thickBot="1" x14ac:dyDescent="0.25">
      <c r="D38" s="60" t="s">
        <v>49</v>
      </c>
      <c r="E38" s="2"/>
      <c r="F38" s="3"/>
      <c r="G38" s="63"/>
      <c r="H38" s="2"/>
      <c r="I38" s="3"/>
      <c r="J38" s="61">
        <f t="shared" ref="J38:J39" si="2">SUM(H38:I38)</f>
        <v>0</v>
      </c>
      <c r="K38" s="64"/>
      <c r="L38" s="71">
        <f>+F38-I38</f>
        <v>0</v>
      </c>
      <c r="M38" s="72">
        <f>IF((O21-F21&lt;0),0,O21-F21)</f>
        <v>0</v>
      </c>
      <c r="O38" s="3"/>
      <c r="P38" s="3"/>
    </row>
    <row r="39" spans="4:17" ht="15.75" thickBot="1" x14ac:dyDescent="0.25">
      <c r="D39" s="60" t="s">
        <v>13</v>
      </c>
      <c r="E39" s="2"/>
      <c r="F39" s="3"/>
      <c r="G39" s="65"/>
      <c r="H39" s="2"/>
      <c r="I39" s="3"/>
      <c r="J39" s="61">
        <f t="shared" si="2"/>
        <v>0</v>
      </c>
      <c r="K39" s="66"/>
      <c r="L39" s="71">
        <f>+F39-I39</f>
        <v>0</v>
      </c>
      <c r="M39" s="72">
        <f>IF((O22-F22&lt;0),0,O22-F22)</f>
        <v>0</v>
      </c>
      <c r="O39" s="3"/>
      <c r="P39" s="3"/>
    </row>
    <row r="40" spans="4:17" ht="21.95" customHeight="1" thickBot="1" x14ac:dyDescent="0.3">
      <c r="D40" s="67" t="s">
        <v>51</v>
      </c>
      <c r="E40" s="68">
        <f t="shared" ref="E40:F40" si="3">SUM(E37:E39)</f>
        <v>0</v>
      </c>
      <c r="F40" s="69">
        <f t="shared" si="3"/>
        <v>0</v>
      </c>
      <c r="H40" s="68">
        <f t="shared" ref="H40:I40" si="4">SUM(H37:H39)</f>
        <v>0</v>
      </c>
      <c r="I40" s="69">
        <f t="shared" si="4"/>
        <v>0</v>
      </c>
      <c r="J40" s="69">
        <f>SUM(J37:J39)</f>
        <v>0</v>
      </c>
      <c r="L40" s="69">
        <f t="shared" ref="L40" si="5">SUM(L37:L39)</f>
        <v>0</v>
      </c>
      <c r="M40" s="70">
        <f>IF(SUM(M37:M39)&gt;(B24*0.3),(B24*0.3),SUM(M37:M39))</f>
        <v>0</v>
      </c>
      <c r="O40" s="69">
        <f t="shared" ref="O40:P40" si="6">SUM(O37:O39)</f>
        <v>0</v>
      </c>
      <c r="P40" s="70">
        <f t="shared" si="6"/>
        <v>0</v>
      </c>
    </row>
    <row r="41" spans="4:17" ht="14.1" customHeight="1" x14ac:dyDescent="0.2">
      <c r="H41" s="133" t="s">
        <v>57</v>
      </c>
      <c r="I41" s="133"/>
      <c r="J41" s="133"/>
    </row>
    <row r="42" spans="4:17" ht="14.1" customHeight="1" x14ac:dyDescent="0.25">
      <c r="H42" s="134"/>
      <c r="I42" s="134"/>
      <c r="J42" s="134"/>
      <c r="K42" s="135" t="str">
        <f>IF(SUM(M37:M39)&gt;(B24*0.3),"Sum of REC's Banked by Class Exceed allowable %","")</f>
        <v/>
      </c>
      <c r="L42" s="135"/>
      <c r="M42" s="135"/>
      <c r="N42" s="135"/>
      <c r="O42" s="73"/>
      <c r="P42" s="73"/>
    </row>
    <row r="43" spans="4:17" ht="14.1" customHeight="1" x14ac:dyDescent="0.25">
      <c r="H43" s="134"/>
      <c r="I43" s="134"/>
      <c r="J43" s="134"/>
      <c r="N43" s="135" t="str">
        <f>IF(O40&gt;(L40),"Requested Current Bank REC Exceeded-correction required","")</f>
        <v/>
      </c>
      <c r="O43" s="135"/>
      <c r="P43" s="135"/>
      <c r="Q43" s="135"/>
    </row>
    <row r="44" spans="4:17" ht="15" x14ac:dyDescent="0.25">
      <c r="H44" s="134"/>
      <c r="I44" s="134"/>
      <c r="J44" s="134"/>
      <c r="N44" s="135" t="str">
        <f>IF(P40&gt;(M40),"Requested Prior Bank REC Exceeded-correction required","")</f>
        <v/>
      </c>
      <c r="O44" s="135"/>
      <c r="P44" s="135"/>
      <c r="Q44" s="135"/>
    </row>
    <row r="47" spans="4:17" x14ac:dyDescent="0.2">
      <c r="M47" s="74"/>
    </row>
    <row r="48" spans="4:17" x14ac:dyDescent="0.2">
      <c r="M48" s="53"/>
    </row>
  </sheetData>
  <sheetProtection sheet="1" objects="1" scenarios="1"/>
  <mergeCells count="16">
    <mergeCell ref="H41:J44"/>
    <mergeCell ref="K42:N42"/>
    <mergeCell ref="N43:Q43"/>
    <mergeCell ref="N44:Q44"/>
    <mergeCell ref="A1:R1"/>
    <mergeCell ref="D18:F18"/>
    <mergeCell ref="M18:M19"/>
    <mergeCell ref="N18:N19"/>
    <mergeCell ref="O18:O19"/>
    <mergeCell ref="P18:P19"/>
    <mergeCell ref="D34:P34"/>
    <mergeCell ref="E35:F35"/>
    <mergeCell ref="H35:J35"/>
    <mergeCell ref="L35:M35"/>
    <mergeCell ref="O35:P35"/>
    <mergeCell ref="D25:E25"/>
  </mergeCell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
  <sheetViews>
    <sheetView view="pageBreakPreview" zoomScaleNormal="100" zoomScaleSheetLayoutView="100" workbookViewId="0">
      <selection activeCell="N38" sqref="N38"/>
    </sheetView>
  </sheetViews>
  <sheetFormatPr defaultRowHeight="15" x14ac:dyDescent="0.25"/>
  <sheetData/>
  <pageMargins left="0.7" right="0.7" top="0.75" bottom="0.75" header="0.3" footer="0.3"/>
  <pageSetup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4BB79-6DC8-45E8-B7E6-A5071C8DBE7E}">
  <dimension ref="A1:H49"/>
  <sheetViews>
    <sheetView zoomScaleNormal="100" workbookViewId="0">
      <selection activeCell="B3" sqref="B3"/>
    </sheetView>
  </sheetViews>
  <sheetFormatPr defaultRowHeight="15" x14ac:dyDescent="0.25"/>
  <cols>
    <col min="1" max="1" width="5.140625" customWidth="1"/>
    <col min="2" max="4" width="15.140625" customWidth="1"/>
    <col min="5" max="5" width="3.28515625" customWidth="1"/>
    <col min="6" max="6" width="17.7109375" bestFit="1" customWidth="1"/>
    <col min="7" max="7" width="12.140625" customWidth="1"/>
    <col min="8" max="8" width="17.85546875" customWidth="1"/>
    <col min="9" max="9" width="16.5703125" bestFit="1" customWidth="1"/>
  </cols>
  <sheetData>
    <row r="1" spans="1:8" x14ac:dyDescent="0.25">
      <c r="A1" s="151" t="str">
        <f>+'24 RPS Annual Compliance Filing'!A1</f>
        <v xml:space="preserve">Connecticut Annual RPS Compliance Report 2024 - Public Act 24-38 Version </v>
      </c>
      <c r="B1" s="151"/>
      <c r="C1" s="151"/>
      <c r="D1" s="151"/>
      <c r="E1" s="151"/>
      <c r="F1" s="151"/>
      <c r="G1" s="151"/>
      <c r="H1" s="151"/>
    </row>
    <row r="2" spans="1:8" x14ac:dyDescent="0.25">
      <c r="A2" s="151" t="s">
        <v>72</v>
      </c>
      <c r="B2" s="151"/>
      <c r="C2" s="151"/>
      <c r="D2" s="151"/>
      <c r="E2" s="151"/>
      <c r="F2" s="151"/>
      <c r="G2" s="151"/>
      <c r="H2" s="151"/>
    </row>
    <row r="5" spans="1:8" x14ac:dyDescent="0.25">
      <c r="B5" s="152" t="s">
        <v>73</v>
      </c>
      <c r="C5" s="152"/>
    </row>
    <row r="6" spans="1:8" x14ac:dyDescent="0.25">
      <c r="B6" s="82" t="s">
        <v>74</v>
      </c>
      <c r="C6" s="82" t="s">
        <v>75</v>
      </c>
      <c r="D6" s="82" t="s">
        <v>76</v>
      </c>
      <c r="G6" s="82" t="s">
        <v>77</v>
      </c>
      <c r="H6" s="82" t="s">
        <v>76</v>
      </c>
    </row>
    <row r="7" spans="1:8" x14ac:dyDescent="0.25">
      <c r="B7" s="83">
        <v>0</v>
      </c>
      <c r="C7" s="84">
        <v>100000</v>
      </c>
      <c r="D7" s="85">
        <v>250000</v>
      </c>
      <c r="F7" s="86" t="s">
        <v>78</v>
      </c>
      <c r="G7" s="87">
        <f>+'24 RPS Annual Compliance Filing'!B32</f>
        <v>0</v>
      </c>
      <c r="H7" s="88">
        <f>IF(VLOOKUP(G7,B7:D38,3,TRUE)&gt;2000000,2000000,VLOOKUP(G7,B7:D38,3,TRUE))</f>
        <v>250000</v>
      </c>
    </row>
    <row r="8" spans="1:8" x14ac:dyDescent="0.25">
      <c r="B8" s="84">
        <v>100001</v>
      </c>
      <c r="C8" s="84">
        <v>499999</v>
      </c>
      <c r="D8" s="85">
        <v>500000</v>
      </c>
      <c r="F8" s="86" t="s">
        <v>79</v>
      </c>
      <c r="G8" s="87">
        <f>+'24 RPS Annual Compliance Filing'!B24</f>
        <v>0</v>
      </c>
      <c r="H8" s="88">
        <f>IF(VLOOKUP(G8,B7:D38,3,TRUE)&gt;2000000,MAX(2000000,'24 RPS Annual Compliance Filing'!M5),VLOOKUP(G8,B7:D38,3,TRUE))</f>
        <v>250000</v>
      </c>
    </row>
    <row r="9" spans="1:8" ht="15.75" thickBot="1" x14ac:dyDescent="0.3">
      <c r="B9" s="84">
        <v>500000</v>
      </c>
      <c r="C9" s="84">
        <v>999999</v>
      </c>
      <c r="D9" s="85">
        <v>1000000</v>
      </c>
    </row>
    <row r="10" spans="1:8" ht="15.75" thickBot="1" x14ac:dyDescent="0.3">
      <c r="B10" s="84">
        <v>1000000</v>
      </c>
      <c r="C10" s="84">
        <v>1500000</v>
      </c>
      <c r="D10" s="85">
        <v>2000000</v>
      </c>
      <c r="F10" t="s">
        <v>80</v>
      </c>
      <c r="H10" s="89">
        <f>MAX(H7:H8)</f>
        <v>250000</v>
      </c>
    </row>
    <row r="11" spans="1:8" hidden="1" x14ac:dyDescent="0.25">
      <c r="B11" s="84">
        <v>1500001</v>
      </c>
      <c r="C11" s="84">
        <v>2000000</v>
      </c>
      <c r="D11" s="85">
        <v>3000000</v>
      </c>
    </row>
    <row r="12" spans="1:8" hidden="1" x14ac:dyDescent="0.25">
      <c r="B12" s="84">
        <v>2000001</v>
      </c>
      <c r="C12" s="84">
        <v>2500000</v>
      </c>
      <c r="D12" s="85">
        <v>4000000</v>
      </c>
    </row>
    <row r="13" spans="1:8" ht="14.45" hidden="1" customHeight="1" x14ac:dyDescent="0.25">
      <c r="B13" s="84">
        <v>2500001</v>
      </c>
      <c r="C13" s="84">
        <v>3000000</v>
      </c>
      <c r="D13" s="85">
        <v>5000000</v>
      </c>
    </row>
    <row r="14" spans="1:8" hidden="1" x14ac:dyDescent="0.25">
      <c r="B14" s="84">
        <v>3000001</v>
      </c>
      <c r="C14" s="84">
        <v>3500000</v>
      </c>
      <c r="D14" s="85">
        <v>6000000</v>
      </c>
    </row>
    <row r="15" spans="1:8" hidden="1" x14ac:dyDescent="0.25">
      <c r="B15" s="84">
        <v>3500001</v>
      </c>
      <c r="C15" s="84">
        <v>4000000</v>
      </c>
      <c r="D15" s="85">
        <v>7000000</v>
      </c>
    </row>
    <row r="16" spans="1:8" hidden="1" x14ac:dyDescent="0.25">
      <c r="B16" s="84">
        <v>4000001</v>
      </c>
      <c r="C16" s="84">
        <v>4500000</v>
      </c>
      <c r="D16" s="85">
        <v>8000000</v>
      </c>
    </row>
    <row r="17" spans="2:4" hidden="1" x14ac:dyDescent="0.25">
      <c r="B17" s="84">
        <v>4500001</v>
      </c>
      <c r="C17" s="84">
        <v>5000000</v>
      </c>
      <c r="D17" s="85">
        <v>9000000</v>
      </c>
    </row>
    <row r="18" spans="2:4" hidden="1" x14ac:dyDescent="0.25">
      <c r="B18" s="84">
        <v>5000001</v>
      </c>
      <c r="C18" s="84">
        <v>5500000</v>
      </c>
      <c r="D18" s="85">
        <v>10000000</v>
      </c>
    </row>
    <row r="19" spans="2:4" hidden="1" x14ac:dyDescent="0.25">
      <c r="B19" s="84">
        <v>5500001</v>
      </c>
      <c r="C19" s="84">
        <v>6000000</v>
      </c>
      <c r="D19" s="85">
        <v>11000000</v>
      </c>
    </row>
    <row r="20" spans="2:4" hidden="1" x14ac:dyDescent="0.25">
      <c r="B20" s="84">
        <v>6000001</v>
      </c>
      <c r="C20" s="84">
        <v>6500000</v>
      </c>
      <c r="D20" s="85">
        <v>12000000</v>
      </c>
    </row>
    <row r="21" spans="2:4" hidden="1" x14ac:dyDescent="0.25">
      <c r="B21" s="84">
        <v>6500001</v>
      </c>
      <c r="C21" s="84">
        <v>7000000</v>
      </c>
      <c r="D21" s="85">
        <v>13000000</v>
      </c>
    </row>
    <row r="22" spans="2:4" hidden="1" x14ac:dyDescent="0.25">
      <c r="B22" s="84">
        <v>7000001</v>
      </c>
      <c r="C22" s="84">
        <v>7500000</v>
      </c>
      <c r="D22" s="85">
        <v>14000000</v>
      </c>
    </row>
    <row r="23" spans="2:4" hidden="1" x14ac:dyDescent="0.25">
      <c r="B23" s="84">
        <v>7500001</v>
      </c>
      <c r="C23" s="84">
        <v>8000000</v>
      </c>
      <c r="D23" s="85">
        <v>15000000</v>
      </c>
    </row>
    <row r="24" spans="2:4" hidden="1" x14ac:dyDescent="0.25">
      <c r="B24" s="84">
        <v>8000001</v>
      </c>
      <c r="C24" s="84">
        <v>8500000</v>
      </c>
      <c r="D24" s="85">
        <v>16000000</v>
      </c>
    </row>
    <row r="25" spans="2:4" hidden="1" x14ac:dyDescent="0.25">
      <c r="B25" s="84">
        <v>8500001</v>
      </c>
      <c r="C25" s="84">
        <v>9000000</v>
      </c>
      <c r="D25" s="85">
        <v>17000000</v>
      </c>
    </row>
    <row r="26" spans="2:4" hidden="1" x14ac:dyDescent="0.25">
      <c r="B26" s="84">
        <v>9000001</v>
      </c>
      <c r="C26" s="84">
        <v>9500000</v>
      </c>
      <c r="D26" s="85">
        <v>18000000</v>
      </c>
    </row>
    <row r="27" spans="2:4" hidden="1" x14ac:dyDescent="0.25">
      <c r="B27" s="84">
        <v>9500001</v>
      </c>
      <c r="C27" s="84">
        <v>10000000</v>
      </c>
      <c r="D27" s="85">
        <v>19000000</v>
      </c>
    </row>
    <row r="28" spans="2:4" hidden="1" x14ac:dyDescent="0.25">
      <c r="B28" s="84">
        <v>10000001</v>
      </c>
      <c r="C28" s="84">
        <v>10500000</v>
      </c>
      <c r="D28" s="85">
        <v>20000000</v>
      </c>
    </row>
    <row r="29" spans="2:4" hidden="1" x14ac:dyDescent="0.25">
      <c r="B29" s="84">
        <v>10500001</v>
      </c>
      <c r="C29" s="84">
        <v>11000000</v>
      </c>
      <c r="D29" s="85">
        <v>21000000</v>
      </c>
    </row>
    <row r="30" spans="2:4" hidden="1" x14ac:dyDescent="0.25">
      <c r="B30" s="84">
        <v>11000001</v>
      </c>
      <c r="C30" s="84">
        <v>11500000</v>
      </c>
      <c r="D30" s="85">
        <v>22000000</v>
      </c>
    </row>
    <row r="31" spans="2:4" hidden="1" x14ac:dyDescent="0.25">
      <c r="B31" s="84">
        <v>11500001</v>
      </c>
      <c r="C31" s="84">
        <v>12000000</v>
      </c>
      <c r="D31" s="85">
        <v>23000000</v>
      </c>
    </row>
    <row r="32" spans="2:4" hidden="1" x14ac:dyDescent="0.25">
      <c r="B32" s="84">
        <v>12000001</v>
      </c>
      <c r="C32" s="84">
        <v>12500000</v>
      </c>
      <c r="D32" s="85">
        <v>24000000</v>
      </c>
    </row>
    <row r="33" spans="2:4" hidden="1" x14ac:dyDescent="0.25">
      <c r="B33" s="84">
        <v>12500001</v>
      </c>
      <c r="C33" s="84">
        <v>13000000</v>
      </c>
      <c r="D33" s="85">
        <v>25000000</v>
      </c>
    </row>
    <row r="34" spans="2:4" hidden="1" x14ac:dyDescent="0.25">
      <c r="B34" s="84">
        <v>13000001</v>
      </c>
      <c r="C34" s="84">
        <v>13500000</v>
      </c>
      <c r="D34" s="85">
        <v>26000000</v>
      </c>
    </row>
    <row r="35" spans="2:4" hidden="1" x14ac:dyDescent="0.25">
      <c r="B35" s="84">
        <v>13500001</v>
      </c>
      <c r="C35" s="84">
        <v>14000000</v>
      </c>
      <c r="D35" s="85">
        <v>27000000</v>
      </c>
    </row>
    <row r="36" spans="2:4" hidden="1" x14ac:dyDescent="0.25">
      <c r="B36" s="84">
        <v>14000001</v>
      </c>
      <c r="C36" s="84">
        <v>14500000</v>
      </c>
      <c r="D36" s="85">
        <v>28000000</v>
      </c>
    </row>
    <row r="37" spans="2:4" hidden="1" x14ac:dyDescent="0.25">
      <c r="B37" s="84">
        <v>14500001</v>
      </c>
      <c r="C37" s="84">
        <v>15000000</v>
      </c>
      <c r="D37" s="85">
        <v>29000000</v>
      </c>
    </row>
    <row r="38" spans="2:4" hidden="1" x14ac:dyDescent="0.25">
      <c r="B38" s="84">
        <v>15000001</v>
      </c>
      <c r="C38" s="84">
        <v>15500000</v>
      </c>
      <c r="D38" s="85">
        <v>30000000</v>
      </c>
    </row>
    <row r="40" spans="2:4" x14ac:dyDescent="0.25">
      <c r="B40" s="90" t="s">
        <v>91</v>
      </c>
    </row>
    <row r="41" spans="2:4" ht="15.75" thickBot="1" x14ac:dyDescent="0.3"/>
    <row r="42" spans="2:4" x14ac:dyDescent="0.25">
      <c r="B42" s="153" t="s">
        <v>81</v>
      </c>
      <c r="C42" s="154"/>
      <c r="D42" s="155"/>
    </row>
    <row r="43" spans="2:4" x14ac:dyDescent="0.25">
      <c r="B43" s="156"/>
      <c r="C43" s="157"/>
      <c r="D43" s="158"/>
    </row>
    <row r="44" spans="2:4" x14ac:dyDescent="0.25">
      <c r="B44" s="156"/>
      <c r="C44" s="157"/>
      <c r="D44" s="158"/>
    </row>
    <row r="45" spans="2:4" x14ac:dyDescent="0.25">
      <c r="B45" s="156"/>
      <c r="C45" s="157"/>
      <c r="D45" s="158"/>
    </row>
    <row r="46" spans="2:4" x14ac:dyDescent="0.25">
      <c r="B46" s="156"/>
      <c r="C46" s="157"/>
      <c r="D46" s="158"/>
    </row>
    <row r="47" spans="2:4" x14ac:dyDescent="0.25">
      <c r="B47" s="156"/>
      <c r="C47" s="157"/>
      <c r="D47" s="158"/>
    </row>
    <row r="48" spans="2:4" x14ac:dyDescent="0.25">
      <c r="B48" s="156"/>
      <c r="C48" s="157"/>
      <c r="D48" s="158"/>
    </row>
    <row r="49" spans="2:4" ht="15.75" thickBot="1" x14ac:dyDescent="0.3">
      <c r="B49" s="159"/>
      <c r="C49" s="160"/>
      <c r="D49" s="161"/>
    </row>
  </sheetData>
  <sheetProtection sheet="1" objects="1" scenarios="1"/>
  <mergeCells count="4">
    <mergeCell ref="A1:H1"/>
    <mergeCell ref="A2:H2"/>
    <mergeCell ref="B5:C5"/>
    <mergeCell ref="B42:D49"/>
  </mergeCells>
  <hyperlinks>
    <hyperlink ref="B40" r:id="rId1" display="https://eregulations.ct.gov/eRegsPortal/Browse/RCSA/Title_16Subtitle_16-245Section_16-245-4/" xr:uid="{54FDCDEA-FDD2-47E6-8ABF-AC8D1DFA899D}"/>
  </hyperlinks>
  <pageMargins left="0.7" right="0.7" top="0.75" bottom="0.75" header="0.3" footer="0.3"/>
  <pageSetup scale="8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EEDC-1B96-4573-8F5C-8FD35A2D946E}">
  <sheetPr>
    <pageSetUpPr fitToPage="1"/>
  </sheetPr>
  <dimension ref="A1:F29"/>
  <sheetViews>
    <sheetView workbookViewId="0">
      <selection activeCell="F16" sqref="F16"/>
    </sheetView>
  </sheetViews>
  <sheetFormatPr defaultRowHeight="15" x14ac:dyDescent="0.25"/>
  <cols>
    <col min="1" max="1" width="21.85546875" customWidth="1"/>
    <col min="2" max="6" width="13.28515625" customWidth="1"/>
  </cols>
  <sheetData>
    <row r="1" spans="1:6" x14ac:dyDescent="0.25">
      <c r="A1" s="151" t="str">
        <f>+'24 RPS Annual Compliance Filing'!A1</f>
        <v xml:space="preserve">Connecticut Annual RPS Compliance Report 2024 - Public Act 24-38 Version </v>
      </c>
      <c r="B1" s="151"/>
      <c r="C1" s="151"/>
      <c r="D1" s="151"/>
      <c r="E1" s="151"/>
      <c r="F1" s="151"/>
    </row>
    <row r="2" spans="1:6" x14ac:dyDescent="0.25">
      <c r="A2" s="151" t="s">
        <v>82</v>
      </c>
      <c r="B2" s="151"/>
      <c r="C2" s="151"/>
      <c r="D2" s="151"/>
      <c r="E2" s="151"/>
      <c r="F2" s="151"/>
    </row>
    <row r="6" spans="1:6" x14ac:dyDescent="0.25">
      <c r="A6" s="171" t="s">
        <v>1</v>
      </c>
      <c r="B6" s="171"/>
      <c r="C6" s="171"/>
    </row>
    <row r="7" spans="1:6" x14ac:dyDescent="0.25">
      <c r="A7" s="91" t="s">
        <v>2</v>
      </c>
      <c r="B7" s="91" t="s">
        <v>3</v>
      </c>
      <c r="C7" s="91" t="s">
        <v>10</v>
      </c>
      <c r="E7" s="91" t="s">
        <v>87</v>
      </c>
      <c r="F7" s="91" t="s">
        <v>88</v>
      </c>
    </row>
    <row r="8" spans="1:6" x14ac:dyDescent="0.25">
      <c r="A8" s="92" t="s">
        <v>11</v>
      </c>
      <c r="B8" s="93">
        <f>+'24 RPS Annual Compliance Filing'!E20</f>
        <v>0.28000000000000003</v>
      </c>
      <c r="C8" s="85">
        <f>+'24 RPS Annual Compliance Filing'!Q20</f>
        <v>40</v>
      </c>
      <c r="E8" s="94">
        <f>ROUND($B$8*$C$14,0)*$C$8</f>
        <v>0</v>
      </c>
      <c r="F8" s="94">
        <f>ROUND($B$8*$C$15,0)*$C$8</f>
        <v>0</v>
      </c>
    </row>
    <row r="9" spans="1:6" x14ac:dyDescent="0.25">
      <c r="A9" s="92" t="s">
        <v>12</v>
      </c>
      <c r="B9" s="93">
        <f>+'24 RPS Annual Compliance Filing'!E21</f>
        <v>0.04</v>
      </c>
      <c r="C9" s="85">
        <f>+'24 RPS Annual Compliance Filing'!Q21</f>
        <v>25</v>
      </c>
      <c r="E9" s="94">
        <f>ROUND($B$9*$C$14,0)*$C$9</f>
        <v>0</v>
      </c>
      <c r="F9" s="94">
        <f>ROUND($B$9*$C$15,0)*$C$9</f>
        <v>0</v>
      </c>
    </row>
    <row r="10" spans="1:6" ht="17.25" x14ac:dyDescent="0.4">
      <c r="A10" s="92" t="s">
        <v>13</v>
      </c>
      <c r="B10" s="125" t="str">
        <f>+'24 RPS Annual Compliance Filing'!E22</f>
        <v>See Below</v>
      </c>
      <c r="C10" s="85">
        <f>+'24 RPS Annual Compliance Filing'!Q22</f>
        <v>31</v>
      </c>
      <c r="E10" s="95">
        <f>+'24 RPS Annual Compliance Filing'!F22*C10</f>
        <v>0</v>
      </c>
      <c r="F10" s="95">
        <f>ROUND(0.05*$C$15,0)*$C$10</f>
        <v>0</v>
      </c>
    </row>
    <row r="11" spans="1:6" x14ac:dyDescent="0.25">
      <c r="A11" s="96" t="s">
        <v>14</v>
      </c>
      <c r="B11" s="97">
        <f>SUM(B8:B10)</f>
        <v>0.32</v>
      </c>
      <c r="E11" s="94">
        <f>SUM(E8:E10)</f>
        <v>0</v>
      </c>
      <c r="F11" s="94">
        <f>SUM(F8:F10)</f>
        <v>0</v>
      </c>
    </row>
    <row r="14" spans="1:6" x14ac:dyDescent="0.25">
      <c r="B14" s="98" t="s">
        <v>84</v>
      </c>
      <c r="C14" s="99">
        <f>ROUND('24 RPS Annual Compliance Filing'!B24,0)</f>
        <v>0</v>
      </c>
    </row>
    <row r="15" spans="1:6" x14ac:dyDescent="0.25">
      <c r="B15" s="98" t="s">
        <v>83</v>
      </c>
      <c r="C15" s="99">
        <f>ROUND('24 RPS Annual Compliance Filing'!B32,0)</f>
        <v>0</v>
      </c>
    </row>
    <row r="17" spans="1:6" x14ac:dyDescent="0.25">
      <c r="D17" s="100"/>
    </row>
    <row r="18" spans="1:6" x14ac:dyDescent="0.25">
      <c r="B18" s="101" t="s">
        <v>85</v>
      </c>
      <c r="C18" s="88">
        <f>IF(E11&gt;25000,E11,25000)</f>
        <v>25000</v>
      </c>
      <c r="D18" s="94"/>
    </row>
    <row r="19" spans="1:6" x14ac:dyDescent="0.25">
      <c r="B19" s="101" t="s">
        <v>86</v>
      </c>
      <c r="C19" s="88">
        <f>IF(F11&gt;25000,F11,25000)</f>
        <v>25000</v>
      </c>
    </row>
    <row r="20" spans="1:6" ht="15.75" thickBot="1" x14ac:dyDescent="0.3"/>
    <row r="21" spans="1:6" ht="14.45" customHeight="1" x14ac:dyDescent="0.25">
      <c r="A21" s="162" t="s">
        <v>81</v>
      </c>
      <c r="B21" s="163"/>
      <c r="C21" s="163"/>
      <c r="D21" s="163"/>
      <c r="E21" s="163"/>
      <c r="F21" s="164"/>
    </row>
    <row r="22" spans="1:6" x14ac:dyDescent="0.25">
      <c r="A22" s="165"/>
      <c r="B22" s="166"/>
      <c r="C22" s="166"/>
      <c r="D22" s="166"/>
      <c r="E22" s="166"/>
      <c r="F22" s="167"/>
    </row>
    <row r="23" spans="1:6" x14ac:dyDescent="0.25">
      <c r="A23" s="165"/>
      <c r="B23" s="166"/>
      <c r="C23" s="166"/>
      <c r="D23" s="166"/>
      <c r="E23" s="166"/>
      <c r="F23" s="167"/>
    </row>
    <row r="24" spans="1:6" x14ac:dyDescent="0.25">
      <c r="A24" s="165"/>
      <c r="B24" s="166"/>
      <c r="C24" s="166"/>
      <c r="D24" s="166"/>
      <c r="E24" s="166"/>
      <c r="F24" s="167"/>
    </row>
    <row r="25" spans="1:6" x14ac:dyDescent="0.25">
      <c r="A25" s="165"/>
      <c r="B25" s="166"/>
      <c r="C25" s="166"/>
      <c r="D25" s="166"/>
      <c r="E25" s="166"/>
      <c r="F25" s="167"/>
    </row>
    <row r="26" spans="1:6" x14ac:dyDescent="0.25">
      <c r="A26" s="165"/>
      <c r="B26" s="166"/>
      <c r="C26" s="166"/>
      <c r="D26" s="166"/>
      <c r="E26" s="166"/>
      <c r="F26" s="167"/>
    </row>
    <row r="27" spans="1:6" x14ac:dyDescent="0.25">
      <c r="A27" s="165"/>
      <c r="B27" s="166"/>
      <c r="C27" s="166"/>
      <c r="D27" s="166"/>
      <c r="E27" s="166"/>
      <c r="F27" s="167"/>
    </row>
    <row r="28" spans="1:6" ht="15.75" thickBot="1" x14ac:dyDescent="0.3">
      <c r="A28" s="168"/>
      <c r="B28" s="169"/>
      <c r="C28" s="169"/>
      <c r="D28" s="169"/>
      <c r="E28" s="169"/>
      <c r="F28" s="170"/>
    </row>
    <row r="29" spans="1:6" x14ac:dyDescent="0.25">
      <c r="A29" s="90" t="s">
        <v>91</v>
      </c>
    </row>
  </sheetData>
  <sheetProtection sheet="1" objects="1" scenarios="1"/>
  <mergeCells count="4">
    <mergeCell ref="A21:F28"/>
    <mergeCell ref="A1:F1"/>
    <mergeCell ref="A2:F2"/>
    <mergeCell ref="A6:C6"/>
  </mergeCells>
  <hyperlinks>
    <hyperlink ref="A29" r:id="rId1" display="https://eregulations.ct.gov/eRegsPortal/Browse/RCSA/Title_16Subtitle_16-245aSection_16-245a-1/" xr:uid="{2721B52D-E34D-4090-A9CB-D322B5195759}"/>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2B3F-18C8-4857-AB7B-2A99F5FF7397}">
  <sheetPr>
    <tabColor rgb="FF0070C0"/>
    <pageSetUpPr fitToPage="1"/>
  </sheetPr>
  <dimension ref="A1:R48"/>
  <sheetViews>
    <sheetView zoomScale="70" zoomScaleNormal="70" workbookViewId="0">
      <selection activeCell="M22" sqref="M22"/>
    </sheetView>
  </sheetViews>
  <sheetFormatPr defaultColWidth="9.140625" defaultRowHeight="14.25" x14ac:dyDescent="0.2"/>
  <cols>
    <col min="1" max="1" width="41.7109375" style="44" customWidth="1"/>
    <col min="2" max="2" width="31.42578125" style="44" customWidth="1"/>
    <col min="3" max="3" width="2" style="44" customWidth="1"/>
    <col min="4" max="4" width="12.85546875" style="44" customWidth="1"/>
    <col min="5" max="6" width="17.85546875" style="44" customWidth="1"/>
    <col min="7" max="7" width="1.42578125" style="44" customWidth="1"/>
    <col min="8" max="13" width="18" style="44" customWidth="1"/>
    <col min="14" max="14" width="14.7109375" style="44" customWidth="1"/>
    <col min="15" max="16" width="18" style="44" customWidth="1"/>
    <col min="17" max="17" width="8.42578125" style="44" customWidth="1"/>
    <col min="18" max="18" width="19.85546875" style="44" customWidth="1"/>
    <col min="19" max="20" width="17.85546875" style="44" customWidth="1"/>
    <col min="21" max="21" width="15.42578125" style="44" customWidth="1"/>
    <col min="22" max="23" width="16.85546875" style="44" customWidth="1"/>
    <col min="24" max="24" width="4.85546875" style="44" customWidth="1"/>
    <col min="25" max="26" width="16.85546875" style="44" customWidth="1"/>
    <col min="27" max="27" width="3.140625" style="44" customWidth="1"/>
    <col min="28" max="30" width="16.85546875" style="44" customWidth="1"/>
    <col min="31" max="16384" width="9.140625" style="44"/>
  </cols>
  <sheetData>
    <row r="1" spans="1:18" s="10" customFormat="1" ht="23.45" customHeight="1" x14ac:dyDescent="0.25">
      <c r="A1" s="136" t="s">
        <v>93</v>
      </c>
      <c r="B1" s="136"/>
      <c r="C1" s="136"/>
      <c r="D1" s="136"/>
      <c r="E1" s="136"/>
      <c r="F1" s="136"/>
      <c r="G1" s="136"/>
      <c r="H1" s="136"/>
      <c r="I1" s="136"/>
      <c r="J1" s="136"/>
      <c r="K1" s="136"/>
      <c r="L1" s="136"/>
      <c r="M1" s="136"/>
      <c r="N1" s="136"/>
      <c r="O1" s="136"/>
      <c r="P1" s="136"/>
      <c r="Q1" s="136"/>
      <c r="R1" s="136"/>
    </row>
    <row r="2" spans="1:18" s="10" customFormat="1" ht="15.75" x14ac:dyDescent="0.25">
      <c r="A2" s="11" t="s">
        <v>0</v>
      </c>
      <c r="B2" s="12">
        <v>2024</v>
      </c>
    </row>
    <row r="3" spans="1:18" s="10" customFormat="1" ht="15" x14ac:dyDescent="0.25">
      <c r="B3" s="12"/>
    </row>
    <row r="4" spans="1:18" s="10" customFormat="1" ht="15.75" x14ac:dyDescent="0.25">
      <c r="A4" s="13" t="s">
        <v>59</v>
      </c>
      <c r="B4" s="12"/>
    </row>
    <row r="5" spans="1:18" s="10" customFormat="1" ht="15.75" x14ac:dyDescent="0.25">
      <c r="A5" s="13" t="s">
        <v>29</v>
      </c>
      <c r="B5" s="12"/>
    </row>
    <row r="6" spans="1:18" s="10" customFormat="1" ht="15.75" x14ac:dyDescent="0.25">
      <c r="A6" s="13" t="s">
        <v>30</v>
      </c>
      <c r="B6" s="12"/>
    </row>
    <row r="7" spans="1:18" s="10" customFormat="1" ht="14.1" customHeight="1" x14ac:dyDescent="0.2">
      <c r="A7" s="14"/>
      <c r="L7" s="119"/>
    </row>
    <row r="8" spans="1:18" s="16" customFormat="1" ht="15" customHeight="1" x14ac:dyDescent="0.25">
      <c r="A8" s="15" t="s">
        <v>31</v>
      </c>
      <c r="B8" s="6" t="s">
        <v>55</v>
      </c>
      <c r="C8" s="15"/>
      <c r="H8" s="10"/>
      <c r="I8" s="10"/>
      <c r="J8" s="10"/>
      <c r="K8" s="10"/>
      <c r="L8" s="10"/>
      <c r="M8" s="10"/>
      <c r="N8" s="10"/>
      <c r="O8" s="10"/>
    </row>
    <row r="9" spans="1:18" s="16" customFormat="1" ht="15" customHeight="1" x14ac:dyDescent="0.25">
      <c r="A9" s="15" t="s">
        <v>32</v>
      </c>
      <c r="B9" s="6" t="s">
        <v>40</v>
      </c>
      <c r="C9" s="15"/>
      <c r="D9" s="17"/>
      <c r="H9" s="10"/>
      <c r="I9" s="10"/>
      <c r="J9" s="10"/>
      <c r="K9" s="10"/>
      <c r="L9" s="10"/>
      <c r="M9" s="10"/>
      <c r="N9" s="10"/>
      <c r="O9" s="10"/>
    </row>
    <row r="10" spans="1:18" s="16" customFormat="1" ht="15" customHeight="1" x14ac:dyDescent="0.25">
      <c r="A10" s="15" t="s">
        <v>33</v>
      </c>
      <c r="B10" s="6" t="s">
        <v>34</v>
      </c>
      <c r="C10" s="15"/>
      <c r="H10" s="10"/>
      <c r="I10" s="10"/>
      <c r="J10" s="10"/>
      <c r="K10" s="10"/>
      <c r="L10" s="10"/>
      <c r="M10" s="10"/>
      <c r="N10" s="10"/>
      <c r="O10" s="10"/>
    </row>
    <row r="11" spans="1:18" s="16" customFormat="1" ht="15" customHeight="1" x14ac:dyDescent="0.25">
      <c r="A11" s="15"/>
      <c r="B11" s="7" t="s">
        <v>35</v>
      </c>
      <c r="C11" s="15"/>
      <c r="D11" s="17"/>
      <c r="H11" s="10"/>
      <c r="I11" s="10"/>
      <c r="J11" s="10"/>
      <c r="K11" s="10"/>
      <c r="L11" s="10"/>
      <c r="M11" s="10"/>
      <c r="N11" s="10"/>
      <c r="O11" s="10"/>
    </row>
    <row r="12" spans="1:18" s="16" customFormat="1" ht="15" customHeight="1" x14ac:dyDescent="0.25">
      <c r="A12" s="15"/>
      <c r="B12" s="7" t="s">
        <v>36</v>
      </c>
      <c r="C12" s="15"/>
      <c r="D12" s="17"/>
      <c r="H12" s="10"/>
      <c r="I12" s="10"/>
      <c r="J12" s="10"/>
      <c r="K12" s="10"/>
      <c r="L12" s="10"/>
      <c r="M12" s="10"/>
      <c r="N12" s="10"/>
      <c r="O12" s="10"/>
    </row>
    <row r="13" spans="1:18" s="16" customFormat="1" ht="15" customHeight="1" x14ac:dyDescent="0.25">
      <c r="A13" s="15" t="s">
        <v>37</v>
      </c>
      <c r="B13" s="8">
        <v>8005555555</v>
      </c>
      <c r="C13" s="15"/>
      <c r="D13" s="18"/>
      <c r="H13" s="10"/>
      <c r="I13" s="10"/>
      <c r="J13" s="10"/>
      <c r="K13" s="10"/>
      <c r="L13" s="10"/>
      <c r="M13" s="10"/>
      <c r="N13" s="10"/>
      <c r="O13" s="10"/>
    </row>
    <row r="14" spans="1:18" s="16" customFormat="1" ht="15" customHeight="1" x14ac:dyDescent="0.25">
      <c r="A14" s="15" t="s">
        <v>41</v>
      </c>
      <c r="B14" s="8"/>
      <c r="C14" s="15"/>
      <c r="D14" s="18"/>
      <c r="H14" s="10"/>
      <c r="I14" s="10"/>
      <c r="J14" s="10"/>
      <c r="K14" s="10"/>
      <c r="L14" s="10"/>
      <c r="M14" s="10"/>
      <c r="N14" s="10"/>
      <c r="O14" s="10"/>
    </row>
    <row r="15" spans="1:18" s="16" customFormat="1" ht="15" customHeight="1" x14ac:dyDescent="0.25">
      <c r="A15" s="15" t="s">
        <v>38</v>
      </c>
      <c r="B15" s="6" t="s">
        <v>39</v>
      </c>
      <c r="C15" s="15"/>
      <c r="H15" s="10"/>
      <c r="I15" s="10"/>
      <c r="J15" s="10"/>
      <c r="K15" s="10"/>
      <c r="L15" s="10"/>
      <c r="M15" s="10"/>
      <c r="N15" s="10"/>
      <c r="O15" s="10"/>
    </row>
    <row r="16" spans="1:18" s="16" customFormat="1" ht="15" customHeight="1" x14ac:dyDescent="0.25">
      <c r="A16" s="15"/>
      <c r="C16" s="15"/>
      <c r="H16" s="10"/>
      <c r="I16" s="10"/>
      <c r="J16" s="10"/>
      <c r="K16" s="10"/>
      <c r="L16" s="10"/>
      <c r="M16" s="10"/>
      <c r="N16" s="10"/>
      <c r="O16" s="10"/>
    </row>
    <row r="17" spans="1:18" s="10" customFormat="1" ht="15" customHeight="1" thickBot="1" x14ac:dyDescent="0.3">
      <c r="B17" s="19"/>
    </row>
    <row r="18" spans="1:18" s="10" customFormat="1" ht="15" customHeight="1" x14ac:dyDescent="0.25">
      <c r="A18" s="10" t="s">
        <v>52</v>
      </c>
      <c r="B18" s="4"/>
      <c r="D18" s="137" t="s">
        <v>1</v>
      </c>
      <c r="E18" s="137"/>
      <c r="F18" s="137"/>
      <c r="H18" s="20" t="s">
        <v>56</v>
      </c>
      <c r="I18" s="21"/>
      <c r="J18" s="21"/>
      <c r="K18" s="21"/>
      <c r="L18" s="21"/>
      <c r="M18" s="138" t="s">
        <v>54</v>
      </c>
      <c r="N18" s="140" t="s">
        <v>50</v>
      </c>
      <c r="O18" s="138" t="s">
        <v>8</v>
      </c>
      <c r="P18" s="140" t="s">
        <v>9</v>
      </c>
      <c r="Q18" s="21"/>
      <c r="R18" s="79" t="s">
        <v>61</v>
      </c>
    </row>
    <row r="19" spans="1:18" s="10" customFormat="1" ht="15" customHeight="1" thickBot="1" x14ac:dyDescent="0.3">
      <c r="A19" s="10" t="s">
        <v>53</v>
      </c>
      <c r="B19" s="4"/>
      <c r="D19" s="22" t="s">
        <v>2</v>
      </c>
      <c r="E19" s="22" t="s">
        <v>3</v>
      </c>
      <c r="F19" s="11" t="s">
        <v>19</v>
      </c>
      <c r="H19" s="23"/>
      <c r="I19" s="24" t="s">
        <v>4</v>
      </c>
      <c r="J19" s="24" t="s">
        <v>5</v>
      </c>
      <c r="K19" s="12" t="s">
        <v>6</v>
      </c>
      <c r="L19" s="12" t="s">
        <v>7</v>
      </c>
      <c r="M19" s="139"/>
      <c r="N19" s="141"/>
      <c r="O19" s="139"/>
      <c r="P19" s="142"/>
      <c r="Q19" s="12" t="s">
        <v>10</v>
      </c>
      <c r="R19" s="25" t="s">
        <v>22</v>
      </c>
    </row>
    <row r="20" spans="1:18" s="10" customFormat="1" ht="15" customHeight="1" x14ac:dyDescent="0.25">
      <c r="A20" s="10" t="s">
        <v>27</v>
      </c>
      <c r="B20" s="5"/>
      <c r="D20" s="10" t="s">
        <v>11</v>
      </c>
      <c r="E20" s="76">
        <v>0.28000000000000003</v>
      </c>
      <c r="F20" s="27">
        <f>ROUND($B$22*E20,0)</f>
        <v>0</v>
      </c>
      <c r="H20" s="28" t="s">
        <v>11</v>
      </c>
      <c r="I20" s="5"/>
      <c r="J20" s="5"/>
      <c r="K20" s="5"/>
      <c r="L20" s="5"/>
      <c r="M20" s="1">
        <f>J37</f>
        <v>0</v>
      </c>
      <c r="N20" s="5"/>
      <c r="O20" s="1">
        <f>SUM(I20:L20,J37)-N20</f>
        <v>0</v>
      </c>
      <c r="P20" s="1">
        <f>MAX(0,F20-O20)</f>
        <v>0</v>
      </c>
      <c r="Q20" s="75">
        <v>40</v>
      </c>
      <c r="R20" s="30">
        <f>IF(P20&lt;0,"$0",P20*Q20)</f>
        <v>0</v>
      </c>
    </row>
    <row r="21" spans="1:18" s="10" customFormat="1" ht="15" customHeight="1" x14ac:dyDescent="0.25">
      <c r="A21" s="10" t="s">
        <v>28</v>
      </c>
      <c r="B21" s="5"/>
      <c r="D21" s="10" t="s">
        <v>12</v>
      </c>
      <c r="E21" s="77">
        <v>0.04</v>
      </c>
      <c r="F21" s="31">
        <f>ROUND($B$22*E21,0)</f>
        <v>0</v>
      </c>
      <c r="H21" s="28" t="s">
        <v>12</v>
      </c>
      <c r="I21" s="5"/>
      <c r="J21" s="5"/>
      <c r="K21" s="5"/>
      <c r="L21" s="5"/>
      <c r="M21" s="1">
        <f>J38</f>
        <v>0</v>
      </c>
      <c r="N21" s="5"/>
      <c r="O21" s="1">
        <f>SUM(I21:L21,J38)-N21</f>
        <v>0</v>
      </c>
      <c r="P21" s="1">
        <f>MAX(0,F21-O21)</f>
        <v>0</v>
      </c>
      <c r="Q21" s="29">
        <v>30</v>
      </c>
      <c r="R21" s="30">
        <f t="shared" ref="R21:R22" si="0">IF(P21&lt;0,"$0",P21*Q21)</f>
        <v>0</v>
      </c>
    </row>
    <row r="22" spans="1:18" s="10" customFormat="1" ht="15" customHeight="1" thickBot="1" x14ac:dyDescent="0.3">
      <c r="A22" s="10" t="s">
        <v>21</v>
      </c>
      <c r="B22" s="1">
        <f>B21+B20</f>
        <v>0</v>
      </c>
      <c r="D22" s="10" t="s">
        <v>13</v>
      </c>
      <c r="E22" s="78">
        <v>0.05</v>
      </c>
      <c r="F22" s="32">
        <f>ROUND(($B$22-B30)*E22,0)</f>
        <v>0</v>
      </c>
      <c r="H22" s="28" t="s">
        <v>13</v>
      </c>
      <c r="I22" s="9"/>
      <c r="J22" s="9"/>
      <c r="K22" s="9"/>
      <c r="L22" s="9"/>
      <c r="M22" s="1">
        <f>J39</f>
        <v>0</v>
      </c>
      <c r="N22" s="9"/>
      <c r="O22" s="1">
        <f>SUM(I22:L22,J39)-N22</f>
        <v>0</v>
      </c>
      <c r="P22" s="33">
        <f>MAX(0,F22-O22)</f>
        <v>0</v>
      </c>
      <c r="Q22" s="29">
        <v>31</v>
      </c>
      <c r="R22" s="30">
        <f t="shared" si="0"/>
        <v>0</v>
      </c>
    </row>
    <row r="23" spans="1:18" s="10" customFormat="1" ht="15" customHeight="1" thickBot="1" x14ac:dyDescent="0.3">
      <c r="A23" s="34" t="s">
        <v>20</v>
      </c>
      <c r="B23" s="12"/>
      <c r="D23" s="35" t="s">
        <v>14</v>
      </c>
      <c r="E23" s="36">
        <f>SUM(E20:E22)</f>
        <v>0.37</v>
      </c>
      <c r="F23" s="37">
        <f>SUM(F20:F22)</f>
        <v>0</v>
      </c>
      <c r="H23" s="38" t="s">
        <v>15</v>
      </c>
      <c r="I23" s="39">
        <f>SUM(I20:I22)</f>
        <v>0</v>
      </c>
      <c r="J23" s="39">
        <f t="shared" ref="J23:N23" si="1">SUM(J20:J22)</f>
        <v>0</v>
      </c>
      <c r="K23" s="39">
        <f t="shared" si="1"/>
        <v>0</v>
      </c>
      <c r="L23" s="39">
        <f t="shared" si="1"/>
        <v>0</v>
      </c>
      <c r="M23" s="39">
        <f>SUM(M20:M22)</f>
        <v>0</v>
      </c>
      <c r="N23" s="39">
        <f t="shared" si="1"/>
        <v>0</v>
      </c>
      <c r="O23" s="39">
        <f>SUM(O20:O22)</f>
        <v>0</v>
      </c>
      <c r="P23" s="39">
        <f>SUM(P20:P22)</f>
        <v>0</v>
      </c>
      <c r="Q23" s="40"/>
      <c r="R23" s="41">
        <f>SUM(R20:R22)</f>
        <v>0</v>
      </c>
    </row>
    <row r="24" spans="1:18" s="10" customFormat="1" ht="15.75" thickBot="1" x14ac:dyDescent="0.3">
      <c r="A24" s="10" t="s">
        <v>16</v>
      </c>
      <c r="B24" s="26">
        <f>+E23</f>
        <v>0.37</v>
      </c>
    </row>
    <row r="25" spans="1:18" s="10" customFormat="1" ht="15.75" thickBot="1" x14ac:dyDescent="0.3">
      <c r="A25" s="10" t="s">
        <v>17</v>
      </c>
      <c r="B25" s="37">
        <f>$B$22*$B$24</f>
        <v>0</v>
      </c>
    </row>
    <row r="26" spans="1:18" s="10" customFormat="1" ht="15.75" x14ac:dyDescent="0.25">
      <c r="H26" s="20" t="s">
        <v>23</v>
      </c>
      <c r="I26" s="42"/>
      <c r="J26" s="21"/>
      <c r="K26" s="43"/>
    </row>
    <row r="27" spans="1:18" ht="16.5" x14ac:dyDescent="0.2">
      <c r="A27" s="44" t="s">
        <v>18</v>
      </c>
      <c r="D27" s="10"/>
      <c r="E27" s="76"/>
      <c r="H27" s="45" t="s">
        <v>24</v>
      </c>
      <c r="I27" s="14"/>
      <c r="J27" s="46"/>
      <c r="K27" s="47">
        <f>IFERROR((B20/$B$22)*($R$23-$K$29),0)</f>
        <v>0</v>
      </c>
      <c r="Q27" s="48"/>
    </row>
    <row r="28" spans="1:18" ht="15" x14ac:dyDescent="0.2">
      <c r="D28" s="10"/>
      <c r="E28" s="77"/>
      <c r="H28" s="45" t="s">
        <v>25</v>
      </c>
      <c r="I28" s="14"/>
      <c r="J28" s="46"/>
      <c r="K28" s="47">
        <f>IFERROR((B21/$B$22)*($R$23-$K$29),0)</f>
        <v>0</v>
      </c>
      <c r="Q28" s="48"/>
    </row>
    <row r="29" spans="1:18" ht="15.75" thickBot="1" x14ac:dyDescent="0.25">
      <c r="D29" s="10"/>
      <c r="E29" s="78"/>
      <c r="H29" s="49" t="s">
        <v>26</v>
      </c>
      <c r="I29" s="50"/>
      <c r="J29" s="51"/>
      <c r="K29" s="52">
        <f>R22*0.25</f>
        <v>0</v>
      </c>
      <c r="Q29" s="48"/>
    </row>
    <row r="30" spans="1:18" ht="15" x14ac:dyDescent="0.25">
      <c r="A30" s="120" t="s">
        <v>95</v>
      </c>
      <c r="B30" s="4"/>
      <c r="D30" s="35"/>
      <c r="E30" s="36"/>
      <c r="O30" s="53"/>
      <c r="Q30" s="48"/>
    </row>
    <row r="32" spans="1:18" x14ac:dyDescent="0.2">
      <c r="A32" s="44" t="s">
        <v>94</v>
      </c>
    </row>
    <row r="33" spans="4:17" ht="15" thickBot="1" x14ac:dyDescent="0.25"/>
    <row r="34" spans="4:17" ht="21" thickBot="1" x14ac:dyDescent="0.35">
      <c r="D34" s="143" t="s">
        <v>42</v>
      </c>
      <c r="E34" s="144"/>
      <c r="F34" s="144"/>
      <c r="G34" s="144"/>
      <c r="H34" s="144"/>
      <c r="I34" s="144"/>
      <c r="J34" s="144"/>
      <c r="K34" s="144"/>
      <c r="L34" s="144"/>
      <c r="M34" s="144"/>
      <c r="N34" s="144"/>
      <c r="O34" s="144"/>
      <c r="P34" s="145"/>
    </row>
    <row r="35" spans="4:17" ht="56.45" customHeight="1" thickBot="1" x14ac:dyDescent="0.3">
      <c r="D35" s="55"/>
      <c r="E35" s="146" t="s">
        <v>43</v>
      </c>
      <c r="F35" s="147"/>
      <c r="G35" s="14"/>
      <c r="H35" s="146" t="s">
        <v>44</v>
      </c>
      <c r="I35" s="148"/>
      <c r="J35" s="147"/>
      <c r="K35" s="54"/>
      <c r="L35" s="146" t="s">
        <v>58</v>
      </c>
      <c r="M35" s="147"/>
      <c r="O35" s="146" t="s">
        <v>60</v>
      </c>
      <c r="P35" s="147"/>
    </row>
    <row r="36" spans="4:17" ht="60.75" thickBot="1" x14ac:dyDescent="0.3">
      <c r="D36" s="55"/>
      <c r="E36" s="56" t="s">
        <v>45</v>
      </c>
      <c r="F36" s="57" t="s">
        <v>46</v>
      </c>
      <c r="G36" s="10"/>
      <c r="H36" s="56" t="s">
        <v>45</v>
      </c>
      <c r="I36" s="57" t="s">
        <v>46</v>
      </c>
      <c r="J36" s="57" t="s">
        <v>14</v>
      </c>
      <c r="K36" s="58"/>
      <c r="L36" s="57" t="s">
        <v>46</v>
      </c>
      <c r="M36" s="59" t="s">
        <v>47</v>
      </c>
      <c r="O36" s="57" t="s">
        <v>46</v>
      </c>
      <c r="P36" s="59" t="s">
        <v>47</v>
      </c>
    </row>
    <row r="37" spans="4:17" ht="15.75" thickBot="1" x14ac:dyDescent="0.25">
      <c r="D37" s="60" t="s">
        <v>48</v>
      </c>
      <c r="E37" s="2"/>
      <c r="F37" s="3"/>
      <c r="G37" s="14"/>
      <c r="H37" s="2"/>
      <c r="I37" s="3"/>
      <c r="J37" s="61">
        <f>SUM(H37:I37)</f>
        <v>0</v>
      </c>
      <c r="K37" s="62"/>
      <c r="L37" s="71">
        <f>+F37-I37</f>
        <v>0</v>
      </c>
      <c r="M37" s="72">
        <f>IF((O20-F20&lt;0),0,O20-F20)</f>
        <v>0</v>
      </c>
      <c r="O37" s="3"/>
      <c r="P37" s="3"/>
    </row>
    <row r="38" spans="4:17" ht="15.75" thickBot="1" x14ac:dyDescent="0.25">
      <c r="D38" s="60" t="s">
        <v>49</v>
      </c>
      <c r="E38" s="2"/>
      <c r="F38" s="3"/>
      <c r="G38" s="63"/>
      <c r="H38" s="2"/>
      <c r="I38" s="3"/>
      <c r="J38" s="61">
        <f t="shared" ref="J38:J39" si="2">SUM(H38:I38)</f>
        <v>0</v>
      </c>
      <c r="K38" s="64"/>
      <c r="L38" s="71">
        <f>+F38-I38</f>
        <v>0</v>
      </c>
      <c r="M38" s="72">
        <f>IF((O21-F21&lt;0),0,O21-F21)</f>
        <v>0</v>
      </c>
      <c r="O38" s="3"/>
      <c r="P38" s="3"/>
    </row>
    <row r="39" spans="4:17" ht="15.75" thickBot="1" x14ac:dyDescent="0.25">
      <c r="D39" s="60" t="s">
        <v>13</v>
      </c>
      <c r="E39" s="2"/>
      <c r="F39" s="3"/>
      <c r="G39" s="65"/>
      <c r="H39" s="2"/>
      <c r="I39" s="3"/>
      <c r="J39" s="61">
        <f t="shared" si="2"/>
        <v>0</v>
      </c>
      <c r="K39" s="66"/>
      <c r="L39" s="71">
        <f>+F39-I39</f>
        <v>0</v>
      </c>
      <c r="M39" s="72">
        <f>IF((O22-F22&lt;0),0,O22-F22)</f>
        <v>0</v>
      </c>
      <c r="O39" s="3"/>
      <c r="P39" s="3"/>
    </row>
    <row r="40" spans="4:17" ht="21.95" customHeight="1" thickBot="1" x14ac:dyDescent="0.3">
      <c r="D40" s="67" t="s">
        <v>51</v>
      </c>
      <c r="E40" s="68">
        <f t="shared" ref="E40:F40" si="3">SUM(E37:E39)</f>
        <v>0</v>
      </c>
      <c r="F40" s="69">
        <f t="shared" si="3"/>
        <v>0</v>
      </c>
      <c r="H40" s="68">
        <f t="shared" ref="H40:I40" si="4">SUM(H37:H39)</f>
        <v>0</v>
      </c>
      <c r="I40" s="69">
        <f t="shared" si="4"/>
        <v>0</v>
      </c>
      <c r="J40" s="69">
        <f>SUM(J37:J39)</f>
        <v>0</v>
      </c>
      <c r="L40" s="69">
        <f t="shared" ref="L40" si="5">SUM(L37:L39)</f>
        <v>0</v>
      </c>
      <c r="M40" s="70">
        <f>IF(SUM(M37:M39)&gt;(B22*0.3),(B22*0.3),SUM(M37:M39))</f>
        <v>0</v>
      </c>
      <c r="O40" s="69">
        <f t="shared" ref="O40:P40" si="6">SUM(O37:O39)</f>
        <v>0</v>
      </c>
      <c r="P40" s="70">
        <f t="shared" si="6"/>
        <v>0</v>
      </c>
    </row>
    <row r="41" spans="4:17" ht="14.1" customHeight="1" x14ac:dyDescent="0.2">
      <c r="H41" s="133" t="s">
        <v>57</v>
      </c>
      <c r="I41" s="133"/>
      <c r="J41" s="133"/>
    </row>
    <row r="42" spans="4:17" ht="14.1" customHeight="1" x14ac:dyDescent="0.25">
      <c r="H42" s="134"/>
      <c r="I42" s="134"/>
      <c r="J42" s="134"/>
      <c r="K42" s="135" t="str">
        <f>IF(SUM(M37:M39)&gt;(B22*0.3),"Sum of REC's Banked by Class Exceed allowable %","")</f>
        <v/>
      </c>
      <c r="L42" s="135"/>
      <c r="M42" s="135"/>
      <c r="N42" s="135"/>
      <c r="O42" s="73"/>
      <c r="P42" s="73"/>
    </row>
    <row r="43" spans="4:17" ht="14.1" customHeight="1" x14ac:dyDescent="0.25">
      <c r="H43" s="134"/>
      <c r="I43" s="134"/>
      <c r="J43" s="134"/>
      <c r="N43" s="135" t="str">
        <f>IF(O40&gt;(L40),"Requested Current Bank REC Exceeded-correction required","")</f>
        <v/>
      </c>
      <c r="O43" s="135"/>
      <c r="P43" s="135"/>
      <c r="Q43" s="135"/>
    </row>
    <row r="44" spans="4:17" ht="15" x14ac:dyDescent="0.25">
      <c r="H44" s="134"/>
      <c r="I44" s="134"/>
      <c r="J44" s="134"/>
      <c r="N44" s="135" t="str">
        <f>IF(P40&gt;(M40),"Requested Prior Bank REC Exceeded-correction required","")</f>
        <v/>
      </c>
      <c r="O44" s="135"/>
      <c r="P44" s="135"/>
      <c r="Q44" s="135"/>
    </row>
    <row r="47" spans="4:17" x14ac:dyDescent="0.2">
      <c r="M47" s="74"/>
    </row>
    <row r="48" spans="4:17" x14ac:dyDescent="0.2">
      <c r="M48" s="53"/>
    </row>
  </sheetData>
  <sheetProtection sheet="1" objects="1" scenarios="1"/>
  <mergeCells count="15">
    <mergeCell ref="H41:J44"/>
    <mergeCell ref="K42:N42"/>
    <mergeCell ref="N43:Q43"/>
    <mergeCell ref="N44:Q44"/>
    <mergeCell ref="A1:R1"/>
    <mergeCell ref="D18:F18"/>
    <mergeCell ref="M18:M19"/>
    <mergeCell ref="N18:N19"/>
    <mergeCell ref="O18:O19"/>
    <mergeCell ref="P18:P19"/>
    <mergeCell ref="D34:P34"/>
    <mergeCell ref="E35:F35"/>
    <mergeCell ref="H35:J35"/>
    <mergeCell ref="L35:M35"/>
    <mergeCell ref="O35:P35"/>
  </mergeCells>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 Sheet</vt:lpstr>
      <vt:lpstr>24 RPS Annual Compliance Filing</vt:lpstr>
      <vt:lpstr>RPS Affidavit</vt:lpstr>
      <vt:lpstr>License Security</vt:lpstr>
      <vt:lpstr>RPS Security</vt:lpstr>
      <vt:lpstr>24 EDC RPS Annual Compliance</vt:lpstr>
      <vt:lpstr>'License Security'!Print_Area</vt:lpstr>
    </vt:vector>
  </TitlesOfParts>
  <Company>CTDEEP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White</dc:creator>
  <cp:lastModifiedBy>Lindee, Ezra</cp:lastModifiedBy>
  <cp:lastPrinted>2025-09-30T20:12:26Z</cp:lastPrinted>
  <dcterms:created xsi:type="dcterms:W3CDTF">2020-05-18T20:42:15Z</dcterms:created>
  <dcterms:modified xsi:type="dcterms:W3CDTF">2025-10-15T15:52:13Z</dcterms:modified>
</cp:coreProperties>
</file>